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\Veda_models\EU_TIMES_Veda2.0\SubRES_TMPL\"/>
    </mc:Choice>
  </mc:AlternateContent>
  <xr:revisionPtr revIDLastSave="0" documentId="13_ncr:1_{8C756038-B4AB-4D16-87D4-0C4BA39DD34C}" xr6:coauthVersionLast="45" xr6:coauthVersionMax="45" xr10:uidLastSave="{00000000-0000-0000-0000-000000000000}"/>
  <bookViews>
    <workbookView xWindow="3675" yWindow="2790" windowWidth="14580" windowHeight="12810" firstSheet="3" activeTab="6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1" l="1"/>
  <c r="B6" i="31"/>
  <c r="K13" i="31"/>
  <c r="U12" i="31"/>
  <c r="Q12" i="31"/>
  <c r="P12" i="31"/>
  <c r="O12" i="31"/>
  <c r="N12" i="31"/>
  <c r="M12" i="31"/>
  <c r="I12" i="31"/>
  <c r="H12" i="31"/>
  <c r="F12" i="31"/>
  <c r="G12" i="31" s="1"/>
  <c r="C12" i="31"/>
  <c r="B12" i="31"/>
  <c r="K11" i="31"/>
  <c r="U10" i="31"/>
  <c r="Q10" i="31"/>
  <c r="O10" i="31"/>
  <c r="N10" i="31"/>
  <c r="M10" i="31"/>
  <c r="I10" i="31"/>
  <c r="H10" i="31"/>
  <c r="F10" i="31"/>
  <c r="G10" i="31" s="1"/>
  <c r="C10" i="31"/>
  <c r="B10" i="31"/>
  <c r="K9" i="31"/>
  <c r="U8" i="31"/>
  <c r="U6" i="31" s="1"/>
  <c r="Q8" i="31"/>
  <c r="P8" i="31"/>
  <c r="O8" i="31"/>
  <c r="N8" i="31"/>
  <c r="M8" i="31"/>
  <c r="I8" i="31"/>
  <c r="H8" i="31"/>
  <c r="G8" i="31"/>
  <c r="F8" i="31"/>
  <c r="C8" i="31"/>
  <c r="B8" i="31"/>
  <c r="T6" i="31"/>
  <c r="S6" i="31"/>
  <c r="R6" i="31"/>
  <c r="Q6" i="31"/>
  <c r="J6" i="31"/>
  <c r="I6" i="31"/>
  <c r="G6" i="31"/>
  <c r="F6" i="31"/>
  <c r="AD63" i="21"/>
  <c r="AC63" i="21"/>
  <c r="AB63" i="21"/>
  <c r="K104" i="25"/>
  <c r="K109" i="25" s="1"/>
  <c r="K103" i="25"/>
  <c r="K97" i="25"/>
  <c r="K89" i="25" s="1"/>
  <c r="K96" i="25"/>
  <c r="K88" i="25" s="1"/>
  <c r="K95" i="25"/>
  <c r="K99" i="25" s="1"/>
  <c r="K106" i="25" s="1"/>
  <c r="K94" i="25"/>
  <c r="K98" i="25" s="1"/>
  <c r="AA63" i="21"/>
  <c r="I63" i="21"/>
  <c r="V63" i="21"/>
  <c r="S63" i="21"/>
  <c r="R63" i="21"/>
  <c r="G63" i="21"/>
  <c r="J63" i="21"/>
  <c r="F63" i="21"/>
  <c r="R17" i="28"/>
  <c r="R42" i="21"/>
  <c r="S42" i="21"/>
  <c r="M47" i="30"/>
  <c r="U8" i="30" s="1"/>
  <c r="L47" i="30"/>
  <c r="T8" i="30" s="1"/>
  <c r="K47" i="30"/>
  <c r="J47" i="30"/>
  <c r="I47" i="30"/>
  <c r="Q8" i="30" s="1"/>
  <c r="D10" i="30"/>
  <c r="D9" i="30"/>
  <c r="S8" i="30"/>
  <c r="R8" i="30"/>
  <c r="P8" i="30"/>
  <c r="O8" i="30"/>
  <c r="N8" i="30"/>
  <c r="M8" i="30"/>
  <c r="L8" i="30"/>
  <c r="J8" i="30"/>
  <c r="I8" i="30"/>
  <c r="H8" i="30"/>
  <c r="G8" i="30"/>
  <c r="F8" i="30"/>
  <c r="D8" i="30"/>
  <c r="C8" i="30"/>
  <c r="B8" i="30"/>
  <c r="P20" i="26"/>
  <c r="L70" i="25" s="1"/>
  <c r="Q20" i="26"/>
  <c r="M70" i="25" s="1"/>
  <c r="R20" i="26"/>
  <c r="O70" i="25" s="1"/>
  <c r="S20" i="26"/>
  <c r="P70" i="25" s="1"/>
  <c r="T20" i="26"/>
  <c r="R70" i="25" s="1"/>
  <c r="P21" i="26"/>
  <c r="L73" i="25" s="1"/>
  <c r="Q21" i="26"/>
  <c r="M73" i="25" s="1"/>
  <c r="R21" i="26"/>
  <c r="O73" i="25"/>
  <c r="S21" i="26"/>
  <c r="P73" i="25" s="1"/>
  <c r="T21" i="26"/>
  <c r="R73" i="25" s="1"/>
  <c r="P22" i="26"/>
  <c r="L76" i="25" s="1"/>
  <c r="K76" i="25" s="1"/>
  <c r="Q22" i="26"/>
  <c r="M76" i="25" s="1"/>
  <c r="R22" i="26"/>
  <c r="O76" i="25"/>
  <c r="S22" i="26"/>
  <c r="T22" i="26"/>
  <c r="R76" i="25"/>
  <c r="O22" i="26"/>
  <c r="J76" i="25"/>
  <c r="O21" i="26"/>
  <c r="J73" i="25"/>
  <c r="O20" i="26"/>
  <c r="J70" i="25" s="1"/>
  <c r="P10" i="26"/>
  <c r="Q10" i="26"/>
  <c r="M32" i="25" s="1"/>
  <c r="R10" i="26"/>
  <c r="O32" i="25"/>
  <c r="S10" i="26"/>
  <c r="P32" i="25" s="1"/>
  <c r="T10" i="26"/>
  <c r="R32" i="25" s="1"/>
  <c r="Q32" i="25" s="1"/>
  <c r="O10" i="26"/>
  <c r="J32" i="25"/>
  <c r="P4" i="26"/>
  <c r="L11" i="25" s="1"/>
  <c r="Q4" i="26"/>
  <c r="Q6" i="26" s="1"/>
  <c r="M19" i="25" s="1"/>
  <c r="N19" i="25" s="1"/>
  <c r="R4" i="26"/>
  <c r="R6" i="26" s="1"/>
  <c r="O19" i="25" s="1"/>
  <c r="S4" i="26"/>
  <c r="S6" i="26" s="1"/>
  <c r="P19" i="25" s="1"/>
  <c r="T4" i="26"/>
  <c r="T6" i="26" s="1"/>
  <c r="R19" i="25" s="1"/>
  <c r="O4" i="26"/>
  <c r="O6" i="26" s="1"/>
  <c r="J19" i="25" s="1"/>
  <c r="P3" i="26"/>
  <c r="P5" i="26" s="1"/>
  <c r="L15" i="25" s="1"/>
  <c r="Q3" i="26"/>
  <c r="M7" i="25" s="1"/>
  <c r="N7" i="25" s="1"/>
  <c r="R3" i="26"/>
  <c r="R5" i="26" s="1"/>
  <c r="O15" i="25" s="1"/>
  <c r="O7" i="25"/>
  <c r="S3" i="26"/>
  <c r="P7" i="25" s="1"/>
  <c r="T3" i="26"/>
  <c r="R7" i="25" s="1"/>
  <c r="O3" i="26"/>
  <c r="O5" i="26" s="1"/>
  <c r="J15" i="25" s="1"/>
  <c r="K15" i="25" s="1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S5" i="26"/>
  <c r="P15" i="25" s="1"/>
  <c r="M11" i="25"/>
  <c r="N11" i="25" s="1"/>
  <c r="O11" i="25"/>
  <c r="P13" i="26"/>
  <c r="L42" i="25" s="1"/>
  <c r="P14" i="26"/>
  <c r="P15" i="26" s="1"/>
  <c r="P16" i="26" s="1"/>
  <c r="L32" i="25"/>
  <c r="K32" i="25" s="1"/>
  <c r="J7" i="25"/>
  <c r="R23" i="25"/>
  <c r="Q7" i="26"/>
  <c r="Q8" i="26" s="1"/>
  <c r="R7" i="26"/>
  <c r="R8" i="26" s="1"/>
  <c r="S7" i="26"/>
  <c r="S8" i="26" s="1"/>
  <c r="T7" i="26"/>
  <c r="T8" i="26"/>
  <c r="T11" i="26" s="1"/>
  <c r="R36" i="25" s="1"/>
  <c r="Q9" i="26"/>
  <c r="Q12" i="26" s="1"/>
  <c r="M39" i="25" s="1"/>
  <c r="R9" i="26"/>
  <c r="R12" i="26" s="1"/>
  <c r="O39" i="25" s="1"/>
  <c r="O29" i="25"/>
  <c r="S9" i="26"/>
  <c r="S12" i="26" s="1"/>
  <c r="P39" i="25" s="1"/>
  <c r="T9" i="26"/>
  <c r="T12" i="26" s="1"/>
  <c r="R39" i="25" s="1"/>
  <c r="Q13" i="26"/>
  <c r="M42" i="25" s="1"/>
  <c r="R13" i="26"/>
  <c r="S13" i="26"/>
  <c r="P42" i="25" s="1"/>
  <c r="Q42" i="25" s="1"/>
  <c r="T13" i="26"/>
  <c r="R42" i="25" s="1"/>
  <c r="O13" i="26"/>
  <c r="O14" i="26" s="1"/>
  <c r="J42" i="25"/>
  <c r="P9" i="26"/>
  <c r="P12" i="26" s="1"/>
  <c r="L39" i="25" s="1"/>
  <c r="O9" i="26"/>
  <c r="J29" i="25" s="1"/>
  <c r="P7" i="26"/>
  <c r="P8" i="26" s="1"/>
  <c r="O7" i="26"/>
  <c r="O8" i="26" s="1"/>
  <c r="C92" i="25"/>
  <c r="T23" i="25"/>
  <c r="S23" i="25"/>
  <c r="I23" i="25"/>
  <c r="G24" i="25"/>
  <c r="G23" i="25"/>
  <c r="C23" i="25"/>
  <c r="B23" i="25"/>
  <c r="H25" i="25"/>
  <c r="K4" i="26"/>
  <c r="G12" i="25" s="1"/>
  <c r="N4" i="26"/>
  <c r="I11" i="25" s="1"/>
  <c r="Y25" i="23"/>
  <c r="H78" i="21" s="1"/>
  <c r="AG29" i="23"/>
  <c r="M78" i="21" s="1"/>
  <c r="AG28" i="23"/>
  <c r="AG25" i="23"/>
  <c r="J78" i="21" s="1"/>
  <c r="Y29" i="23"/>
  <c r="AC29" i="23" s="1"/>
  <c r="L78" i="21" s="1"/>
  <c r="Y28" i="23"/>
  <c r="AC28" i="23" s="1"/>
  <c r="AC25" i="23" s="1"/>
  <c r="I78" i="21" s="1"/>
  <c r="G47" i="25"/>
  <c r="G51" i="25" s="1"/>
  <c r="G55" i="25" s="1"/>
  <c r="G59" i="25" s="1"/>
  <c r="G63" i="25" s="1"/>
  <c r="G67" i="25" s="1"/>
  <c r="L13" i="26"/>
  <c r="L14" i="26" s="1"/>
  <c r="G46" i="25"/>
  <c r="G50" i="25"/>
  <c r="G54" i="25" s="1"/>
  <c r="G58" i="25" s="1"/>
  <c r="G62" i="25" s="1"/>
  <c r="G66" i="25" s="1"/>
  <c r="J19" i="23"/>
  <c r="F54" i="21" s="1"/>
  <c r="G54" i="21" s="1"/>
  <c r="B36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N12" i="26"/>
  <c r="I39" i="25"/>
  <c r="K12" i="26"/>
  <c r="G40" i="25"/>
  <c r="N11" i="26"/>
  <c r="I36" i="25" s="1"/>
  <c r="K11" i="26"/>
  <c r="G37" i="25" s="1"/>
  <c r="C37" i="28"/>
  <c r="C38" i="28" s="1"/>
  <c r="C39" i="28" s="1"/>
  <c r="J25" i="28" s="1"/>
  <c r="F34" i="28"/>
  <c r="S10" i="27"/>
  <c r="S8" i="27"/>
  <c r="L4" i="26"/>
  <c r="N3" i="26"/>
  <c r="L3" i="26"/>
  <c r="G9" i="25" s="1"/>
  <c r="K3" i="26"/>
  <c r="G8" i="25" s="1"/>
  <c r="C43" i="28"/>
  <c r="E8" i="28"/>
  <c r="D8" i="28"/>
  <c r="C8" i="28" s="1"/>
  <c r="E7" i="28"/>
  <c r="D7" i="28"/>
  <c r="C7" i="28" s="1"/>
  <c r="E6" i="28"/>
  <c r="D6" i="28"/>
  <c r="C6" i="28"/>
  <c r="E5" i="28"/>
  <c r="D5" i="28"/>
  <c r="C5" i="28" s="1"/>
  <c r="B121" i="21"/>
  <c r="C121" i="21" s="1"/>
  <c r="C113" i="21"/>
  <c r="B113" i="21"/>
  <c r="R78" i="21"/>
  <c r="R81" i="21"/>
  <c r="Q78" i="21"/>
  <c r="G78" i="21"/>
  <c r="W78" i="21" s="1"/>
  <c r="C78" i="21"/>
  <c r="C112" i="21" s="1"/>
  <c r="B78" i="21"/>
  <c r="B112" i="21" s="1"/>
  <c r="F81" i="21"/>
  <c r="G71" i="25"/>
  <c r="A10" i="27"/>
  <c r="B10" i="27"/>
  <c r="D10" i="27" s="1"/>
  <c r="G23" i="27" s="1"/>
  <c r="B8" i="27"/>
  <c r="D8" i="27" s="1"/>
  <c r="G22" i="27" s="1"/>
  <c r="A8" i="27"/>
  <c r="A6" i="27"/>
  <c r="B6" i="27"/>
  <c r="D6" i="27" s="1"/>
  <c r="G21" i="27" s="1"/>
  <c r="T76" i="25"/>
  <c r="T73" i="25"/>
  <c r="T70" i="25"/>
  <c r="T66" i="25"/>
  <c r="T62" i="25"/>
  <c r="T58" i="25"/>
  <c r="T54" i="25"/>
  <c r="T50" i="25"/>
  <c r="T46" i="25"/>
  <c r="T42" i="25"/>
  <c r="T39" i="25"/>
  <c r="T36" i="25"/>
  <c r="T32" i="25"/>
  <c r="T29" i="25"/>
  <c r="T26" i="25"/>
  <c r="T19" i="25"/>
  <c r="T15" i="25"/>
  <c r="T11" i="25"/>
  <c r="T7" i="25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H41" i="25"/>
  <c r="H38" i="25"/>
  <c r="I32" i="25"/>
  <c r="H35" i="25"/>
  <c r="G33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H14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2" i="21"/>
  <c r="G90" i="21"/>
  <c r="I61" i="21"/>
  <c r="H61" i="21"/>
  <c r="F61" i="21"/>
  <c r="G61" i="21"/>
  <c r="I58" i="21"/>
  <c r="H58" i="21"/>
  <c r="F58" i="21"/>
  <c r="G58" i="21" s="1"/>
  <c r="I55" i="21"/>
  <c r="H55" i="21"/>
  <c r="F55" i="21"/>
  <c r="G55" i="21" s="1"/>
  <c r="I52" i="21"/>
  <c r="H52" i="21"/>
  <c r="F52" i="21"/>
  <c r="G52" i="21"/>
  <c r="I49" i="21"/>
  <c r="H49" i="21"/>
  <c r="G49" i="21"/>
  <c r="F49" i="21"/>
  <c r="I46" i="21"/>
  <c r="H46" i="21"/>
  <c r="F46" i="21"/>
  <c r="G46" i="21" s="1"/>
  <c r="I43" i="21"/>
  <c r="H43" i="21"/>
  <c r="F43" i="21"/>
  <c r="G43" i="21"/>
  <c r="I40" i="21"/>
  <c r="H40" i="21"/>
  <c r="F40" i="21"/>
  <c r="G40" i="21" s="1"/>
  <c r="I69" i="21"/>
  <c r="H69" i="21"/>
  <c r="F69" i="21"/>
  <c r="G69" i="21" s="1"/>
  <c r="I67" i="21"/>
  <c r="H67" i="21"/>
  <c r="F67" i="21"/>
  <c r="G67" i="21"/>
  <c r="I65" i="21"/>
  <c r="H65" i="21"/>
  <c r="G65" i="21"/>
  <c r="F65" i="21"/>
  <c r="I60" i="21"/>
  <c r="H60" i="21"/>
  <c r="F60" i="21"/>
  <c r="G60" i="21" s="1"/>
  <c r="I57" i="21"/>
  <c r="H57" i="21"/>
  <c r="F57" i="21"/>
  <c r="G57" i="21"/>
  <c r="I54" i="21"/>
  <c r="H54" i="21"/>
  <c r="I51" i="21"/>
  <c r="H51" i="21"/>
  <c r="F51" i="21"/>
  <c r="G51" i="21" s="1"/>
  <c r="I48" i="21"/>
  <c r="H48" i="21"/>
  <c r="G48" i="21"/>
  <c r="F48" i="21"/>
  <c r="I45" i="21"/>
  <c r="H45" i="21"/>
  <c r="F45" i="21"/>
  <c r="G45" i="21" s="1"/>
  <c r="I42" i="21"/>
  <c r="H42" i="21"/>
  <c r="F42" i="21"/>
  <c r="G42" i="21"/>
  <c r="I39" i="21"/>
  <c r="H39" i="21"/>
  <c r="F39" i="21"/>
  <c r="G39" i="21"/>
  <c r="F36" i="21"/>
  <c r="G36" i="21" s="1"/>
  <c r="I37" i="21"/>
  <c r="H37" i="21"/>
  <c r="F37" i="21"/>
  <c r="G37" i="21" s="1"/>
  <c r="I36" i="21"/>
  <c r="H36" i="21"/>
  <c r="F33" i="21"/>
  <c r="G33" i="21"/>
  <c r="I34" i="21"/>
  <c r="H34" i="21"/>
  <c r="F34" i="21"/>
  <c r="G34" i="21" s="1"/>
  <c r="I33" i="21"/>
  <c r="H33" i="21"/>
  <c r="F30" i="21"/>
  <c r="G30" i="21" s="1"/>
  <c r="K70" i="21"/>
  <c r="K68" i="21"/>
  <c r="K66" i="21"/>
  <c r="K62" i="21"/>
  <c r="K59" i="21"/>
  <c r="K56" i="21"/>
  <c r="K53" i="21"/>
  <c r="K50" i="21"/>
  <c r="K47" i="21"/>
  <c r="K44" i="21"/>
  <c r="K41" i="21"/>
  <c r="K38" i="21"/>
  <c r="K35" i="21"/>
  <c r="K32" i="21"/>
  <c r="I31" i="21"/>
  <c r="H31" i="21"/>
  <c r="F31" i="21"/>
  <c r="G31" i="21"/>
  <c r="I30" i="21"/>
  <c r="H30" i="21"/>
  <c r="F27" i="21"/>
  <c r="G27" i="21" s="1"/>
  <c r="K29" i="21"/>
  <c r="F24" i="21"/>
  <c r="I28" i="21"/>
  <c r="H28" i="21"/>
  <c r="F28" i="21"/>
  <c r="G28" i="21" s="1"/>
  <c r="K26" i="21"/>
  <c r="I25" i="21"/>
  <c r="H25" i="21"/>
  <c r="G25" i="21"/>
  <c r="F25" i="21"/>
  <c r="I24" i="21"/>
  <c r="H24" i="21"/>
  <c r="G24" i="21"/>
  <c r="F21" i="21"/>
  <c r="K23" i="21"/>
  <c r="I22" i="21"/>
  <c r="H22" i="21"/>
  <c r="G22" i="21"/>
  <c r="F22" i="21"/>
  <c r="I21" i="21"/>
  <c r="H21" i="21"/>
  <c r="G21" i="21"/>
  <c r="F18" i="21"/>
  <c r="G18" i="21"/>
  <c r="K20" i="21"/>
  <c r="I19" i="21"/>
  <c r="H19" i="21"/>
  <c r="F19" i="21"/>
  <c r="G19" i="21" s="1"/>
  <c r="F13" i="21"/>
  <c r="G13" i="21" s="1"/>
  <c r="I18" i="21"/>
  <c r="H18" i="21"/>
  <c r="K17" i="21"/>
  <c r="K16" i="21"/>
  <c r="I15" i="21"/>
  <c r="H15" i="21"/>
  <c r="F15" i="21"/>
  <c r="G15" i="21" s="1"/>
  <c r="F12" i="21"/>
  <c r="G12" i="21"/>
  <c r="K14" i="21"/>
  <c r="I13" i="21"/>
  <c r="H13" i="21"/>
  <c r="F7" i="21"/>
  <c r="G7" i="21" s="1"/>
  <c r="I12" i="21"/>
  <c r="H12" i="21"/>
  <c r="K11" i="21"/>
  <c r="K10" i="21"/>
  <c r="I9" i="21"/>
  <c r="H9" i="21"/>
  <c r="F9" i="21"/>
  <c r="G9" i="21" s="1"/>
  <c r="F6" i="21"/>
  <c r="G6" i="21" s="1"/>
  <c r="AE69" i="21"/>
  <c r="AA69" i="21"/>
  <c r="Z69" i="21"/>
  <c r="Y69" i="21"/>
  <c r="X69" i="21"/>
  <c r="W69" i="21"/>
  <c r="U69" i="21"/>
  <c r="T69" i="21"/>
  <c r="R69" i="21"/>
  <c r="S69" i="21" s="1"/>
  <c r="P69" i="21"/>
  <c r="O69" i="21"/>
  <c r="N69" i="21"/>
  <c r="M69" i="21"/>
  <c r="L69" i="21"/>
  <c r="AE67" i="21"/>
  <c r="AA67" i="21"/>
  <c r="Y67" i="21"/>
  <c r="X67" i="21"/>
  <c r="W67" i="21"/>
  <c r="U67" i="21"/>
  <c r="U65" i="21" s="1"/>
  <c r="T67" i="21"/>
  <c r="R67" i="21"/>
  <c r="S67" i="21" s="1"/>
  <c r="O67" i="21"/>
  <c r="N67" i="21"/>
  <c r="M67" i="21"/>
  <c r="L67" i="21"/>
  <c r="AE65" i="21"/>
  <c r="AA65" i="21"/>
  <c r="Z65" i="21"/>
  <c r="Y65" i="21"/>
  <c r="X65" i="21"/>
  <c r="W65" i="21"/>
  <c r="T65" i="21"/>
  <c r="S65" i="21"/>
  <c r="R65" i="21"/>
  <c r="O65" i="21"/>
  <c r="N65" i="21"/>
  <c r="M65" i="21"/>
  <c r="L65" i="21"/>
  <c r="AE60" i="21"/>
  <c r="AA60" i="21"/>
  <c r="Z60" i="21"/>
  <c r="Y60" i="21"/>
  <c r="X60" i="21"/>
  <c r="W60" i="21"/>
  <c r="U60" i="21"/>
  <c r="T60" i="21"/>
  <c r="R60" i="21"/>
  <c r="S60" i="21"/>
  <c r="P60" i="21"/>
  <c r="O60" i="21"/>
  <c r="M60" i="21"/>
  <c r="N60" i="21"/>
  <c r="L60" i="21"/>
  <c r="AE57" i="21"/>
  <c r="AA57" i="21"/>
  <c r="Z57" i="21"/>
  <c r="Y57" i="21"/>
  <c r="X57" i="21"/>
  <c r="W57" i="21"/>
  <c r="U57" i="21"/>
  <c r="T57" i="21"/>
  <c r="R57" i="21"/>
  <c r="S57" i="21"/>
  <c r="P57" i="21"/>
  <c r="O57" i="21"/>
  <c r="M57" i="21"/>
  <c r="N57" i="21" s="1"/>
  <c r="L57" i="21"/>
  <c r="AE54" i="21"/>
  <c r="AA54" i="21"/>
  <c r="Z54" i="21"/>
  <c r="Y54" i="21"/>
  <c r="X54" i="21"/>
  <c r="W54" i="21"/>
  <c r="U54" i="21"/>
  <c r="T54" i="21"/>
  <c r="S54" i="21"/>
  <c r="R54" i="21"/>
  <c r="P54" i="21"/>
  <c r="O54" i="21"/>
  <c r="M54" i="21"/>
  <c r="N54" i="21" s="1"/>
  <c r="L54" i="21"/>
  <c r="AE51" i="21"/>
  <c r="AA51" i="21"/>
  <c r="Z51" i="21"/>
  <c r="Y51" i="21"/>
  <c r="X51" i="21"/>
  <c r="W51" i="21"/>
  <c r="U51" i="21"/>
  <c r="T51" i="21"/>
  <c r="R51" i="21"/>
  <c r="S51" i="21" s="1"/>
  <c r="P51" i="21"/>
  <c r="O51" i="21"/>
  <c r="N51" i="21"/>
  <c r="M51" i="21"/>
  <c r="L51" i="21"/>
  <c r="AE48" i="21"/>
  <c r="AA48" i="21"/>
  <c r="Z48" i="21"/>
  <c r="Y48" i="21"/>
  <c r="X48" i="21"/>
  <c r="W48" i="21"/>
  <c r="U48" i="21"/>
  <c r="T48" i="21"/>
  <c r="S48" i="21"/>
  <c r="R48" i="21"/>
  <c r="P48" i="21"/>
  <c r="O48" i="21"/>
  <c r="N48" i="21"/>
  <c r="M48" i="21"/>
  <c r="L48" i="21"/>
  <c r="AE45" i="21"/>
  <c r="AA45" i="21"/>
  <c r="Z45" i="21"/>
  <c r="Y45" i="21"/>
  <c r="X45" i="21"/>
  <c r="W45" i="21"/>
  <c r="U45" i="21"/>
  <c r="T45" i="21"/>
  <c r="R45" i="21"/>
  <c r="S45" i="21"/>
  <c r="P45" i="21"/>
  <c r="O45" i="21"/>
  <c r="M45" i="21"/>
  <c r="N45" i="21"/>
  <c r="L45" i="21"/>
  <c r="AE42" i="21"/>
  <c r="AA42" i="21"/>
  <c r="Z42" i="21"/>
  <c r="Y42" i="21"/>
  <c r="X42" i="21"/>
  <c r="W42" i="21"/>
  <c r="T42" i="21"/>
  <c r="O42" i="21"/>
  <c r="N42" i="21"/>
  <c r="M42" i="21"/>
  <c r="L42" i="21"/>
  <c r="AE39" i="21"/>
  <c r="AA39" i="21"/>
  <c r="Z39" i="21"/>
  <c r="Y39" i="21"/>
  <c r="X39" i="21"/>
  <c r="W39" i="21"/>
  <c r="U39" i="21"/>
  <c r="T39" i="21"/>
  <c r="R39" i="21"/>
  <c r="S39" i="21"/>
  <c r="P39" i="21"/>
  <c r="O39" i="21"/>
  <c r="N39" i="21"/>
  <c r="M39" i="21"/>
  <c r="L39" i="21"/>
  <c r="AE36" i="21"/>
  <c r="AA36" i="21"/>
  <c r="Z36" i="21"/>
  <c r="Y36" i="21"/>
  <c r="X36" i="21"/>
  <c r="W36" i="21"/>
  <c r="T36" i="21"/>
  <c r="R36" i="21"/>
  <c r="S36" i="21" s="1"/>
  <c r="P36" i="21"/>
  <c r="P42" i="21" s="1"/>
  <c r="O36" i="21"/>
  <c r="N36" i="21"/>
  <c r="M36" i="21"/>
  <c r="L36" i="21"/>
  <c r="AE33" i="21"/>
  <c r="AA33" i="21"/>
  <c r="Z33" i="21"/>
  <c r="Y33" i="21"/>
  <c r="X33" i="21"/>
  <c r="W33" i="21"/>
  <c r="U33" i="21"/>
  <c r="T33" i="21"/>
  <c r="R33" i="21"/>
  <c r="S33" i="21" s="1"/>
  <c r="P33" i="21"/>
  <c r="O33" i="21"/>
  <c r="N33" i="21"/>
  <c r="M33" i="21"/>
  <c r="L33" i="21"/>
  <c r="AE30" i="21"/>
  <c r="AA30" i="21"/>
  <c r="Z30" i="21"/>
  <c r="Y30" i="21"/>
  <c r="X30" i="21"/>
  <c r="W30" i="21"/>
  <c r="U30" i="21"/>
  <c r="T30" i="21"/>
  <c r="R30" i="21"/>
  <c r="S30" i="21" s="1"/>
  <c r="P30" i="21"/>
  <c r="O30" i="21"/>
  <c r="M30" i="21"/>
  <c r="N30" i="21"/>
  <c r="L30" i="21"/>
  <c r="AE27" i="21"/>
  <c r="AA27" i="21"/>
  <c r="Z27" i="21"/>
  <c r="Y27" i="21"/>
  <c r="X27" i="21"/>
  <c r="W27" i="21"/>
  <c r="U27" i="21"/>
  <c r="T27" i="21"/>
  <c r="R27" i="21"/>
  <c r="S27" i="21" s="1"/>
  <c r="P27" i="21"/>
  <c r="O27" i="21"/>
  <c r="M27" i="21"/>
  <c r="N27" i="21" s="1"/>
  <c r="L27" i="21"/>
  <c r="AE24" i="21"/>
  <c r="AA24" i="21"/>
  <c r="Z24" i="21"/>
  <c r="Y24" i="21"/>
  <c r="X24" i="21"/>
  <c r="W24" i="21"/>
  <c r="U24" i="21"/>
  <c r="T24" i="21"/>
  <c r="S24" i="21"/>
  <c r="R24" i="21"/>
  <c r="P24" i="21"/>
  <c r="O24" i="21"/>
  <c r="N24" i="21"/>
  <c r="M24" i="21"/>
  <c r="L24" i="21"/>
  <c r="AE21" i="21"/>
  <c r="AA21" i="21"/>
  <c r="Z21" i="21"/>
  <c r="Y21" i="21"/>
  <c r="X21" i="21"/>
  <c r="W21" i="21"/>
  <c r="U21" i="21"/>
  <c r="T21" i="21"/>
  <c r="S21" i="21"/>
  <c r="R21" i="21"/>
  <c r="P21" i="21"/>
  <c r="O21" i="21"/>
  <c r="N21" i="21"/>
  <c r="M21" i="21"/>
  <c r="L21" i="21"/>
  <c r="AE18" i="21"/>
  <c r="AA18" i="21"/>
  <c r="Z18" i="21"/>
  <c r="Y18" i="21"/>
  <c r="X18" i="21"/>
  <c r="W18" i="21"/>
  <c r="U18" i="21"/>
  <c r="T18" i="21"/>
  <c r="R18" i="21"/>
  <c r="S18" i="21"/>
  <c r="P18" i="21"/>
  <c r="O18" i="21"/>
  <c r="N18" i="21"/>
  <c r="M18" i="21"/>
  <c r="L18" i="21"/>
  <c r="AE15" i="21"/>
  <c r="AA15" i="21"/>
  <c r="Z15" i="21"/>
  <c r="Y15" i="21"/>
  <c r="X15" i="21"/>
  <c r="W15" i="21"/>
  <c r="U15" i="21"/>
  <c r="T15" i="21"/>
  <c r="R15" i="21"/>
  <c r="S15" i="21" s="1"/>
  <c r="P15" i="21"/>
  <c r="O15" i="21"/>
  <c r="N15" i="21"/>
  <c r="M15" i="21"/>
  <c r="L15" i="21"/>
  <c r="AE12" i="21"/>
  <c r="AA12" i="21"/>
  <c r="Z12" i="21"/>
  <c r="Y12" i="21"/>
  <c r="X12" i="21"/>
  <c r="W12" i="21"/>
  <c r="U12" i="21"/>
  <c r="T12" i="21"/>
  <c r="R12" i="21"/>
  <c r="S12" i="21" s="1"/>
  <c r="P12" i="21"/>
  <c r="O12" i="21"/>
  <c r="N12" i="21"/>
  <c r="M12" i="21"/>
  <c r="L12" i="21"/>
  <c r="AE9" i="21"/>
  <c r="AA9" i="21"/>
  <c r="Z9" i="21"/>
  <c r="Y9" i="21"/>
  <c r="X9" i="21"/>
  <c r="W9" i="21"/>
  <c r="U9" i="21"/>
  <c r="T9" i="21"/>
  <c r="R9" i="21"/>
  <c r="S9" i="21" s="1"/>
  <c r="P9" i="21"/>
  <c r="O9" i="21"/>
  <c r="N9" i="21"/>
  <c r="M9" i="21"/>
  <c r="L9" i="21"/>
  <c r="AE6" i="21"/>
  <c r="AA6" i="21"/>
  <c r="Z6" i="21"/>
  <c r="Y6" i="21"/>
  <c r="X6" i="21"/>
  <c r="W6" i="21"/>
  <c r="U6" i="21"/>
  <c r="T6" i="21"/>
  <c r="R6" i="21"/>
  <c r="S6" i="21" s="1"/>
  <c r="P6" i="21"/>
  <c r="O6" i="21"/>
  <c r="M6" i="21"/>
  <c r="N6" i="21" s="1"/>
  <c r="L6" i="21"/>
  <c r="K8" i="21"/>
  <c r="I7" i="21"/>
  <c r="H7" i="21"/>
  <c r="I6" i="21"/>
  <c r="H6" i="21"/>
  <c r="C110" i="21"/>
  <c r="C69" i="21" s="1"/>
  <c r="B110" i="21"/>
  <c r="B69" i="21" s="1"/>
  <c r="C109" i="21"/>
  <c r="C67" i="21" s="1"/>
  <c r="B109" i="21"/>
  <c r="B67" i="21"/>
  <c r="C108" i="21"/>
  <c r="C65" i="21"/>
  <c r="B108" i="21"/>
  <c r="B65" i="21"/>
  <c r="C107" i="21"/>
  <c r="C60" i="21" s="1"/>
  <c r="B107" i="21"/>
  <c r="B60" i="21" s="1"/>
  <c r="C106" i="21"/>
  <c r="C57" i="21"/>
  <c r="B106" i="21"/>
  <c r="B57" i="21" s="1"/>
  <c r="C105" i="21"/>
  <c r="C54" i="21" s="1"/>
  <c r="B105" i="21"/>
  <c r="B54" i="21"/>
  <c r="C104" i="21"/>
  <c r="C51" i="21"/>
  <c r="B104" i="21"/>
  <c r="B51" i="21"/>
  <c r="C103" i="21"/>
  <c r="C48" i="21"/>
  <c r="B103" i="21"/>
  <c r="B48" i="21" s="1"/>
  <c r="C102" i="21"/>
  <c r="C45" i="21"/>
  <c r="B102" i="21"/>
  <c r="B45" i="21"/>
  <c r="C101" i="21"/>
  <c r="C42" i="21"/>
  <c r="B101" i="21"/>
  <c r="B42" i="21" s="1"/>
  <c r="C100" i="21"/>
  <c r="C39" i="21" s="1"/>
  <c r="B100" i="21"/>
  <c r="B39" i="21" s="1"/>
  <c r="C99" i="21"/>
  <c r="C36" i="21"/>
  <c r="B99" i="21"/>
  <c r="B36" i="21" s="1"/>
  <c r="C98" i="21"/>
  <c r="C33" i="21"/>
  <c r="B98" i="21"/>
  <c r="B33" i="21"/>
  <c r="C97" i="21"/>
  <c r="C30" i="21"/>
  <c r="B97" i="21"/>
  <c r="B30" i="21"/>
  <c r="C96" i="21"/>
  <c r="C27" i="21" s="1"/>
  <c r="C95" i="21"/>
  <c r="C24" i="21" s="1"/>
  <c r="C94" i="21"/>
  <c r="C21" i="21"/>
  <c r="C93" i="21"/>
  <c r="C18" i="21" s="1"/>
  <c r="B96" i="21"/>
  <c r="B27" i="21" s="1"/>
  <c r="B95" i="21"/>
  <c r="B24" i="21" s="1"/>
  <c r="B94" i="21"/>
  <c r="B21" i="21" s="1"/>
  <c r="B93" i="21"/>
  <c r="B18" i="21"/>
  <c r="B92" i="21"/>
  <c r="B15" i="21"/>
  <c r="B91" i="21"/>
  <c r="B12" i="21"/>
  <c r="B90" i="21"/>
  <c r="B9" i="21" s="1"/>
  <c r="B89" i="21"/>
  <c r="B6" i="21" s="1"/>
  <c r="C92" i="21"/>
  <c r="C15" i="21"/>
  <c r="C91" i="21"/>
  <c r="C12" i="21" s="1"/>
  <c r="C90" i="21"/>
  <c r="C9" i="21" s="1"/>
  <c r="C89" i="21"/>
  <c r="C6" i="21"/>
  <c r="U42" i="21"/>
  <c r="L46" i="25"/>
  <c r="R14" i="26"/>
  <c r="O46" i="25" s="1"/>
  <c r="O42" i="25"/>
  <c r="Q14" i="26"/>
  <c r="Q15" i="26" s="1"/>
  <c r="R11" i="25"/>
  <c r="Q7" i="25" l="1"/>
  <c r="H25" i="28"/>
  <c r="F9" i="28" s="1"/>
  <c r="E9" i="28" s="1"/>
  <c r="D9" i="28"/>
  <c r="C9" i="28" s="1"/>
  <c r="K42" i="25"/>
  <c r="S14" i="26"/>
  <c r="P46" i="25" s="1"/>
  <c r="T5" i="26"/>
  <c r="R15" i="25" s="1"/>
  <c r="N42" i="25"/>
  <c r="L23" i="25"/>
  <c r="Q15" i="25"/>
  <c r="N32" i="25"/>
  <c r="N76" i="25"/>
  <c r="R15" i="26"/>
  <c r="R16" i="26" s="1"/>
  <c r="K78" i="21"/>
  <c r="Q76" i="25"/>
  <c r="L29" i="25"/>
  <c r="K29" i="25" s="1"/>
  <c r="U36" i="21"/>
  <c r="Q5" i="26"/>
  <c r="M15" i="25" s="1"/>
  <c r="R26" i="25"/>
  <c r="P6" i="26"/>
  <c r="L19" i="25" s="1"/>
  <c r="K19" i="25" s="1"/>
  <c r="N15" i="25"/>
  <c r="N73" i="25"/>
  <c r="K73" i="25"/>
  <c r="J23" i="25"/>
  <c r="O12" i="26"/>
  <c r="J39" i="25" s="1"/>
  <c r="K39" i="25" s="1"/>
  <c r="L7" i="25"/>
  <c r="K7" i="25" s="1"/>
  <c r="P11" i="25"/>
  <c r="Q11" i="25" s="1"/>
  <c r="O11" i="26"/>
  <c r="J36" i="25" s="1"/>
  <c r="J26" i="25"/>
  <c r="N39" i="25"/>
  <c r="G48" i="25"/>
  <c r="L15" i="26"/>
  <c r="Q73" i="25"/>
  <c r="Q39" i="25"/>
  <c r="P17" i="26"/>
  <c r="L54" i="25"/>
  <c r="X78" i="21"/>
  <c r="X79" i="21" s="1"/>
  <c r="W79" i="21"/>
  <c r="S11" i="26"/>
  <c r="P36" i="25" s="1"/>
  <c r="Q36" i="25" s="1"/>
  <c r="P26" i="25"/>
  <c r="K105" i="25"/>
  <c r="K107" i="25" s="1"/>
  <c r="R11" i="26"/>
  <c r="O36" i="25" s="1"/>
  <c r="O26" i="25"/>
  <c r="K70" i="25"/>
  <c r="K112" i="25"/>
  <c r="M50" i="25"/>
  <c r="Q16" i="26"/>
  <c r="M26" i="25"/>
  <c r="N26" i="25" s="1"/>
  <c r="Q11" i="26"/>
  <c r="M36" i="25" s="1"/>
  <c r="N70" i="25"/>
  <c r="O15" i="26"/>
  <c r="J46" i="25"/>
  <c r="K46" i="25" s="1"/>
  <c r="Q19" i="25"/>
  <c r="P11" i="26"/>
  <c r="L36" i="25" s="1"/>
  <c r="L26" i="25"/>
  <c r="O54" i="25"/>
  <c r="R17" i="26"/>
  <c r="Q70" i="25"/>
  <c r="M29" i="25"/>
  <c r="N29" i="25" s="1"/>
  <c r="P23" i="25"/>
  <c r="Q23" i="25" s="1"/>
  <c r="P29" i="25"/>
  <c r="R29" i="25"/>
  <c r="K108" i="25"/>
  <c r="K111" i="25" s="1"/>
  <c r="M23" i="25"/>
  <c r="M46" i="25"/>
  <c r="N46" i="25" s="1"/>
  <c r="O23" i="25"/>
  <c r="T14" i="26"/>
  <c r="J11" i="25"/>
  <c r="K11" i="25" s="1"/>
  <c r="S15" i="26"/>
  <c r="L50" i="25"/>
  <c r="O50" i="25"/>
  <c r="K23" i="25" l="1"/>
  <c r="Q26" i="25"/>
  <c r="O16" i="26"/>
  <c r="J50" i="25"/>
  <c r="K50" i="25" s="1"/>
  <c r="P18" i="26"/>
  <c r="L58" i="25"/>
  <c r="W82" i="21"/>
  <c r="W80" i="21"/>
  <c r="G52" i="25"/>
  <c r="L16" i="26"/>
  <c r="K110" i="25"/>
  <c r="T15" i="26"/>
  <c r="R46" i="25"/>
  <c r="Q46" i="25" s="1"/>
  <c r="M54" i="25"/>
  <c r="N54" i="25" s="1"/>
  <c r="Q17" i="26"/>
  <c r="K113" i="25"/>
  <c r="K26" i="25"/>
  <c r="N36" i="25"/>
  <c r="Q29" i="25"/>
  <c r="K36" i="25"/>
  <c r="P50" i="25"/>
  <c r="S16" i="26"/>
  <c r="X82" i="21"/>
  <c r="X80" i="21"/>
  <c r="N23" i="25"/>
  <c r="N50" i="25"/>
  <c r="O58" i="25"/>
  <c r="R18" i="26"/>
  <c r="G56" i="25" l="1"/>
  <c r="L17" i="26"/>
  <c r="P54" i="25"/>
  <c r="S17" i="26"/>
  <c r="L62" i="25"/>
  <c r="P19" i="26"/>
  <c r="L66" i="25" s="1"/>
  <c r="O62" i="25"/>
  <c r="R19" i="26"/>
  <c r="O66" i="25" s="1"/>
  <c r="M58" i="25"/>
  <c r="N58" i="25" s="1"/>
  <c r="Q18" i="26"/>
  <c r="T16" i="26"/>
  <c r="R50" i="25"/>
  <c r="Q50" i="25" s="1"/>
  <c r="O17" i="26"/>
  <c r="J54" i="25"/>
  <c r="K54" i="25" s="1"/>
  <c r="R54" i="25" l="1"/>
  <c r="T17" i="26"/>
  <c r="J58" i="25"/>
  <c r="K58" i="25" s="1"/>
  <c r="O18" i="26"/>
  <c r="S18" i="26"/>
  <c r="P58" i="25"/>
  <c r="M62" i="25"/>
  <c r="N62" i="25" s="1"/>
  <c r="Q19" i="26"/>
  <c r="M66" i="25" s="1"/>
  <c r="N66" i="25" s="1"/>
  <c r="Q54" i="25"/>
  <c r="L18" i="26"/>
  <c r="G60" i="25"/>
  <c r="L19" i="26" l="1"/>
  <c r="G68" i="25" s="1"/>
  <c r="G64" i="25"/>
  <c r="O19" i="26"/>
  <c r="J66" i="25" s="1"/>
  <c r="K66" i="25" s="1"/>
  <c r="J62" i="25"/>
  <c r="K62" i="25" s="1"/>
  <c r="R58" i="25"/>
  <c r="Q58" i="25" s="1"/>
  <c r="T18" i="26"/>
  <c r="P62" i="25"/>
  <c r="S19" i="26"/>
  <c r="P66" i="25" s="1"/>
  <c r="R62" i="25" l="1"/>
  <c r="Q62" i="25" s="1"/>
  <c r="T19" i="26"/>
  <c r="R66" i="25" s="1"/>
  <c r="Q66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7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88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1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6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6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6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6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6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This is based on the simulations with R - based on 30 years of PV and wind data
</t>
        </r>
      </text>
    </comment>
    <comment ref="F23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4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U8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<sst xmlns="http://schemas.openxmlformats.org/spreadsheetml/2006/main" count="1819" uniqueCount="612">
  <si>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</si>
  <si>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</si>
  <si>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</si>
  <si>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</si>
  <si>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</si>
  <si>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</si>
  <si>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</si>
  <si>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</si>
  <si>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</si>
  <si>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</si>
  <si>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</si>
  <si>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</si>
  <si>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</si>
  <si>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</si>
  <si>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</si>
  <si>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</si>
  <si>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</si>
  <si>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</si>
  <si>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</si>
  <si>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</si>
  <si>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</si>
  <si>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</si>
  <si>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</si>
  <si>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</si>
  <si>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</si>
  <si>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</si>
  <si>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</si>
  <si>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</si>
  <si>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</si>
  <si>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</si>
  <si>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</si>
  <si>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</si>
  <si>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</si>
  <si>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</si>
  <si>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</si>
  <si>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</si>
  <si>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</si>
  <si>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</si>
  <si>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</si>
  <si>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</si>
  <si>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</si>
  <si>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</si>
  <si>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</si>
  <si>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</si>
  <si>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</si>
  <si>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</si>
  <si>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</si>
  <si>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</si>
  <si>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</si>
  <si>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</si>
  <si>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</si>
  <si>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</si>
  <si>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</si>
  <si>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</si>
  <si>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</si>
  <si>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</si>
  <si>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</si>
  <si>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</si>
  <si>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</si>
  <si>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</si>
  <si>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</si>
  <si>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</si>
  <si>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</si>
  <si>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</si>
  <si>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</si>
  <si>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</si>
  <si>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</si>
  <si>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</si>
  <si>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</si>
  <si>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</si>
  <si>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</si>
  <si>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</si>
  <si>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</si>
  <si>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</si>
  <si>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</si>
  <si>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</si>
  <si>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</si>
  <si>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</si>
  <si>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</si>
  <si>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</si>
  <si>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</si>
  <si>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</si>
  <si>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</si>
  <si>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</si>
  <si>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</si>
  <si>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</si>
  <si>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</si>
  <si>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</si>
  <si>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</si>
  <si>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</si>
  <si>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</si>
  <si>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</si>
  <si>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</si>
  <si>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</si>
  <si>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</si>
  <si>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</si>
  <si>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</si>
  <si>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</si>
  <si>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</si>
  <si>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</si>
  <si>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</si>
  <si>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</si>
  <si>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</si>
  <si>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</si>
  <si>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</si>
  <si>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</si>
  <si>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</si>
  <si>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</si>
  <si>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</si>
  <si>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</si>
  <si>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</si>
  <si>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</si>
  <si>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</si>
  <si>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</si>
  <si>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</si>
  <si>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</si>
  <si>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</si>
  <si>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</si>
  <si>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</si>
  <si>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</si>
  <si>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</si>
  <si>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</si>
  <si>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</si>
  <si>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</si>
  <si>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</si>
  <si>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</si>
  <si>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</si>
  <si>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</si>
  <si>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</si>
  <si>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</si>
  <si>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</si>
  <si>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</si>
  <si>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</si>
  <si>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</si>
  <si>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</si>
  <si>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</si>
  <si>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</si>
  <si>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</si>
  <si>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</si>
  <si>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</si>
  <si>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</si>
  <si>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</si>
  <si>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</si>
  <si>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</si>
  <si>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</si>
  <si>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</si>
  <si>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</si>
  <si>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</si>
  <si>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</si>
  <si>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</si>
  <si>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</si>
  <si>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</si>
  <si>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</si>
  <si>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</si>
  <si>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</si>
  <si>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</si>
  <si>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</si>
  <si>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</si>
  <si>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</si>
  <si>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</si>
  <si>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</si>
  <si>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</si>
  <si>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</si>
  <si>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</si>
  <si>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</si>
  <si>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</si>
  <si>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</si>
  <si>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</si>
  <si>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</si>
  <si>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</si>
  <si>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</si>
  <si>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</si>
  <si>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</si>
  <si>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</si>
  <si>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</si>
  <si>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</si>
  <si>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</si>
  <si>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</si>
  <si>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</si>
  <si>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</si>
  <si>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</si>
  <si>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</si>
  <si>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</si>
  <si>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</si>
  <si>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</si>
  <si>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</si>
  <si>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</si>
  <si>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</si>
  <si>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</si>
  <si>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</si>
  <si>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</si>
  <si>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</si>
  <si>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</si>
  <si>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</si>
  <si>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</si>
  <si>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</si>
  <si>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</si>
  <si>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</si>
  <si>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</si>
  <si>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</si>
  <si>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</si>
  <si>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</si>
  <si>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</si>
  <si>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</si>
  <si>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</si>
  <si>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</si>
  <si>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</si>
  <si>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</si>
  <si>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</si>
  <si>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</si>
  <si>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</si>
  <si>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</si>
  <si>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</si>
  <si>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</si>
  <si>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</si>
  <si>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</si>
  <si>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</si>
  <si>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</si>
  <si>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</si>
  <si>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</si>
  <si>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</si>
  <si>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</si>
  <si>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</si>
  <si>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</si>
  <si>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</si>
  <si>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</si>
  <si>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</si>
  <si>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</si>
  <si>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</si>
  <si>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</si>
  <si>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</si>
  <si>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</si>
  <si>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</si>
  <si>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</si>
  <si>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</si>
  <si>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</si>
  <si>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</si>
  <si>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</si>
  <si>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</si>
  <si>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</si>
  <si>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</si>
  <si>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</si>
  <si>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</si>
  <si>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</si>
  <si>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</si>
  <si>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</si>
  <si>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</si>
  <si>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</si>
  <si>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</si>
  <si>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</si>
  <si>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</si>
  <si>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</si>
  <si>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</si>
  <si>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</si>
  <si>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</si>
  <si>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</si>
  <si>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</si>
  <si>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</si>
  <si>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</si>
  <si>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</si>
  <si>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</si>
  <si>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</si>
  <si>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</si>
  <si>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</si>
  <si>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</si>
  <si>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</si>
  <si>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</si>
  <si>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</si>
  <si>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</si>
  <si>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</si>
  <si>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</si>
  <si>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</si>
  <si>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</si>
  <si>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</si>
  <si>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</si>
  <si>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</si>
  <si>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</si>
  <si>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</si>
  <si>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</si>
  <si>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</si>
  <si>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</si>
  <si>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</si>
  <si>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</si>
  <si>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</si>
  <si>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</si>
  <si>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</si>
  <si>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</si>
  <si>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</si>
  <si>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</si>
  <si>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CHP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</si>
  <si>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</si>
  <si>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</si>
  <si>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</si>
  <si>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</si>
  <si>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</si>
  <si>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</si>
  <si>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</si>
  <si>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</si>
  <si>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</si>
  <si>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</si>
  <si>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</si>
  <si>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</si>
  <si>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</si>
  <si>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</si>
  <si>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</si>
  <si>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</si>
  <si>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</si>
  <si>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</si>
  <si>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</si>
  <si>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</si>
  <si>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</si>
  <si>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</si>
  <si>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</si>
  <si>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</si>
  <si>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</si>
  <si>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</si>
  <si>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</si>
  <si>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</si>
  <si>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</si>
  <si>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</si>
  <si>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</si>
  <si>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</si>
  <si>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</si>
  <si>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</si>
  <si>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</si>
  <si>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</si>
  <si>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</si>
  <si>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</si>
  <si>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</si>
  <si>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</si>
  <si>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</si>
  <si>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</si>
  <si>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</si>
  <si>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</si>
  <si>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</si>
  <si>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</si>
  <si>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</si>
  <si>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</si>
  <si>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</si>
  <si>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</si>
  <si>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</si>
  <si>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</si>
  <si>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</si>
  <si>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</si>
  <si>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</si>
  <si>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</si>
  <si>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</si>
  <si>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</si>
  <si>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</si>
  <si>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</si>
  <si>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</si>
  <si>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</si>
  <si>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</si>
  <si>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</si>
  <si>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</si>
  <si>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</si>
  <si>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</si>
  <si>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</si>
  <si>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</si>
  <si>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</si>
  <si>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</si>
  <si>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</si>
  <si>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</si>
  <si>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</si>
  <si>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</si>
  <si>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</si>
  <si>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</si>
  <si>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</si>
  <si>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</si>
  <si>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</si>
  <si>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</si>
  <si>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</si>
  <si>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</si>
  <si>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</si>
  <si>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</si>
  <si>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</si>
  <si>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</si>
  <si>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</si>
  <si>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</si>
  <si>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</si>
  <si>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</si>
  <si>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</si>
  <si>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</si>
  <si>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</si>
  <si>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</si>
  <si>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</si>
  <si>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</si>
  <si>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</si>
  <si>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</si>
  <si>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</si>
  <si>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</si>
  <si>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</si>
  <si>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</si>
  <si>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</si>
  <si>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</si>
  <si>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</si>
  <si>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</si>
  <si>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</si>
  <si>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</si>
  <si>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</si>
  <si>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</si>
  <si>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</si>
  <si>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</si>
  <si>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</si>
  <si>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</si>
  <si>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</si>
  <si>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</si>
  <si>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</si>
  <si>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</si>
  <si>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</si>
  <si>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</si>
  <si>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</si>
  <si>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</si>
  <si>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</si>
  <si>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</si>
  <si>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</si>
  <si>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</si>
  <si>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</si>
  <si>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</si>
  <si>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</si>
  <si>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</si>
  <si>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</si>
  <si>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</si>
  <si>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</si>
  <si>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</si>
  <si>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</si>
  <si>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</si>
  <si>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</si>
  <si>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</si>
  <si>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</si>
  <si>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</si>
  <si>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</si>
  <si>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</si>
  <si>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</si>
  <si>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</si>
  <si>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</si>
  <si>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ELCHIG</t>
  </si>
  <si>
    <t>COAHAR</t>
  </si>
  <si>
    <t>BIOWOO</t>
  </si>
  <si>
    <t>GASNAT</t>
  </si>
  <si>
    <t>ELCSOL</t>
  </si>
  <si>
    <t>BIOETHA</t>
  </si>
  <si>
    <t>OILHFO</t>
  </si>
  <si>
    <t>ELCNUC</t>
  </si>
  <si>
    <t>TRAGSLSP95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</si>
  <si>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</si>
  <si>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</si>
  <si>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</si>
  <si>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</si>
  <si>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</si>
  <si>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</si>
  <si>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</si>
  <si>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</si>
  <si>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</si>
  <si>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</si>
  <si>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</si>
  <si>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</si>
  <si>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</si>
  <si>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</si>
  <si>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</si>
  <si>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</si>
  <si>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</si>
  <si>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</si>
  <si>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</si>
  <si>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</si>
  <si>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</si>
  <si>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</si>
  <si>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</si>
  <si>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</si>
  <si>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</si>
  <si>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</si>
  <si>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</si>
  <si>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</si>
  <si>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</si>
  <si>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</si>
  <si>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</si>
  <si>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</si>
  <si>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</si>
  <si>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</si>
  <si>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</si>
  <si>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</si>
  <si>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</si>
  <si>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</si>
  <si>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</si>
  <si>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</si>
  <si>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</si>
  <si>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</si>
  <si>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</si>
  <si>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</si>
  <si>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</si>
  <si>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</si>
  <si>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</si>
  <si>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</si>
  <si>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</si>
  <si>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</si>
  <si>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</si>
  <si>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</si>
  <si>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</si>
  <si>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</si>
  <si>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</si>
  <si>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</si>
  <si>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</si>
  <si>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</si>
  <si>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</si>
  <si>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</si>
  <si>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</si>
  <si>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</si>
  <si>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</si>
  <si>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</si>
  <si>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</si>
  <si>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</si>
  <si>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</si>
  <si>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~FI_T: EUR12</t>
  </si>
  <si>
    <t>Centralised Hydrogen Underground Storage: DayNite/Seasonal</t>
  </si>
  <si>
    <t>Centralised Hydrogen Gas Tank Storage: DayNite/Seasonal</t>
  </si>
  <si>
    <t>Distributed Hydrogen Gas Tank Storage: DayNite/Seasonal</t>
  </si>
  <si>
    <t>ELCMED</t>
  </si>
  <si>
    <t>Hydrogen Fuel Cell</t>
  </si>
  <si>
    <t>~FI_T: EUR13</t>
  </si>
  <si>
    <t>Eff~2010</t>
  </si>
  <si>
    <t>Eff~2020</t>
  </si>
  <si>
    <t>Eff~2030</t>
  </si>
  <si>
    <t>Eff~2040</t>
  </si>
  <si>
    <t>Eff~2050</t>
  </si>
  <si>
    <t>INVCOST~2010</t>
  </si>
  <si>
    <t>INVCOST~2040</t>
  </si>
  <si>
    <t>VAROM~2010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</si>
  <si>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</si>
  <si>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</si>
  <si>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</si>
  <si>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</si>
  <si>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</si>
  <si>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</si>
  <si>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</si>
  <si>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</si>
  <si>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</si>
  <si>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</si>
  <si>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</si>
  <si>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</si>
  <si>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</si>
  <si>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</si>
  <si>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</si>
  <si>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</si>
  <si>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</si>
  <si>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</si>
  <si>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</si>
  <si>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</si>
  <si>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</si>
  <si>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</si>
  <si>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</si>
  <si>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</si>
  <si>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</si>
  <si>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</si>
  <si>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</si>
  <si>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</si>
  <si>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</si>
  <si>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</si>
  <si>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</si>
  <si>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</si>
  <si>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</si>
  <si>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</si>
  <si>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</si>
  <si>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</si>
  <si>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</si>
  <si>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</si>
  <si>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</si>
  <si>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</si>
  <si>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</si>
  <si>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</si>
  <si>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</si>
  <si>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</si>
  <si>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</si>
  <si>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</si>
  <si>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</si>
  <si>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</si>
  <si>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</si>
  <si>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</si>
  <si>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</si>
  <si>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</si>
  <si>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</si>
  <si>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</si>
  <si>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</si>
  <si>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</si>
  <si>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</si>
  <si>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</si>
  <si>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</si>
  <si>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</si>
  <si>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</si>
  <si>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</si>
  <si>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</si>
  <si>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</si>
  <si>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</si>
  <si>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</si>
  <si>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</si>
  <si>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</si>
  <si>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</si>
  <si>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</si>
  <si>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</si>
  <si>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</si>
  <si>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</si>
  <si>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</si>
  <si>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</si>
  <si>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</si>
  <si>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</si>
  <si>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</si>
  <si>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</si>
  <si>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</si>
  <si>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</si>
  <si>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</si>
  <si>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</si>
  <si>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was</t>
  </si>
  <si>
    <t>declared in SysSettings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</si>
</sst>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&quot;$&quot;#,##0_);\(&quot;$&quot;#,##0\)"/>
    <numFmt numFmtId="167" formatCode="_(&quot;$&quot;* #,##0.00_);_(&quot;$&quot;* \(#,##0.00\);_(&quot;$&quot;* &quot;-&quot;??_);_(@_)"/>
    <numFmt numFmtId="168" formatCode="0.0"/>
    <numFmt numFmtId="169" formatCode="0.0%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[$€-2]\ * #,##0.00_-;\-[$€-2]\ * #,##0.00_-;_-[$€-2]\ * &quot;-&quot;??_-"/>
    <numFmt numFmtId="174" formatCode="#,##0;\-\ #,##0;_-\ &quot;- &quot;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_-&quot;$&quot;* #,##0.00_-;\-&quot;$&quot;* #,##0.00_-;_-&quot;$&quot;* &quot;-&quot;??_-;_-@_-"/>
    <numFmt numFmtId="185" formatCode="General_)"/>
    <numFmt numFmtId="186" formatCode="\Te\x\t"/>
    <numFmt numFmtId="187" formatCode="0.000"/>
    <numFmt numFmtId="188" formatCode="0.00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9" fillId="0" borderId="0"/>
    <xf numFmtId="0" fontId="27" fillId="0" borderId="0"/>
    <xf numFmtId="9" fontId="26" fillId="0" borderId="0" applyFont="0" applyFill="0" applyBorder="0" applyAlignment="0" applyProtection="0"/>
    <xf numFmtId="0" fontId="35" fillId="0" borderId="0"/>
    <xf numFmtId="0" fontId="29" fillId="0" borderId="0"/>
    <xf numFmtId="9" fontId="29" fillId="0" borderId="0" applyFont="0" applyFill="0" applyBorder="0" applyAlignment="0" applyProtection="0"/>
    <xf numFmtId="0" fontId="25" fillId="0" borderId="0"/>
    <xf numFmtId="0" fontId="26" fillId="0" borderId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26" borderId="0" applyNumberFormat="0" applyBorder="0" applyAlignment="0" applyProtection="0"/>
    <xf numFmtId="0" fontId="53" fillId="26" borderId="0" applyNumberFormat="0" applyBorder="0" applyAlignment="0" applyProtection="0"/>
    <xf numFmtId="0" fontId="25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39" fillId="0" borderId="0"/>
    <xf numFmtId="0" fontId="39" fillId="0" borderId="0"/>
    <xf numFmtId="0" fontId="26" fillId="0" borderId="0"/>
    <xf numFmtId="0" fontId="39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39" fillId="0" borderId="0"/>
    <xf numFmtId="0" fontId="25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39" fillId="0" borderId="0"/>
    <xf numFmtId="0" fontId="26" fillId="0" borderId="0"/>
    <xf numFmtId="0" fontId="39" fillId="0" borderId="0"/>
    <xf numFmtId="0" fontId="39" fillId="0" borderId="0"/>
    <xf numFmtId="0" fontId="26" fillId="0" borderId="0"/>
    <xf numFmtId="0" fontId="25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5" fontId="55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31" fillId="28" borderId="13" applyNumberFormat="0" applyProtection="0">
      <alignment horizontal="right"/>
    </xf>
    <xf numFmtId="0" fontId="56" fillId="28" borderId="0" applyNumberFormat="0" applyBorder="0" applyProtection="0">
      <alignment horizontal="left"/>
    </xf>
    <xf numFmtId="0" fontId="31" fillId="28" borderId="13" applyNumberFormat="0" applyProtection="0">
      <alignment horizontal="lef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57" fillId="2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176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4" fillId="0" borderId="0"/>
    <xf numFmtId="0" fontId="26" fillId="0" borderId="0"/>
    <xf numFmtId="0" fontId="23" fillId="0" borderId="0"/>
    <xf numFmtId="49" fontId="26" fillId="32" borderId="15">
      <alignment vertical="top" wrapText="1"/>
    </xf>
    <xf numFmtId="3" fontId="64" fillId="0" borderId="15">
      <alignment horizontal="right" vertical="top"/>
    </xf>
    <xf numFmtId="0" fontId="31" fillId="33" borderId="13">
      <alignment horizontal="centerContinuous" vertical="top" wrapText="1"/>
    </xf>
    <xf numFmtId="0" fontId="65" fillId="0" borderId="0">
      <alignment vertical="top" wrapText="1"/>
    </xf>
    <xf numFmtId="0" fontId="66" fillId="0" borderId="0"/>
    <xf numFmtId="0" fontId="26" fillId="27" borderId="11" applyNumberFormat="0" applyFont="0" applyAlignment="0" applyProtection="0"/>
    <xf numFmtId="177" fontId="67" fillId="0" borderId="0">
      <alignment horizontal="right"/>
    </xf>
    <xf numFmtId="0" fontId="65" fillId="0" borderId="0">
      <alignment vertical="top" wrapText="1"/>
    </xf>
    <xf numFmtId="178" fontId="68" fillId="34" borderId="16">
      <alignment vertical="center"/>
    </xf>
    <xf numFmtId="169" fontId="69" fillId="34" borderId="16">
      <alignment vertical="center"/>
    </xf>
    <xf numFmtId="178" fontId="70" fillId="35" borderId="16">
      <alignment vertical="center"/>
    </xf>
    <xf numFmtId="0" fontId="26" fillId="36" borderId="17" applyBorder="0">
      <alignment horizontal="left" vertical="center"/>
    </xf>
    <xf numFmtId="49" fontId="26" fillId="37" borderId="13">
      <alignment vertical="center" wrapText="1"/>
    </xf>
    <xf numFmtId="0" fontId="26" fillId="38" borderId="18">
      <alignment horizontal="left" vertical="center" wrapText="1"/>
    </xf>
    <xf numFmtId="0" fontId="71" fillId="39" borderId="13">
      <alignment horizontal="left" vertical="center" wrapText="1"/>
    </xf>
    <xf numFmtId="0" fontId="26" fillId="40" borderId="13">
      <alignment horizontal="left" vertical="center" wrapText="1"/>
    </xf>
    <xf numFmtId="0" fontId="26" fillId="41" borderId="13">
      <alignment horizontal="left" vertical="center" wrapText="1"/>
    </xf>
    <xf numFmtId="0" fontId="63" fillId="0" borderId="0" applyNumberFormat="0" applyFill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2" fontId="72" fillId="0" borderId="0" applyFont="0" applyFill="0" applyBorder="0" applyAlignment="0" applyProtection="0"/>
    <xf numFmtId="173" fontId="72" fillId="0" borderId="0" applyFont="0" applyFill="0" applyBorder="0" applyAlignment="0" applyProtection="0"/>
    <xf numFmtId="173" fontId="72" fillId="0" borderId="0" applyFont="0" applyFill="0" applyBorder="0" applyAlignment="0" applyProtection="0"/>
    <xf numFmtId="0" fontId="20" fillId="0" borderId="0"/>
    <xf numFmtId="0" fontId="7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0" borderId="0"/>
    <xf numFmtId="0" fontId="20" fillId="0" borderId="0"/>
    <xf numFmtId="0" fontId="7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0" borderId="0"/>
    <xf numFmtId="0" fontId="20" fillId="0" borderId="0"/>
    <xf numFmtId="0" fontId="20" fillId="0" borderId="0"/>
    <xf numFmtId="0" fontId="72" fillId="27" borderId="11" applyNumberFormat="0" applyFont="0" applyAlignment="0" applyProtection="0"/>
    <xf numFmtId="174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19" fillId="46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49" fontId="84" fillId="0" borderId="13" applyNumberFormat="0" applyFont="0" applyFill="0" applyBorder="0" applyProtection="0">
      <alignment horizontal="left" vertical="center" indent="2"/>
    </xf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85" fillId="32" borderId="0" applyBorder="0" applyAlignment="0"/>
    <xf numFmtId="0" fontId="84" fillId="32" borderId="0" applyBorder="0">
      <alignment horizontal="right" vertical="center"/>
    </xf>
    <xf numFmtId="0" fontId="84" fillId="3" borderId="0" applyBorder="0">
      <alignment horizontal="right" vertical="center"/>
    </xf>
    <xf numFmtId="0" fontId="84" fillId="3" borderId="0" applyBorder="0">
      <alignment horizontal="right" vertical="center"/>
    </xf>
    <xf numFmtId="0" fontId="83" fillId="3" borderId="13">
      <alignment horizontal="right" vertical="center"/>
    </xf>
    <xf numFmtId="0" fontId="86" fillId="3" borderId="13">
      <alignment horizontal="right" vertical="center"/>
    </xf>
    <xf numFmtId="0" fontId="83" fillId="42" borderId="13">
      <alignment horizontal="right" vertical="center"/>
    </xf>
    <xf numFmtId="0" fontId="83" fillId="42" borderId="13">
      <alignment horizontal="right" vertical="center"/>
    </xf>
    <xf numFmtId="0" fontId="83" fillId="42" borderId="20">
      <alignment horizontal="right" vertical="center"/>
    </xf>
    <xf numFmtId="0" fontId="83" fillId="42" borderId="21">
      <alignment horizontal="right" vertical="center"/>
    </xf>
    <xf numFmtId="0" fontId="83" fillId="42" borderId="22">
      <alignment horizontal="right" vertical="center"/>
    </xf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54" fillId="24" borderId="12" applyNumberFormat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61" fillId="31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4" fontId="85" fillId="0" borderId="23" applyFill="0" applyBorder="0" applyProtection="0">
      <alignment horizontal="right" vertical="center"/>
    </xf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18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5" fillId="0" borderId="0" applyFont="0" applyFill="0" applyBorder="0" applyAlignment="0" applyProtection="0"/>
    <xf numFmtId="18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83" fillId="0" borderId="0" applyNumberFormat="0">
      <alignment horizontal="right"/>
    </xf>
    <xf numFmtId="167" fontId="26" fillId="0" borderId="0" applyFont="0" applyFill="0" applyBorder="0" applyAlignment="0" applyProtection="0"/>
    <xf numFmtId="0" fontId="84" fillId="42" borderId="24">
      <alignment horizontal="left" vertical="center" wrapText="1" indent="2"/>
    </xf>
    <xf numFmtId="0" fontId="84" fillId="0" borderId="24">
      <alignment horizontal="left" vertical="center" wrapText="1" indent="2"/>
    </xf>
    <xf numFmtId="0" fontId="84" fillId="3" borderId="21">
      <alignment horizontal="left" vertical="center"/>
    </xf>
    <xf numFmtId="0" fontId="83" fillId="0" borderId="25">
      <alignment horizontal="left" vertical="top" wrapText="1"/>
    </xf>
    <xf numFmtId="0" fontId="50" fillId="11" borderId="5" applyNumberFormat="0" applyAlignment="0" applyProtection="0"/>
    <xf numFmtId="0" fontId="89" fillId="0" borderId="3"/>
    <xf numFmtId="0" fontId="40" fillId="0" borderId="14" applyNumberFormat="0" applyFill="0" applyAlignment="0" applyProtection="0"/>
    <xf numFmtId="0" fontId="45" fillId="0" borderId="0" applyNumberFormat="0" applyFill="0" applyBorder="0" applyAlignment="0" applyProtection="0"/>
    <xf numFmtId="0" fontId="81" fillId="0" borderId="0">
      <alignment vertical="top"/>
    </xf>
    <xf numFmtId="181" fontId="75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81" fontId="75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81" fontId="75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1" fontId="75" fillId="0" borderId="0" applyFont="0" applyFill="0" applyBorder="0" applyAlignment="0" applyProtection="0"/>
    <xf numFmtId="11" fontId="75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97" fillId="43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73" fillId="43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98" fillId="45" borderId="19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4" fontId="84" fillId="0" borderId="0" applyBorder="0">
      <alignment horizontal="right" vertical="center"/>
    </xf>
    <xf numFmtId="0" fontId="84" fillId="0" borderId="13">
      <alignment horizontal="right" vertical="center"/>
    </xf>
    <xf numFmtId="1" fontId="90" fillId="3" borderId="0" applyBorder="0">
      <alignment horizontal="right" vertical="center"/>
    </xf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74" fillId="44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9" fillId="0" borderId="0"/>
    <xf numFmtId="0" fontId="39" fillId="0" borderId="0"/>
    <xf numFmtId="0" fontId="39" fillId="0" borderId="0"/>
    <xf numFmtId="0" fontId="26" fillId="0" borderId="0"/>
    <xf numFmtId="0" fontId="19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87" fillId="0" borderId="0"/>
    <xf numFmtId="0" fontId="26" fillId="0" borderId="0"/>
    <xf numFmtId="0" fontId="26" fillId="0" borderId="0">
      <alignment vertical="top"/>
    </xf>
    <xf numFmtId="0" fontId="19" fillId="0" borderId="0"/>
    <xf numFmtId="0" fontId="26" fillId="0" borderId="0"/>
    <xf numFmtId="0" fontId="1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1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1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92" fillId="0" borderId="0"/>
    <xf numFmtId="0" fontId="39" fillId="0" borderId="0"/>
    <xf numFmtId="0" fontId="92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7" fillId="0" borderId="0"/>
    <xf numFmtId="0" fontId="8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9" fillId="0" borderId="0"/>
    <xf numFmtId="0" fontId="26" fillId="0" borderId="0"/>
    <xf numFmtId="0" fontId="1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88" fillId="0" borderId="0"/>
    <xf numFmtId="0" fontId="88" fillId="0" borderId="0"/>
    <xf numFmtId="0" fontId="26" fillId="0" borderId="0"/>
    <xf numFmtId="0" fontId="39" fillId="0" borderId="0"/>
    <xf numFmtId="0" fontId="19" fillId="0" borderId="0"/>
    <xf numFmtId="0" fontId="26" fillId="0" borderId="0"/>
    <xf numFmtId="0" fontId="39" fillId="0" borderId="0"/>
    <xf numFmtId="0" fontId="99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7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7" fillId="0" borderId="0"/>
    <xf numFmtId="0" fontId="87" fillId="0" borderId="0"/>
    <xf numFmtId="0" fontId="87" fillId="0" borderId="0"/>
    <xf numFmtId="0" fontId="26" fillId="0" borderId="0"/>
    <xf numFmtId="0" fontId="19" fillId="0" borderId="0"/>
    <xf numFmtId="0" fontId="26" fillId="0" borderId="0"/>
    <xf numFmtId="0" fontId="39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19" fillId="0" borderId="0"/>
    <xf numFmtId="0" fontId="96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19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39" fillId="0" borderId="0"/>
    <xf numFmtId="0" fontId="87" fillId="0" borderId="0"/>
    <xf numFmtId="0" fontId="26" fillId="0" borderId="0"/>
    <xf numFmtId="0" fontId="19" fillId="0" borderId="0"/>
    <xf numFmtId="0" fontId="39" fillId="0" borderId="0"/>
    <xf numFmtId="0" fontId="39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2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39" fillId="0" borderId="0"/>
    <xf numFmtId="0" fontId="19" fillId="0" borderId="0"/>
    <xf numFmtId="0" fontId="26" fillId="0" borderId="0"/>
    <xf numFmtId="0" fontId="3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4" fontId="84" fillId="0" borderId="13" applyFill="0" applyBorder="0" applyProtection="0">
      <alignment horizontal="right" vertical="center"/>
    </xf>
    <xf numFmtId="0" fontId="85" fillId="0" borderId="0" applyNumberFormat="0" applyFill="0" applyBorder="0" applyProtection="0">
      <alignment horizontal="left" vertical="center"/>
    </xf>
    <xf numFmtId="0" fontId="84" fillId="0" borderId="13" applyNumberFormat="0" applyFill="0" applyAlignment="0" applyProtection="0"/>
    <xf numFmtId="0" fontId="26" fillId="47" borderId="0" applyNumberFormat="0" applyFont="0" applyBorder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39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75" fillId="27" borderId="11" applyNumberFormat="0" applyFont="0" applyAlignment="0" applyProtection="0"/>
    <xf numFmtId="0" fontId="26" fillId="27" borderId="11" applyNumberFormat="0" applyFont="0" applyAlignment="0" applyProtection="0"/>
    <xf numFmtId="0" fontId="75" fillId="27" borderId="11" applyNumberFormat="0" applyFont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182" fontId="84" fillId="48" borderId="13" applyNumberFormat="0" applyFont="0" applyBorder="0" applyAlignment="0" applyProtection="0">
      <alignment horizontal="right" vertical="center"/>
    </xf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42" fillId="7" borderId="0" applyNumberFormat="0" applyBorder="0" applyAlignment="0" applyProtection="0"/>
    <xf numFmtId="0" fontId="84" fillId="47" borderId="13"/>
    <xf numFmtId="0" fontId="65" fillId="0" borderId="0">
      <alignment vertical="top" wrapText="1"/>
    </xf>
    <xf numFmtId="0" fontId="95" fillId="0" borderId="0"/>
    <xf numFmtId="0" fontId="26" fillId="0" borderId="0"/>
    <xf numFmtId="0" fontId="26" fillId="0" borderId="0"/>
    <xf numFmtId="0" fontId="26" fillId="0" borderId="0"/>
    <xf numFmtId="0" fontId="81" fillId="0" borderId="0">
      <alignment vertical="top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0" fontId="26" fillId="0" borderId="13" applyNumberFormat="0" applyFill="0" applyProtection="0">
      <alignment horizontal="right"/>
    </xf>
    <xf numFmtId="49" fontId="75" fillId="0" borderId="13" applyFill="0" applyProtection="0">
      <alignment horizontal="right"/>
    </xf>
    <xf numFmtId="0" fontId="26" fillId="0" borderId="13" applyNumberFormat="0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1" fillId="0" borderId="1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25" borderId="6" applyNumberFormat="0" applyAlignment="0" applyProtection="0"/>
    <xf numFmtId="0" fontId="93" fillId="0" borderId="0" applyNumberFormat="0" applyFill="0" applyBorder="0" applyAlignment="0" applyProtection="0"/>
    <xf numFmtId="0" fontId="84" fillId="0" borderId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0" fontId="9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0" fontId="9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180" fontId="26" fillId="0" borderId="0" applyFont="0" applyFill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166" fontId="10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66" fontId="106" fillId="0" borderId="0">
      <alignment vertical="center"/>
    </xf>
    <xf numFmtId="166" fontId="106" fillId="0" borderId="0">
      <alignment vertical="center"/>
    </xf>
    <xf numFmtId="166" fontId="106" fillId="0" borderId="0">
      <alignment vertical="center"/>
    </xf>
    <xf numFmtId="166" fontId="10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06" fillId="0" borderId="0">
      <alignment vertical="center"/>
    </xf>
    <xf numFmtId="166" fontId="106" fillId="0" borderId="0">
      <alignment vertical="center"/>
    </xf>
    <xf numFmtId="166" fontId="10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166" fontId="106" fillId="0" borderId="0">
      <alignment vertical="center"/>
    </xf>
    <xf numFmtId="166" fontId="106" fillId="0" borderId="0">
      <alignment vertical="center"/>
    </xf>
    <xf numFmtId="166" fontId="106" fillId="0" borderId="0">
      <alignment vertical="center"/>
    </xf>
    <xf numFmtId="166" fontId="106" fillId="0" borderId="0">
      <alignment vertical="center"/>
    </xf>
    <xf numFmtId="0" fontId="18" fillId="0" borderId="0"/>
    <xf numFmtId="169" fontId="10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9" fontId="10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185" fontId="106" fillId="0" borderId="0">
      <alignment vertical="center"/>
    </xf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9" fontId="10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9" fontId="16" fillId="0" borderId="0" applyFont="0" applyFill="0" applyBorder="0" applyAlignment="0" applyProtection="0"/>
    <xf numFmtId="0" fontId="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6" fillId="27" borderId="11" applyNumberFormat="0" applyFont="0" applyAlignment="0" applyProtection="0"/>
    <xf numFmtId="9" fontId="26" fillId="0" borderId="0" applyFont="0" applyFill="0" applyBorder="0" applyAlignment="0" applyProtection="0"/>
    <xf numFmtId="0" fontId="13" fillId="46" borderId="0" applyNumberFormat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26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46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46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118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8" fillId="0" borderId="0" applyNumberFormat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8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4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23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0" fillId="11" borderId="5" applyNumberFormat="0" applyAlignment="0" applyProtection="0"/>
    <xf numFmtId="0" fontId="51" fillId="0" borderId="10" applyNumberFormat="0" applyFill="0" applyAlignment="0" applyProtection="0"/>
    <xf numFmtId="0" fontId="53" fillId="26" borderId="0" applyNumberFormat="0" applyBorder="0" applyAlignment="0" applyProtection="0"/>
    <xf numFmtId="0" fontId="10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6" fillId="0" borderId="0"/>
    <xf numFmtId="0" fontId="10" fillId="0" borderId="0"/>
    <xf numFmtId="0" fontId="26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26" fillId="0" borderId="0" applyNumberFormat="0" applyFont="0" applyFill="0" applyBorder="0" applyAlignment="0" applyProtection="0"/>
    <xf numFmtId="0" fontId="39" fillId="0" borderId="0"/>
    <xf numFmtId="0" fontId="10" fillId="0" borderId="0"/>
    <xf numFmtId="0" fontId="10" fillId="0" borderId="0"/>
    <xf numFmtId="174" fontId="26" fillId="0" borderId="0" applyFont="0" applyFill="0" applyBorder="0" applyAlignment="0" applyProtection="0"/>
    <xf numFmtId="0" fontId="54" fillId="24" borderId="12" applyNumberForma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119" fillId="0" borderId="0" applyNumberForma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1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5" fillId="0" borderId="0" applyFont="0" applyFill="0" applyBorder="0" applyAlignment="0" applyProtection="0"/>
    <xf numFmtId="18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46" fillId="8" borderId="0" applyNumberFormat="0" applyBorder="0" applyAlignment="0" applyProtection="0"/>
    <xf numFmtId="0" fontId="97" fillId="43" borderId="0" applyNumberFormat="0" applyBorder="0" applyAlignment="0" applyProtection="0"/>
    <xf numFmtId="0" fontId="50" fillId="11" borderId="5" applyNumberFormat="0" applyAlignment="0" applyProtection="0"/>
    <xf numFmtId="0" fontId="98" fillId="45" borderId="19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39" fillId="0" borderId="0"/>
    <xf numFmtId="0" fontId="8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7" fillId="0" borderId="0"/>
    <xf numFmtId="0" fontId="8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7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18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3" fontId="1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0" fontId="26" fillId="0" borderId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180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1" fontId="75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11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27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26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7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27" borderId="0" applyNumberFormat="0" applyBorder="0" applyAlignment="0" applyProtection="0"/>
    <xf numFmtId="0" fontId="39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2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0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5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3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51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41" fillId="21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2" fillId="7" borderId="0" applyNumberFormat="0" applyBorder="0" applyAlignment="0" applyProtection="0"/>
    <xf numFmtId="0" fontId="42" fillId="9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0" fontId="101" fillId="52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8" borderId="0" applyNumberFormat="0" applyBorder="0" applyAlignment="0" applyProtection="0"/>
    <xf numFmtId="0" fontId="127" fillId="43" borderId="0" applyNumberFormat="0" applyBorder="0" applyAlignment="0" applyProtection="0"/>
    <xf numFmtId="0" fontId="46" fillId="8" borderId="0" applyNumberFormat="0" applyBorder="0" applyAlignment="0" applyProtection="0"/>
    <xf numFmtId="0" fontId="46" fillId="10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102" fillId="0" borderId="2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103" fillId="0" borderId="2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104" fillId="0" borderId="2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11" borderId="5" applyNumberFormat="0" applyAlignment="0" applyProtection="0"/>
    <xf numFmtId="0" fontId="98" fillId="26" borderId="19" applyNumberFormat="0" applyAlignment="0" applyProtection="0"/>
    <xf numFmtId="0" fontId="50" fillId="11" borderId="5" applyNumberFormat="0" applyAlignment="0" applyProtection="0"/>
    <xf numFmtId="0" fontId="50" fillId="26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1" fillId="0" borderId="10" applyNumberFormat="0" applyFill="0" applyAlignment="0" applyProtection="0"/>
    <xf numFmtId="0" fontId="59" fillId="0" borderId="29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26" borderId="0" applyNumberFormat="0" applyBorder="0" applyAlignment="0" applyProtection="0"/>
    <xf numFmtId="0" fontId="105" fillId="26" borderId="0" applyNumberFormat="0" applyBorder="0" applyAlignment="0" applyProtection="0"/>
    <xf numFmtId="0" fontId="128" fillId="44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8" fillId="0" borderId="0"/>
    <xf numFmtId="0" fontId="26" fillId="0" borderId="0"/>
    <xf numFmtId="0" fontId="88" fillId="0" borderId="0"/>
    <xf numFmtId="0" fontId="99" fillId="0" borderId="0"/>
    <xf numFmtId="0" fontId="9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 applyNumberFormat="0" applyFont="0" applyFill="0" applyBorder="0" applyAlignment="0" applyProtection="0"/>
    <xf numFmtId="0" fontId="6" fillId="0" borderId="0"/>
    <xf numFmtId="0" fontId="26" fillId="0" borderId="0"/>
    <xf numFmtId="0" fontId="6" fillId="0" borderId="0"/>
    <xf numFmtId="0" fontId="26" fillId="0" borderId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54" fillId="24" borderId="12" applyNumberFormat="0" applyAlignment="0" applyProtection="0"/>
    <xf numFmtId="0" fontId="54" fillId="52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8" borderId="0" applyNumberFormat="0" applyBorder="0" applyAlignment="0" applyProtection="0"/>
    <xf numFmtId="0" fontId="39" fillId="2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7" borderId="0" applyNumberFormat="0" applyBorder="0" applyAlignment="0" applyProtection="0"/>
    <xf numFmtId="0" fontId="39" fillId="13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6" borderId="0" applyNumberFormat="0" applyBorder="0" applyAlignment="0" applyProtection="0"/>
    <xf numFmtId="0" fontId="39" fillId="12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8" borderId="0" applyNumberFormat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31" fillId="28" borderId="13" applyNumberFormat="0" applyProtection="0">
      <alignment horizontal="right"/>
    </xf>
    <xf numFmtId="0" fontId="56" fillId="28" borderId="0" applyNumberFormat="0" applyBorder="0" applyProtection="0">
      <alignment horizontal="left"/>
    </xf>
    <xf numFmtId="0" fontId="31" fillId="28" borderId="13" applyNumberFormat="0" applyProtection="0">
      <alignment horizontal="lef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57" fillId="2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41" borderId="13">
      <alignment horizontal="left" vertical="center" wrapText="1"/>
    </xf>
    <xf numFmtId="0" fontId="26" fillId="40" borderId="13">
      <alignment horizontal="left" vertical="center" wrapText="1"/>
    </xf>
    <xf numFmtId="0" fontId="71" fillId="39" borderId="13">
      <alignment horizontal="left" vertical="center" wrapText="1"/>
    </xf>
    <xf numFmtId="0" fontId="26" fillId="38" borderId="18">
      <alignment horizontal="left" vertical="center" wrapText="1"/>
    </xf>
    <xf numFmtId="49" fontId="26" fillId="37" borderId="13">
      <alignment vertical="center" wrapText="1"/>
    </xf>
    <xf numFmtId="0" fontId="26" fillId="36" borderId="17" applyBorder="0">
      <alignment horizontal="left" vertical="center"/>
    </xf>
    <xf numFmtId="178" fontId="70" fillId="35" borderId="16">
      <alignment vertical="center"/>
    </xf>
    <xf numFmtId="169" fontId="69" fillId="34" borderId="16">
      <alignment vertical="center"/>
    </xf>
    <xf numFmtId="178" fontId="68" fillId="34" borderId="16">
      <alignment vertical="center"/>
    </xf>
    <xf numFmtId="0" fontId="65" fillId="0" borderId="0">
      <alignment vertical="top" wrapTex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6" fillId="0" borderId="0"/>
    <xf numFmtId="9" fontId="39" fillId="0" borderId="0" applyFont="0" applyFill="0" applyBorder="0" applyAlignment="0" applyProtection="0"/>
    <xf numFmtId="0" fontId="26" fillId="0" borderId="0"/>
    <xf numFmtId="9" fontId="39" fillId="0" borderId="0" applyFont="0" applyFill="0" applyBorder="0" applyAlignment="0" applyProtection="0"/>
    <xf numFmtId="0" fontId="26" fillId="0" borderId="0"/>
    <xf numFmtId="0" fontId="26" fillId="0" borderId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42" fillId="7" borderId="0" applyNumberFormat="0" applyBorder="0" applyAlignment="0" applyProtection="0"/>
    <xf numFmtId="0" fontId="84" fillId="47" borderId="13"/>
    <xf numFmtId="0" fontId="65" fillId="0" borderId="0">
      <alignment vertical="top" wrapText="1"/>
    </xf>
    <xf numFmtId="0" fontId="81" fillId="0" borderId="0">
      <alignment vertical="top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26" fillId="0" borderId="13" applyNumberFormat="0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1" fillId="0" borderId="1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25" borderId="6" applyNumberFormat="0" applyAlignment="0" applyProtection="0"/>
    <xf numFmtId="0" fontId="93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0" fontId="2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9" fontId="39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0"/>
    <xf numFmtId="0" fontId="107" fillId="0" borderId="0" applyNumberFormat="0" applyFill="0" applyBorder="0" applyAlignment="0" applyProtection="0"/>
    <xf numFmtId="0" fontId="26" fillId="0" borderId="0"/>
    <xf numFmtId="0" fontId="40" fillId="0" borderId="30" applyNumberFormat="0" applyFill="0" applyAlignment="0" applyProtection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26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6" fillId="0" borderId="0"/>
    <xf numFmtId="0" fontId="26" fillId="0" borderId="0"/>
    <xf numFmtId="0" fontId="6" fillId="0" borderId="0"/>
    <xf numFmtId="0" fontId="6" fillId="0" borderId="0"/>
    <xf numFmtId="17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174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3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36">
    <xf numFmtId="0" fontId="0" fillId="0" borderId="0" xfId="0"/>
    <xf numFmtId="0" fontId="3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5" fillId="0" borderId="0" xfId="4"/>
    <xf numFmtId="0" fontId="3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9" fillId="0" borderId="0" xfId="0" applyFont="1" applyFill="1" applyAlignment="1">
      <alignment vertical="center"/>
    </xf>
    <xf numFmtId="1" fontId="29" fillId="0" borderId="0" xfId="4" applyNumberFormat="1" applyFont="1" applyFill="1" applyBorder="1" applyAlignment="1">
      <alignment horizontal="center" vertical="center"/>
    </xf>
    <xf numFmtId="2" fontId="29" fillId="0" borderId="0" xfId="4" applyNumberFormat="1" applyFont="1" applyFill="1" applyBorder="1" applyAlignment="1">
      <alignment horizontal="center" vertical="center"/>
    </xf>
    <xf numFmtId="9" fontId="29" fillId="0" borderId="0" xfId="3" applyFont="1" applyFill="1" applyBorder="1" applyAlignment="1">
      <alignment horizontal="center" vertical="center"/>
    </xf>
    <xf numFmtId="0" fontId="29" fillId="0" borderId="0" xfId="5"/>
    <xf numFmtId="0" fontId="31" fillId="0" borderId="0" xfId="5" applyFont="1" applyAlignment="1">
      <alignment vertical="center"/>
    </xf>
    <xf numFmtId="0" fontId="29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6" fillId="0" borderId="0" xfId="0" applyFont="1"/>
    <xf numFmtId="0" fontId="37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6" fontId="28" fillId="0" borderId="0" xfId="0" applyNumberFormat="1" applyFont="1" applyAlignment="1">
      <alignment vertical="center"/>
    </xf>
    <xf numFmtId="186" fontId="0" fillId="0" borderId="0" xfId="0" applyNumberFormat="1" applyAlignment="1">
      <alignment vertical="center"/>
    </xf>
    <xf numFmtId="186" fontId="31" fillId="2" borderId="1" xfId="0" applyNumberFormat="1" applyFont="1" applyFill="1" applyBorder="1" applyAlignment="1">
      <alignment vertical="center"/>
    </xf>
    <xf numFmtId="186" fontId="26" fillId="0" borderId="0" xfId="4" applyNumberFormat="1" applyFont="1" applyFill="1" applyAlignment="1">
      <alignment vertical="center"/>
    </xf>
    <xf numFmtId="186" fontId="26" fillId="0" borderId="0" xfId="0" applyNumberFormat="1" applyFont="1" applyFill="1" applyAlignment="1">
      <alignment vertical="center"/>
    </xf>
    <xf numFmtId="186" fontId="0" fillId="0" borderId="0" xfId="0" applyNumberFormat="1" applyFill="1" applyAlignment="1">
      <alignment vertical="center"/>
    </xf>
    <xf numFmtId="186" fontId="26" fillId="0" borderId="0" xfId="0" applyNumberFormat="1" applyFont="1" applyFill="1" applyBorder="1" applyAlignment="1">
      <alignment vertical="center"/>
    </xf>
    <xf numFmtId="186" fontId="29" fillId="0" borderId="0" xfId="0" applyNumberFormat="1" applyFont="1" applyAlignment="1">
      <alignment vertical="center"/>
    </xf>
    <xf numFmtId="186" fontId="31" fillId="2" borderId="2" xfId="0" applyNumberFormat="1" applyFont="1" applyFill="1" applyBorder="1" applyAlignment="1">
      <alignment vertical="center"/>
    </xf>
    <xf numFmtId="186" fontId="31" fillId="2" borderId="2" xfId="0" applyNumberFormat="1" applyFont="1" applyFill="1" applyBorder="1" applyAlignment="1">
      <alignment horizontal="left" vertical="center"/>
    </xf>
    <xf numFmtId="186" fontId="0" fillId="0" borderId="0" xfId="0" applyNumberFormat="1" applyFill="1" applyBorder="1" applyAlignment="1">
      <alignment vertical="center"/>
    </xf>
    <xf numFmtId="186" fontId="26" fillId="0" borderId="4" xfId="0" applyNumberFormat="1" applyFont="1" applyFill="1" applyBorder="1" applyAlignment="1">
      <alignment vertical="center"/>
    </xf>
    <xf numFmtId="186" fontId="0" fillId="0" borderId="4" xfId="0" applyNumberFormat="1" applyFill="1" applyBorder="1" applyAlignment="1">
      <alignment vertical="center"/>
    </xf>
    <xf numFmtId="186" fontId="26" fillId="0" borderId="4" xfId="4" applyNumberFormat="1" applyFont="1" applyFill="1" applyBorder="1" applyAlignment="1">
      <alignment vertical="center"/>
    </xf>
    <xf numFmtId="186" fontId="0" fillId="0" borderId="0" xfId="0" applyNumberFormat="1" applyBorder="1" applyAlignment="1">
      <alignment vertical="center"/>
    </xf>
    <xf numFmtId="186" fontId="0" fillId="30" borderId="0" xfId="0" applyNumberForma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5" fillId="0" borderId="0" xfId="4" applyBorder="1"/>
    <xf numFmtId="186" fontId="26" fillId="0" borderId="0" xfId="0" applyNumberFormat="1" applyFont="1" applyBorder="1" applyAlignment="1">
      <alignment vertical="center"/>
    </xf>
    <xf numFmtId="186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6" fillId="53" borderId="0" xfId="0" applyFont="1" applyFill="1" applyBorder="1" applyAlignment="1">
      <alignment vertical="center"/>
    </xf>
    <xf numFmtId="186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6" fillId="54" borderId="0" xfId="0" applyFont="1" applyFill="1" applyBorder="1" applyAlignment="1">
      <alignment vertical="center"/>
    </xf>
    <xf numFmtId="0" fontId="34" fillId="3" borderId="1" xfId="1" applyFont="1" applyFill="1" applyBorder="1" applyAlignment="1">
      <alignment horizontal="left" vertical="center" wrapText="1"/>
    </xf>
    <xf numFmtId="0" fontId="34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6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6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6" fontId="26" fillId="55" borderId="0" xfId="0" applyNumberFormat="1" applyFont="1" applyFill="1" applyBorder="1" applyAlignment="1">
      <alignment vertical="center"/>
    </xf>
    <xf numFmtId="186" fontId="34" fillId="3" borderId="1" xfId="1" applyNumberFormat="1" applyFont="1" applyFill="1" applyBorder="1" applyAlignment="1">
      <alignment horizontal="left" vertical="center" wrapText="1"/>
    </xf>
    <xf numFmtId="186" fontId="26" fillId="30" borderId="4" xfId="0" applyNumberFormat="1" applyFont="1" applyFill="1" applyBorder="1" applyAlignment="1">
      <alignment vertical="center"/>
    </xf>
    <xf numFmtId="0" fontId="108" fillId="0" borderId="0" xfId="0" applyFont="1"/>
    <xf numFmtId="0" fontId="31" fillId="2" borderId="1" xfId="4" applyFont="1" applyFill="1" applyBorder="1" applyAlignment="1">
      <alignment horizontal="center" vertical="center" wrapText="1"/>
    </xf>
    <xf numFmtId="186" fontId="26" fillId="0" borderId="0" xfId="0" applyNumberFormat="1" applyFont="1"/>
    <xf numFmtId="186" fontId="0" fillId="0" borderId="0" xfId="0" applyNumberFormat="1"/>
    <xf numFmtId="168" fontId="0" fillId="0" borderId="0" xfId="0" applyNumberFormat="1" applyFill="1" applyBorder="1" applyAlignment="1">
      <alignment horizontal="center" vertical="center"/>
    </xf>
    <xf numFmtId="0" fontId="36" fillId="4" borderId="0" xfId="4794" applyFont="1" applyFill="1" applyBorder="1" applyAlignment="1">
      <alignment vertical="center" wrapText="1"/>
    </xf>
    <xf numFmtId="0" fontId="36" fillId="4" borderId="0" xfId="4794" applyFont="1" applyFill="1" applyBorder="1" applyAlignment="1">
      <alignment horizontal="center" vertical="center" wrapText="1"/>
    </xf>
    <xf numFmtId="0" fontId="36" fillId="5" borderId="0" xfId="4794" applyFont="1" applyFill="1" applyBorder="1" applyAlignment="1">
      <alignment horizontal="center" vertical="center" wrapText="1"/>
    </xf>
    <xf numFmtId="0" fontId="109" fillId="4" borderId="0" xfId="4794" applyFont="1" applyFill="1" applyAlignment="1">
      <alignment horizontal="center"/>
    </xf>
    <xf numFmtId="0" fontId="36" fillId="4" borderId="0" xfId="4794" applyFont="1" applyFill="1" applyBorder="1" applyAlignment="1">
      <alignment vertical="center"/>
    </xf>
    <xf numFmtId="0" fontId="36" fillId="4" borderId="0" xfId="4794" applyFont="1" applyFill="1" applyBorder="1" applyAlignment="1">
      <alignment horizontal="center" vertical="center"/>
    </xf>
    <xf numFmtId="0" fontId="36" fillId="5" borderId="0" xfId="4794" applyFont="1" applyFill="1" applyBorder="1" applyAlignment="1">
      <alignment horizontal="center" vertical="center"/>
    </xf>
    <xf numFmtId="0" fontId="111" fillId="0" borderId="31" xfId="4794" applyFont="1" applyBorder="1" applyAlignment="1">
      <alignment horizontal="center"/>
    </xf>
    <xf numFmtId="0" fontId="111" fillId="0" borderId="32" xfId="4794" applyFont="1" applyBorder="1" applyAlignment="1">
      <alignment horizontal="center"/>
    </xf>
    <xf numFmtId="168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68" fontId="0" fillId="54" borderId="0" xfId="0" applyNumberFormat="1" applyFill="1" applyBorder="1" applyAlignment="1">
      <alignment horizontal="center" vertical="center"/>
    </xf>
    <xf numFmtId="168" fontId="0" fillId="54" borderId="4" xfId="0" applyNumberFormat="1" applyFill="1" applyBorder="1" applyAlignment="1">
      <alignment horizontal="center" vertical="center"/>
    </xf>
    <xf numFmtId="168" fontId="0" fillId="53" borderId="0" xfId="0" applyNumberFormat="1" applyFill="1" applyBorder="1" applyAlignment="1">
      <alignment horizontal="center" vertical="center"/>
    </xf>
    <xf numFmtId="168" fontId="0" fillId="0" borderId="4" xfId="0" applyNumberFormat="1" applyFill="1" applyBorder="1" applyAlignment="1">
      <alignment horizontal="center" vertical="center"/>
    </xf>
    <xf numFmtId="168" fontId="0" fillId="30" borderId="0" xfId="0" applyNumberFormat="1" applyFill="1" applyBorder="1" applyAlignment="1">
      <alignment horizontal="center" vertical="center"/>
    </xf>
    <xf numFmtId="168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6" fontId="0" fillId="56" borderId="0" xfId="0" applyNumberFormat="1" applyFill="1"/>
    <xf numFmtId="0" fontId="0" fillId="56" borderId="0" xfId="0" applyFill="1"/>
    <xf numFmtId="168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6" fontId="0" fillId="56" borderId="4" xfId="0" applyNumberFormat="1" applyFill="1" applyBorder="1"/>
    <xf numFmtId="168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6" fontId="0" fillId="0" borderId="4" xfId="0" applyNumberFormat="1" applyBorder="1"/>
    <xf numFmtId="0" fontId="0" fillId="0" borderId="4" xfId="0" applyBorder="1"/>
    <xf numFmtId="168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7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6" fillId="0" borderId="0" xfId="0" applyFont="1" applyAlignment="1">
      <alignment vertical="center"/>
    </xf>
    <xf numFmtId="0" fontId="26" fillId="2" borderId="1" xfId="4" applyFont="1" applyFill="1" applyBorder="1" applyAlignment="1">
      <alignment horizontal="center" vertical="center" wrapText="1"/>
    </xf>
    <xf numFmtId="0" fontId="34" fillId="3" borderId="37" xfId="4053" applyFont="1" applyFill="1" applyBorder="1" applyAlignment="1">
      <alignment horizontal="left" vertical="center" wrapText="1"/>
    </xf>
    <xf numFmtId="0" fontId="34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" fontId="26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6" fillId="0" borderId="0" xfId="4" applyFont="1" applyFill="1" applyAlignment="1">
      <alignment vertical="center"/>
    </xf>
    <xf numFmtId="0" fontId="26" fillId="0" borderId="0" xfId="4345" applyFill="1"/>
    <xf numFmtId="186" fontId="26" fillId="54" borderId="0" xfId="0" applyNumberFormat="1" applyFont="1" applyFill="1" applyBorder="1" applyAlignment="1">
      <alignment vertical="center"/>
    </xf>
    <xf numFmtId="186" fontId="26" fillId="54" borderId="4" xfId="0" applyNumberFormat="1" applyFont="1" applyFill="1" applyBorder="1" applyAlignment="1">
      <alignment vertical="center"/>
    </xf>
    <xf numFmtId="186" fontId="26" fillId="53" borderId="0" xfId="0" applyNumberFormat="1" applyFont="1" applyFill="1" applyBorder="1" applyAlignment="1">
      <alignment vertical="center"/>
    </xf>
    <xf numFmtId="186" fontId="26" fillId="30" borderId="0" xfId="0" applyNumberFormat="1" applyFont="1" applyFill="1" applyBorder="1" applyAlignment="1">
      <alignment vertical="center"/>
    </xf>
    <xf numFmtId="187" fontId="0" fillId="0" borderId="0" xfId="0" applyNumberFormat="1" applyAlignment="1">
      <alignment vertical="center"/>
    </xf>
    <xf numFmtId="0" fontId="29" fillId="57" borderId="2" xfId="0" applyFont="1" applyFill="1" applyBorder="1" applyAlignment="1">
      <alignment vertical="center"/>
    </xf>
    <xf numFmtId="1" fontId="29" fillId="57" borderId="2" xfId="4" applyNumberFormat="1" applyFont="1" applyFill="1" applyBorder="1" applyAlignment="1">
      <alignment horizontal="center" vertical="center"/>
    </xf>
    <xf numFmtId="2" fontId="29" fillId="57" borderId="2" xfId="4" applyNumberFormat="1" applyFont="1" applyFill="1" applyBorder="1" applyAlignment="1">
      <alignment horizontal="center" vertical="center"/>
    </xf>
    <xf numFmtId="0" fontId="0" fillId="57" borderId="2" xfId="0" applyFill="1" applyBorder="1" applyAlignment="1">
      <alignment vertical="center"/>
    </xf>
    <xf numFmtId="0" fontId="0" fillId="57" borderId="2" xfId="0" applyFill="1" applyBorder="1"/>
    <xf numFmtId="187" fontId="0" fillId="57" borderId="2" xfId="0" applyNumberFormat="1" applyFill="1" applyBorder="1" applyAlignment="1">
      <alignment vertical="center"/>
    </xf>
    <xf numFmtId="0" fontId="29" fillId="57" borderId="0" xfId="0" applyFont="1" applyFill="1" applyBorder="1" applyAlignment="1">
      <alignment vertical="center"/>
    </xf>
    <xf numFmtId="1" fontId="29" fillId="57" borderId="0" xfId="4" applyNumberFormat="1" applyFont="1" applyFill="1" applyBorder="1" applyAlignment="1">
      <alignment horizontal="left" vertical="center"/>
    </xf>
    <xf numFmtId="1" fontId="29" fillId="57" borderId="0" xfId="4" applyNumberFormat="1" applyFont="1" applyFill="1" applyBorder="1" applyAlignment="1">
      <alignment horizontal="center" vertical="center"/>
    </xf>
    <xf numFmtId="2" fontId="29" fillId="57" borderId="0" xfId="4" applyNumberFormat="1" applyFont="1" applyFill="1" applyBorder="1" applyAlignment="1">
      <alignment horizontal="center" vertical="center"/>
    </xf>
    <xf numFmtId="0" fontId="0" fillId="57" borderId="0" xfId="0" applyFill="1" applyBorder="1"/>
    <xf numFmtId="0" fontId="0" fillId="57" borderId="0" xfId="0" applyFill="1" applyBorder="1" applyAlignment="1">
      <alignment vertical="center"/>
    </xf>
    <xf numFmtId="0" fontId="29" fillId="57" borderId="4" xfId="0" applyFont="1" applyFill="1" applyBorder="1" applyAlignment="1">
      <alignment vertical="center"/>
    </xf>
    <xf numFmtId="1" fontId="29" fillId="57" borderId="4" xfId="4" applyNumberFormat="1" applyFont="1" applyFill="1" applyBorder="1" applyAlignment="1">
      <alignment horizontal="left" vertical="center"/>
    </xf>
    <xf numFmtId="1" fontId="29" fillId="57" borderId="4" xfId="4" applyNumberFormat="1" applyFont="1" applyFill="1" applyBorder="1" applyAlignment="1">
      <alignment horizontal="center" vertical="center"/>
    </xf>
    <xf numFmtId="2" fontId="29" fillId="57" borderId="4" xfId="4" applyNumberFormat="1" applyFont="1" applyFill="1" applyBorder="1" applyAlignment="1">
      <alignment horizontal="center" vertical="center"/>
    </xf>
    <xf numFmtId="0" fontId="0" fillId="57" borderId="4" xfId="0" applyFill="1" applyBorder="1"/>
    <xf numFmtId="0" fontId="0" fillId="57" borderId="4" xfId="0" applyFill="1" applyBorder="1" applyAlignment="1">
      <alignment vertical="center"/>
    </xf>
    <xf numFmtId="186" fontId="26" fillId="0" borderId="1" xfId="0" applyNumberFormat="1" applyFont="1" applyFill="1" applyBorder="1" applyAlignment="1">
      <alignment vertical="center"/>
    </xf>
    <xf numFmtId="186" fontId="0" fillId="0" borderId="1" xfId="0" applyNumberFormat="1" applyFill="1" applyBorder="1" applyAlignment="1">
      <alignment vertical="center"/>
    </xf>
    <xf numFmtId="187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/>
    <xf numFmtId="0" fontId="26" fillId="57" borderId="2" xfId="0" applyFont="1" applyFill="1" applyBorder="1" applyAlignment="1">
      <alignment vertical="center"/>
    </xf>
    <xf numFmtId="0" fontId="26" fillId="0" borderId="4" xfId="0" applyFont="1" applyFill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2" fontId="29" fillId="0" borderId="4" xfId="0" applyNumberFormat="1" applyFont="1" applyFill="1" applyBorder="1" applyAlignment="1">
      <alignment vertical="center"/>
    </xf>
    <xf numFmtId="0" fontId="0" fillId="58" borderId="0" xfId="0" applyFill="1"/>
    <xf numFmtId="0" fontId="116" fillId="0" borderId="0" xfId="4794" applyFont="1" applyBorder="1" applyAlignment="1">
      <alignment vertical="center"/>
    </xf>
    <xf numFmtId="0" fontId="117" fillId="0" borderId="0" xfId="4794" applyFont="1" applyBorder="1" applyAlignment="1">
      <alignment horizontal="center" vertical="center"/>
    </xf>
    <xf numFmtId="187" fontId="117" fillId="0" borderId="0" xfId="4794" applyNumberFormat="1" applyFont="1" applyBorder="1" applyAlignment="1">
      <alignment horizontal="center" vertical="center"/>
    </xf>
    <xf numFmtId="168" fontId="117" fillId="0" borderId="0" xfId="4794" applyNumberFormat="1" applyFont="1" applyBorder="1" applyAlignment="1">
      <alignment horizontal="center" vertical="center"/>
    </xf>
    <xf numFmtId="0" fontId="117" fillId="0" borderId="0" xfId="4794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6" fontId="26" fillId="56" borderId="0" xfId="0" applyNumberFormat="1" applyFont="1" applyFill="1"/>
    <xf numFmtId="186" fontId="26" fillId="0" borderId="4" xfId="0" applyNumberFormat="1" applyFont="1" applyBorder="1"/>
    <xf numFmtId="0" fontId="12" fillId="0" borderId="0" xfId="4794" applyFont="1" applyBorder="1" applyAlignment="1">
      <alignment vertical="center"/>
    </xf>
    <xf numFmtId="0" fontId="12" fillId="0" borderId="0" xfId="4794" applyFont="1" applyBorder="1" applyAlignment="1">
      <alignment horizontal="center" vertical="center"/>
    </xf>
    <xf numFmtId="0" fontId="12" fillId="0" borderId="0" xfId="4794" applyFont="1" applyFill="1" applyBorder="1" applyAlignment="1">
      <alignment horizontal="center" vertical="center" wrapText="1"/>
    </xf>
    <xf numFmtId="0" fontId="12" fillId="0" borderId="0" xfId="4794" applyFont="1" applyBorder="1" applyAlignment="1">
      <alignment horizontal="center" vertical="center" wrapText="1"/>
    </xf>
    <xf numFmtId="168" fontId="12" fillId="0" borderId="0" xfId="4794" applyNumberFormat="1" applyFont="1" applyBorder="1" applyAlignment="1">
      <alignment horizontal="center" vertical="center"/>
    </xf>
    <xf numFmtId="0" fontId="12" fillId="0" borderId="0" xfId="4794" applyFont="1" applyFill="1" applyBorder="1" applyAlignment="1">
      <alignment horizontal="center" vertical="center"/>
    </xf>
    <xf numFmtId="0" fontId="12" fillId="0" borderId="0" xfId="4794" applyFont="1" applyAlignment="1">
      <alignment vertical="center"/>
    </xf>
    <xf numFmtId="0" fontId="12" fillId="0" borderId="33" xfId="4794" applyFont="1" applyBorder="1"/>
    <xf numFmtId="0" fontId="12" fillId="0" borderId="34" xfId="4794" applyFont="1" applyBorder="1"/>
    <xf numFmtId="0" fontId="12" fillId="0" borderId="35" xfId="4794" applyFont="1" applyBorder="1"/>
    <xf numFmtId="0" fontId="12" fillId="0" borderId="36" xfId="4794" applyFont="1" applyBorder="1"/>
    <xf numFmtId="9" fontId="117" fillId="0" borderId="0" xfId="3" applyFont="1" applyBorder="1" applyAlignment="1">
      <alignment horizontal="center" vertical="center"/>
    </xf>
    <xf numFmtId="9" fontId="87" fillId="0" borderId="0" xfId="3" applyFont="1" applyBorder="1" applyAlignment="1">
      <alignment horizontal="center" vertical="center"/>
    </xf>
    <xf numFmtId="187" fontId="12" fillId="0" borderId="0" xfId="4794" applyNumberFormat="1" applyFont="1" applyBorder="1" applyAlignment="1">
      <alignment horizontal="center" vertical="center"/>
    </xf>
    <xf numFmtId="0" fontId="36" fillId="4" borderId="0" xfId="0" applyFont="1" applyFill="1" applyAlignment="1">
      <alignment wrapText="1"/>
    </xf>
    <xf numFmtId="0" fontId="36" fillId="4" borderId="0" xfId="0" applyFont="1" applyFill="1" applyAlignment="1">
      <alignment horizontal="center" wrapText="1"/>
    </xf>
    <xf numFmtId="0" fontId="36" fillId="5" borderId="0" xfId="0" applyFont="1" applyFill="1" applyAlignment="1">
      <alignment horizontal="center" wrapText="1"/>
    </xf>
    <xf numFmtId="0" fontId="36" fillId="4" borderId="0" xfId="4778" applyFont="1" applyFill="1" applyAlignment="1">
      <alignment wrapText="1"/>
    </xf>
    <xf numFmtId="0" fontId="36" fillId="4" borderId="0" xfId="0" applyFont="1" applyFill="1" applyAlignment="1"/>
    <xf numFmtId="0" fontId="36" fillId="4" borderId="0" xfId="0" applyFont="1" applyFill="1" applyAlignment="1">
      <alignment horizontal="center"/>
    </xf>
    <xf numFmtId="0" fontId="36" fillId="5" borderId="0" xfId="0" applyFont="1" applyFill="1" applyAlignment="1">
      <alignment horizontal="center"/>
    </xf>
    <xf numFmtId="0" fontId="36" fillId="4" borderId="0" xfId="4778" applyFont="1" applyFill="1" applyAlignment="1"/>
    <xf numFmtId="0" fontId="110" fillId="0" borderId="0" xfId="0" applyFont="1" applyAlignment="1"/>
    <xf numFmtId="0" fontId="110" fillId="0" borderId="0" xfId="0" applyFont="1" applyAlignment="1">
      <alignment horizontal="center"/>
    </xf>
    <xf numFmtId="0" fontId="110" fillId="0" borderId="0" xfId="0" applyFont="1" applyFill="1" applyAlignment="1">
      <alignment horizontal="center" wrapText="1"/>
    </xf>
    <xf numFmtId="0" fontId="110" fillId="0" borderId="0" xfId="0" applyFont="1" applyAlignment="1">
      <alignment horizontal="center" wrapText="1"/>
    </xf>
    <xf numFmtId="2" fontId="110" fillId="0" borderId="0" xfId="0" applyNumberFormat="1" applyFont="1" applyAlignment="1">
      <alignment horizontal="center"/>
    </xf>
    <xf numFmtId="168" fontId="110" fillId="0" borderId="0" xfId="0" applyNumberFormat="1" applyFont="1" applyAlignment="1">
      <alignment horizontal="center"/>
    </xf>
    <xf numFmtId="9" fontId="110" fillId="0" borderId="0" xfId="4795" applyFont="1" applyAlignment="1">
      <alignment horizontal="center"/>
    </xf>
    <xf numFmtId="2" fontId="110" fillId="0" borderId="0" xfId="0" applyNumberFormat="1" applyFont="1" applyFill="1" applyAlignment="1">
      <alignment horizontal="center"/>
    </xf>
    <xf numFmtId="0" fontId="110" fillId="0" borderId="0" xfId="0" applyFont="1" applyAlignment="1">
      <alignment horizontal="left"/>
    </xf>
    <xf numFmtId="0" fontId="16" fillId="0" borderId="0" xfId="4778" applyFont="1" applyAlignment="1"/>
    <xf numFmtId="0" fontId="110" fillId="0" borderId="4" xfId="0" applyFont="1" applyBorder="1" applyAlignment="1">
      <alignment horizontal="center" wrapText="1"/>
    </xf>
    <xf numFmtId="0" fontId="110" fillId="0" borderId="2" xfId="0" applyFont="1" applyBorder="1" applyAlignment="1"/>
    <xf numFmtId="0" fontId="110" fillId="0" borderId="2" xfId="0" applyFont="1" applyBorder="1" applyAlignment="1">
      <alignment horizontal="center"/>
    </xf>
    <xf numFmtId="0" fontId="110" fillId="0" borderId="2" xfId="0" applyFont="1" applyFill="1" applyBorder="1" applyAlignment="1">
      <alignment horizontal="center" wrapText="1"/>
    </xf>
    <xf numFmtId="0" fontId="110" fillId="0" borderId="2" xfId="0" applyFont="1" applyBorder="1" applyAlignment="1">
      <alignment horizontal="center" wrapText="1"/>
    </xf>
    <xf numFmtId="2" fontId="110" fillId="0" borderId="2" xfId="0" applyNumberFormat="1" applyFont="1" applyBorder="1" applyAlignment="1">
      <alignment horizontal="center"/>
    </xf>
    <xf numFmtId="168" fontId="110" fillId="0" borderId="2" xfId="0" applyNumberFormat="1" applyFont="1" applyBorder="1" applyAlignment="1">
      <alignment horizontal="center"/>
    </xf>
    <xf numFmtId="9" fontId="110" fillId="0" borderId="2" xfId="4795" applyFont="1" applyBorder="1" applyAlignment="1">
      <alignment horizontal="center"/>
    </xf>
    <xf numFmtId="0" fontId="110" fillId="0" borderId="2" xfId="0" applyFont="1" applyBorder="1" applyAlignment="1">
      <alignment horizontal="left"/>
    </xf>
    <xf numFmtId="0" fontId="16" fillId="0" borderId="2" xfId="4778" applyFont="1" applyBorder="1" applyAlignment="1"/>
    <xf numFmtId="2" fontId="110" fillId="0" borderId="0" xfId="0" applyNumberFormat="1" applyFont="1" applyAlignment="1"/>
    <xf numFmtId="168" fontId="110" fillId="0" borderId="0" xfId="0" applyNumberFormat="1" applyFont="1" applyFill="1" applyAlignment="1">
      <alignment horizontal="center"/>
    </xf>
    <xf numFmtId="0" fontId="110" fillId="0" borderId="0" xfId="0" applyFont="1" applyFill="1" applyAlignment="1">
      <alignment horizontal="center"/>
    </xf>
    <xf numFmtId="0" fontId="110" fillId="0" borderId="0" xfId="0" applyFont="1" applyFill="1" applyAlignment="1"/>
    <xf numFmtId="0" fontId="110" fillId="0" borderId="0" xfId="0" applyFont="1" applyFill="1" applyBorder="1" applyAlignment="1">
      <alignment horizontal="center" wrapText="1"/>
    </xf>
    <xf numFmtId="0" fontId="110" fillId="0" borderId="0" xfId="0" applyFont="1" applyBorder="1" applyAlignment="1">
      <alignment horizontal="center" wrapText="1"/>
    </xf>
    <xf numFmtId="0" fontId="110" fillId="0" borderId="4" xfId="0" applyFont="1" applyFill="1" applyBorder="1" applyAlignment="1"/>
    <xf numFmtId="0" fontId="110" fillId="0" borderId="4" xfId="0" applyFont="1" applyFill="1" applyBorder="1" applyAlignment="1">
      <alignment horizontal="center"/>
    </xf>
    <xf numFmtId="0" fontId="110" fillId="0" borderId="4" xfId="0" applyFont="1" applyFill="1" applyBorder="1" applyAlignment="1">
      <alignment horizontal="center" wrapText="1"/>
    </xf>
    <xf numFmtId="2" fontId="110" fillId="0" borderId="4" xfId="0" applyNumberFormat="1" applyFont="1" applyBorder="1" applyAlignment="1">
      <alignment horizontal="center"/>
    </xf>
    <xf numFmtId="0" fontId="110" fillId="0" borderId="4" xfId="0" applyFont="1" applyBorder="1" applyAlignment="1">
      <alignment horizontal="center"/>
    </xf>
    <xf numFmtId="168" fontId="110" fillId="0" borderId="4" xfId="0" applyNumberFormat="1" applyFont="1" applyBorder="1" applyAlignment="1">
      <alignment horizontal="center"/>
    </xf>
    <xf numFmtId="9" fontId="110" fillId="0" borderId="4" xfId="4795" applyFont="1" applyBorder="1" applyAlignment="1">
      <alignment horizontal="center"/>
    </xf>
    <xf numFmtId="1" fontId="110" fillId="0" borderId="4" xfId="0" applyNumberFormat="1" applyFont="1" applyBorder="1" applyAlignment="1">
      <alignment horizontal="center"/>
    </xf>
    <xf numFmtId="1" fontId="110" fillId="0" borderId="4" xfId="0" applyNumberFormat="1" applyFont="1" applyBorder="1" applyAlignment="1">
      <alignment horizontal="left"/>
    </xf>
    <xf numFmtId="0" fontId="16" fillId="0" borderId="4" xfId="4778" applyFont="1" applyBorder="1" applyAlignment="1"/>
    <xf numFmtId="0" fontId="110" fillId="0" borderId="0" xfId="0" applyFont="1" applyBorder="1" applyAlignment="1"/>
    <xf numFmtId="0" fontId="110" fillId="0" borderId="0" xfId="0" applyFont="1" applyFill="1" applyBorder="1" applyAlignment="1">
      <alignment horizontal="center"/>
    </xf>
    <xf numFmtId="2" fontId="110" fillId="0" borderId="0" xfId="0" applyNumberFormat="1" applyFont="1" applyBorder="1" applyAlignment="1">
      <alignment horizontal="center"/>
    </xf>
    <xf numFmtId="0" fontId="110" fillId="0" borderId="0" xfId="0" applyFont="1" applyBorder="1" applyAlignment="1">
      <alignment horizontal="center"/>
    </xf>
    <xf numFmtId="168" fontId="110" fillId="0" borderId="0" xfId="0" applyNumberFormat="1" applyFont="1" applyBorder="1" applyAlignment="1">
      <alignment horizontal="center"/>
    </xf>
    <xf numFmtId="9" fontId="110" fillId="0" borderId="0" xfId="4795" applyFont="1" applyBorder="1" applyAlignment="1">
      <alignment horizontal="center"/>
    </xf>
    <xf numFmtId="0" fontId="110" fillId="0" borderId="0" xfId="0" applyFont="1" applyBorder="1" applyAlignment="1">
      <alignment horizontal="left"/>
    </xf>
    <xf numFmtId="0" fontId="16" fillId="0" borderId="0" xfId="4778" applyFont="1" applyBorder="1" applyAlignment="1"/>
    <xf numFmtId="0" fontId="15" fillId="0" borderId="1" xfId="4778" applyFont="1" applyBorder="1" applyAlignment="1"/>
    <xf numFmtId="0" fontId="16" fillId="0" borderId="1" xfId="4778" applyFont="1" applyBorder="1" applyAlignment="1"/>
    <xf numFmtId="0" fontId="15" fillId="0" borderId="1" xfId="4778" applyFont="1" applyBorder="1" applyAlignment="1">
      <alignment horizontal="center"/>
    </xf>
    <xf numFmtId="0" fontId="16" fillId="0" borderId="1" xfId="4778" applyFont="1" applyBorder="1" applyAlignment="1">
      <alignment horizontal="center"/>
    </xf>
    <xf numFmtId="0" fontId="110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2" fillId="0" borderId="44" xfId="4778" applyNumberFormat="1" applyFont="1" applyBorder="1" applyAlignment="1">
      <alignment horizontal="center"/>
    </xf>
    <xf numFmtId="0" fontId="12" fillId="0" borderId="44" xfId="4778" quotePrefix="1" applyFont="1" applyBorder="1" applyAlignment="1">
      <alignment horizontal="center"/>
    </xf>
    <xf numFmtId="0" fontId="12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10" fillId="0" borderId="44" xfId="4778" applyFont="1" applyBorder="1" applyAlignment="1">
      <alignment horizontal="center"/>
    </xf>
    <xf numFmtId="9" fontId="110" fillId="0" borderId="44" xfId="4778" applyNumberFormat="1" applyFont="1" applyBorder="1" applyAlignment="1">
      <alignment horizontal="center"/>
    </xf>
    <xf numFmtId="0" fontId="110" fillId="0" borderId="44" xfId="4778" quotePrefix="1" applyFont="1" applyBorder="1" applyAlignment="1">
      <alignment horizontal="center"/>
    </xf>
    <xf numFmtId="168" fontId="110" fillId="0" borderId="44" xfId="4778" applyNumberFormat="1" applyFont="1" applyBorder="1" applyAlignment="1">
      <alignment horizontal="center"/>
    </xf>
    <xf numFmtId="2" fontId="110" fillId="0" borderId="44" xfId="4778" applyNumberFormat="1" applyFont="1" applyBorder="1" applyAlignment="1">
      <alignment horizontal="center"/>
    </xf>
    <xf numFmtId="0" fontId="110" fillId="0" borderId="44" xfId="0" applyFont="1" applyBorder="1" applyAlignment="1">
      <alignment horizontal="left"/>
    </xf>
    <xf numFmtId="0" fontId="16" fillId="0" borderId="0" xfId="4778" applyFont="1" applyAlignment="1">
      <alignment horizontal="center"/>
    </xf>
    <xf numFmtId="0" fontId="14" fillId="0" borderId="0" xfId="4778" applyFont="1" applyAlignment="1">
      <alignment horizontal="center"/>
    </xf>
    <xf numFmtId="186" fontId="26" fillId="0" borderId="1" xfId="0" applyNumberFormat="1" applyFont="1" applyBorder="1" applyAlignment="1">
      <alignment vertical="center"/>
    </xf>
    <xf numFmtId="186" fontId="29" fillId="0" borderId="1" xfId="0" applyNumberFormat="1" applyFont="1" applyFill="1" applyBorder="1" applyAlignment="1">
      <alignment vertical="center"/>
    </xf>
    <xf numFmtId="186" fontId="34" fillId="3" borderId="3" xfId="4053" applyNumberFormat="1" applyFont="1" applyFill="1" applyBorder="1" applyAlignment="1">
      <alignment horizontal="left" vertical="center" wrapText="1"/>
    </xf>
    <xf numFmtId="186" fontId="26" fillId="0" borderId="0" xfId="0" applyNumberFormat="1" applyFont="1" applyAlignment="1">
      <alignment vertical="center"/>
    </xf>
    <xf numFmtId="186" fontId="34" fillId="3" borderId="37" xfId="4053" applyNumberFormat="1" applyFont="1" applyFill="1" applyBorder="1" applyAlignment="1">
      <alignment horizontal="left" vertical="center" wrapText="1"/>
    </xf>
    <xf numFmtId="1" fontId="0" fillId="57" borderId="2" xfId="0" applyNumberFormat="1" applyFill="1" applyBorder="1" applyAlignment="1">
      <alignment vertical="center"/>
    </xf>
    <xf numFmtId="0" fontId="0" fillId="0" borderId="0" xfId="0"/>
    <xf numFmtId="1" fontId="26" fillId="0" borderId="0" xfId="5010" applyNumberFormat="1" applyFont="1" applyFill="1" applyBorder="1" applyAlignment="1">
      <alignment horizontal="center" vertical="center"/>
    </xf>
    <xf numFmtId="2" fontId="26" fillId="0" borderId="0" xfId="5010" applyNumberFormat="1" applyFont="1" applyFill="1" applyBorder="1" applyAlignment="1">
      <alignment horizontal="center" vertical="center"/>
    </xf>
    <xf numFmtId="9" fontId="26" fillId="0" borderId="0" xfId="3" applyFont="1" applyFill="1" applyBorder="1" applyAlignment="1">
      <alignment horizontal="center" vertical="center"/>
    </xf>
    <xf numFmtId="1" fontId="26" fillId="57" borderId="2" xfId="5010" applyNumberFormat="1" applyFont="1" applyFill="1" applyBorder="1" applyAlignment="1">
      <alignment horizontal="center" vertical="center"/>
    </xf>
    <xf numFmtId="2" fontId="26" fillId="57" borderId="2" xfId="5010" applyNumberFormat="1" applyFont="1" applyFill="1" applyBorder="1" applyAlignment="1">
      <alignment horizontal="center" vertical="center"/>
    </xf>
    <xf numFmtId="0" fontId="0" fillId="57" borderId="2" xfId="0" applyFill="1" applyBorder="1" applyAlignment="1">
      <alignment vertical="center"/>
    </xf>
    <xf numFmtId="1" fontId="26" fillId="57" borderId="0" xfId="5010" applyNumberFormat="1" applyFont="1" applyFill="1" applyBorder="1" applyAlignment="1">
      <alignment horizontal="center" vertical="center"/>
    </xf>
    <xf numFmtId="9" fontId="26" fillId="57" borderId="0" xfId="3" applyFont="1" applyFill="1" applyBorder="1" applyAlignment="1">
      <alignment horizontal="center" vertical="center"/>
    </xf>
    <xf numFmtId="2" fontId="26" fillId="57" borderId="0" xfId="5010" applyNumberFormat="1" applyFont="1" applyFill="1" applyBorder="1" applyAlignment="1">
      <alignment horizontal="center" vertical="center"/>
    </xf>
    <xf numFmtId="1" fontId="26" fillId="57" borderId="4" xfId="5010" applyNumberFormat="1" applyFont="1" applyFill="1" applyBorder="1" applyAlignment="1">
      <alignment horizontal="center" vertical="center"/>
    </xf>
    <xf numFmtId="9" fontId="26" fillId="57" borderId="4" xfId="3" applyFont="1" applyFill="1" applyBorder="1" applyAlignment="1">
      <alignment horizontal="center" vertical="center"/>
    </xf>
    <xf numFmtId="2" fontId="26" fillId="57" borderId="4" xfId="5010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/>
    </xf>
    <xf numFmtId="2" fontId="26" fillId="0" borderId="0" xfId="5010" applyNumberFormat="1" applyFont="1" applyFill="1" applyBorder="1" applyAlignment="1">
      <alignment horizontal="left" vertical="center"/>
    </xf>
    <xf numFmtId="0" fontId="10" fillId="0" borderId="0" xfId="4778" applyFont="1" applyAlignment="1"/>
    <xf numFmtId="0" fontId="0" fillId="0" borderId="0" xfId="0"/>
    <xf numFmtId="0" fontId="10" fillId="0" borderId="0" xfId="5966" applyAlignment="1">
      <alignment vertical="center" wrapText="1"/>
    </xf>
    <xf numFmtId="0" fontId="10" fillId="0" borderId="0" xfId="5966" applyAlignment="1">
      <alignment horizontal="left" vertical="top"/>
    </xf>
    <xf numFmtId="187" fontId="10" fillId="0" borderId="0" xfId="5966" applyNumberFormat="1"/>
    <xf numFmtId="0" fontId="10" fillId="0" borderId="0" xfId="5966"/>
    <xf numFmtId="2" fontId="0" fillId="57" borderId="2" xfId="0" applyNumberFormat="1" applyFill="1" applyBorder="1" applyAlignment="1">
      <alignment vertical="center"/>
    </xf>
    <xf numFmtId="0" fontId="10" fillId="0" borderId="1" xfId="4778" applyFont="1" applyBorder="1" applyAlignment="1"/>
    <xf numFmtId="168" fontId="14" fillId="0" borderId="0" xfId="4778" applyNumberFormat="1" applyFont="1" applyAlignment="1">
      <alignment horizontal="center"/>
    </xf>
    <xf numFmtId="1" fontId="16" fillId="0" borderId="0" xfId="4778" applyNumberFormat="1" applyFont="1" applyAlignment="1">
      <alignment horizontal="center"/>
    </xf>
    <xf numFmtId="0" fontId="0" fillId="0" borderId="0" xfId="0"/>
    <xf numFmtId="0" fontId="10" fillId="0" borderId="0" xfId="5967" applyAlignment="1">
      <alignment vertical="center" wrapText="1"/>
    </xf>
    <xf numFmtId="0" fontId="10" fillId="0" borderId="0" xfId="5967" applyAlignment="1">
      <alignment horizontal="left" vertical="top"/>
    </xf>
    <xf numFmtId="187" fontId="10" fillId="0" borderId="0" xfId="5967" applyNumberFormat="1"/>
    <xf numFmtId="0" fontId="10" fillId="0" borderId="0" xfId="5967"/>
    <xf numFmtId="0" fontId="9" fillId="0" borderId="0" xfId="4794" applyFont="1" applyBorder="1" applyAlignment="1">
      <alignment vertical="center"/>
    </xf>
    <xf numFmtId="0" fontId="9" fillId="60" borderId="0" xfId="4794" applyFont="1" applyFill="1" applyBorder="1" applyAlignment="1">
      <alignment vertical="center"/>
    </xf>
    <xf numFmtId="0" fontId="9" fillId="0" borderId="0" xfId="4794" applyFont="1" applyBorder="1" applyAlignment="1">
      <alignment horizontal="center" vertical="center" wrapText="1"/>
    </xf>
    <xf numFmtId="0" fontId="8" fillId="0" borderId="0" xfId="7101"/>
    <xf numFmtId="0" fontId="8" fillId="0" borderId="0" xfId="7101"/>
    <xf numFmtId="168" fontId="0" fillId="0" borderId="0" xfId="0" applyNumberFormat="1"/>
    <xf numFmtId="2" fontId="0" fillId="59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/>
    <xf numFmtId="168" fontId="0" fillId="56" borderId="0" xfId="0" applyNumberFormat="1" applyFill="1" applyAlignment="1">
      <alignment horizontal="center"/>
    </xf>
    <xf numFmtId="168" fontId="0" fillId="56" borderId="4" xfId="0" applyNumberFormat="1" applyFill="1" applyBorder="1" applyAlignment="1">
      <alignment horizontal="center"/>
    </xf>
    <xf numFmtId="0" fontId="0" fillId="0" borderId="4" xfId="0" applyBorder="1"/>
    <xf numFmtId="168" fontId="0" fillId="0" borderId="4" xfId="0" applyNumberFormat="1" applyBorder="1" applyAlignment="1">
      <alignment horizontal="center"/>
    </xf>
    <xf numFmtId="0" fontId="34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59" borderId="0" xfId="0" applyNumberFormat="1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31" fillId="2" borderId="1" xfId="7711" applyFont="1" applyFill="1" applyBorder="1" applyAlignment="1">
      <alignment horizontal="center" vertical="center" wrapText="1"/>
    </xf>
    <xf numFmtId="0" fontId="34" fillId="3" borderId="1" xfId="4053" applyFont="1" applyFill="1" applyBorder="1" applyAlignment="1">
      <alignment horizontal="left" vertical="center" wrapText="1"/>
    </xf>
    <xf numFmtId="0" fontId="34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6" fontId="34" fillId="3" borderId="1" xfId="4053" applyNumberFormat="1" applyFont="1" applyFill="1" applyBorder="1" applyAlignment="1">
      <alignment horizontal="left" vertical="center" wrapText="1"/>
    </xf>
    <xf numFmtId="186" fontId="26" fillId="0" borderId="0" xfId="7711" applyNumberFormat="1" applyFont="1" applyFill="1" applyAlignment="1">
      <alignment vertical="center"/>
    </xf>
    <xf numFmtId="0" fontId="120" fillId="61" borderId="45" xfId="0" applyFont="1" applyFill="1" applyBorder="1" applyAlignment="1">
      <alignment vertical="center"/>
    </xf>
    <xf numFmtId="0" fontId="121" fillId="61" borderId="46" xfId="0" applyFont="1" applyFill="1" applyBorder="1" applyAlignment="1">
      <alignment horizontal="center" vertical="center"/>
    </xf>
    <xf numFmtId="0" fontId="121" fillId="61" borderId="50" xfId="0" applyFont="1" applyFill="1" applyBorder="1" applyAlignment="1">
      <alignment vertical="center"/>
    </xf>
    <xf numFmtId="0" fontId="123" fillId="62" borderId="51" xfId="0" applyFont="1" applyFill="1" applyBorder="1" applyAlignment="1">
      <alignment horizontal="center" vertical="center"/>
    </xf>
    <xf numFmtId="0" fontId="124" fillId="62" borderId="51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4" fillId="63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4" fillId="62" borderId="52" xfId="0" applyFont="1" applyFill="1" applyBorder="1" applyAlignment="1">
      <alignment horizontal="center" vertical="center"/>
    </xf>
    <xf numFmtId="0" fontId="123" fillId="64" borderId="52" xfId="0" applyFont="1" applyFill="1" applyBorder="1" applyAlignment="1">
      <alignment horizontal="center" vertical="center"/>
    </xf>
    <xf numFmtId="0" fontId="124" fillId="64" borderId="52" xfId="0" applyFont="1" applyFill="1" applyBorder="1" applyAlignment="1">
      <alignment horizontal="center" vertical="center"/>
    </xf>
    <xf numFmtId="0" fontId="124" fillId="0" borderId="56" xfId="0" applyFont="1" applyFill="1" applyBorder="1" applyAlignment="1">
      <alignment horizontal="left" vertical="center"/>
    </xf>
    <xf numFmtId="0" fontId="121" fillId="61" borderId="57" xfId="0" applyFont="1" applyFill="1" applyBorder="1" applyAlignment="1">
      <alignment vertical="center"/>
    </xf>
    <xf numFmtId="168" fontId="110" fillId="59" borderId="0" xfId="0" applyNumberFormat="1" applyFont="1" applyFill="1" applyAlignment="1">
      <alignment horizontal="center"/>
    </xf>
    <xf numFmtId="0" fontId="110" fillId="59" borderId="0" xfId="0" applyFont="1" applyFill="1" applyAlignment="1"/>
    <xf numFmtId="2" fontId="110" fillId="59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8" fontId="113" fillId="0" borderId="0" xfId="0" applyNumberFormat="1" applyFont="1" applyBorder="1" applyAlignment="1">
      <alignment horizontal="center"/>
    </xf>
    <xf numFmtId="188" fontId="26" fillId="0" borderId="0" xfId="4" applyNumberFormat="1" applyFont="1" applyFill="1" applyBorder="1" applyAlignment="1">
      <alignment horizontal="center" vertical="center"/>
    </xf>
    <xf numFmtId="0" fontId="0" fillId="65" borderId="0" xfId="0" applyFill="1"/>
    <xf numFmtId="0" fontId="12" fillId="65" borderId="0" xfId="4794" applyFont="1" applyFill="1" applyBorder="1" applyAlignment="1">
      <alignment horizontal="center" vertical="center"/>
    </xf>
    <xf numFmtId="0" fontId="8" fillId="65" borderId="31" xfId="7101" applyFill="1" applyBorder="1"/>
    <xf numFmtId="0" fontId="8" fillId="65" borderId="58" xfId="7101" applyFill="1" applyBorder="1"/>
    <xf numFmtId="0" fontId="37" fillId="65" borderId="58" xfId="7101" applyFont="1" applyFill="1" applyBorder="1"/>
    <xf numFmtId="0" fontId="31" fillId="65" borderId="58" xfId="0" applyFont="1" applyFill="1" applyBorder="1"/>
    <xf numFmtId="0" fontId="0" fillId="65" borderId="32" xfId="0" applyFill="1" applyBorder="1"/>
    <xf numFmtId="0" fontId="12" fillId="65" borderId="33" xfId="4794" applyFont="1" applyFill="1" applyBorder="1" applyAlignment="1">
      <alignment horizontal="center" vertical="center"/>
    </xf>
    <xf numFmtId="0" fontId="0" fillId="65" borderId="0" xfId="0" applyFill="1" applyBorder="1"/>
    <xf numFmtId="0" fontId="0" fillId="65" borderId="34" xfId="0" applyFill="1" applyBorder="1"/>
    <xf numFmtId="0" fontId="8" fillId="65" borderId="33" xfId="7101" applyFill="1" applyBorder="1"/>
    <xf numFmtId="0" fontId="8" fillId="65" borderId="0" xfId="7101" applyFill="1" applyBorder="1"/>
    <xf numFmtId="0" fontId="0" fillId="65" borderId="35" xfId="0" applyFill="1" applyBorder="1"/>
    <xf numFmtId="0" fontId="0" fillId="65" borderId="3" xfId="0" applyFill="1" applyBorder="1"/>
    <xf numFmtId="0" fontId="0" fillId="65" borderId="36" xfId="0" applyFill="1" applyBorder="1"/>
    <xf numFmtId="0" fontId="37" fillId="65" borderId="33" xfId="7101" applyFont="1" applyFill="1" applyBorder="1"/>
    <xf numFmtId="0" fontId="37" fillId="65" borderId="0" xfId="7101" applyFont="1" applyFill="1" applyBorder="1"/>
    <xf numFmtId="0" fontId="0" fillId="66" borderId="0" xfId="0" applyFill="1"/>
    <xf numFmtId="0" fontId="0" fillId="66" borderId="38" xfId="0" applyFill="1" applyBorder="1" applyAlignment="1"/>
    <xf numFmtId="0" fontId="0" fillId="66" borderId="2" xfId="0" applyFill="1" applyBorder="1" applyAlignment="1"/>
    <xf numFmtId="0" fontId="0" fillId="66" borderId="39" xfId="0" applyFill="1" applyBorder="1" applyAlignment="1"/>
    <xf numFmtId="0" fontId="0" fillId="66" borderId="40" xfId="0" applyFill="1" applyBorder="1"/>
    <xf numFmtId="0" fontId="0" fillId="66" borderId="0" xfId="0" applyFill="1" applyBorder="1"/>
    <xf numFmtId="0" fontId="0" fillId="66" borderId="41" xfId="0" applyFill="1" applyBorder="1"/>
    <xf numFmtId="0" fontId="0" fillId="66" borderId="40" xfId="0" applyFill="1" applyBorder="1" applyAlignment="1">
      <alignment horizontal="right"/>
    </xf>
    <xf numFmtId="0" fontId="0" fillId="66" borderId="0" xfId="0" applyFill="1" applyBorder="1" applyAlignment="1">
      <alignment horizontal="right"/>
    </xf>
    <xf numFmtId="0" fontId="0" fillId="66" borderId="41" xfId="0" applyFill="1" applyBorder="1" applyAlignment="1">
      <alignment horizontal="right"/>
    </xf>
    <xf numFmtId="1" fontId="0" fillId="66" borderId="40" xfId="0" applyNumberFormat="1" applyFill="1" applyBorder="1"/>
    <xf numFmtId="1" fontId="0" fillId="66" borderId="42" xfId="0" applyNumberFormat="1" applyFill="1" applyBorder="1"/>
    <xf numFmtId="1" fontId="0" fillId="66" borderId="4" xfId="0" applyNumberFormat="1" applyFill="1" applyBorder="1"/>
    <xf numFmtId="168" fontId="0" fillId="66" borderId="4" xfId="0" applyNumberFormat="1" applyFill="1" applyBorder="1"/>
    <xf numFmtId="0" fontId="0" fillId="66" borderId="43" xfId="0" applyFill="1" applyBorder="1" applyAlignment="1">
      <alignment horizontal="right"/>
    </xf>
    <xf numFmtId="0" fontId="26" fillId="66" borderId="13" xfId="4796" applyFont="1" applyFill="1" applyBorder="1" applyAlignment="1">
      <alignment horizontal="left"/>
    </xf>
    <xf numFmtId="0" fontId="26" fillId="66" borderId="13" xfId="4796" applyFont="1" applyFill="1" applyBorder="1" applyAlignment="1">
      <alignment horizontal="center" vertical="center" wrapText="1"/>
    </xf>
    <xf numFmtId="0" fontId="0" fillId="66" borderId="0" xfId="0" applyFill="1" applyAlignment="1">
      <alignment wrapText="1"/>
    </xf>
    <xf numFmtId="0" fontId="113" fillId="66" borderId="0" xfId="0" applyFont="1" applyFill="1"/>
    <xf numFmtId="0" fontId="114" fillId="66" borderId="0" xfId="0" applyFont="1" applyFill="1"/>
    <xf numFmtId="0" fontId="114" fillId="66" borderId="0" xfId="0" applyFont="1" applyFill="1" applyAlignment="1">
      <alignment wrapText="1"/>
    </xf>
    <xf numFmtId="0" fontId="26" fillId="66" borderId="13" xfId="4796" applyFont="1" applyFill="1" applyBorder="1" applyAlignment="1">
      <alignment horizontal="left" wrapText="1"/>
    </xf>
    <xf numFmtId="187" fontId="26" fillId="66" borderId="13" xfId="4796" applyNumberFormat="1" applyFont="1" applyFill="1" applyBorder="1" applyAlignment="1">
      <alignment horizontal="center" vertical="center" wrapText="1"/>
    </xf>
    <xf numFmtId="0" fontId="26" fillId="66" borderId="13" xfId="4796" applyFont="1" applyFill="1" applyBorder="1" applyAlignment="1">
      <alignment horizontal="right" vertical="center" wrapText="1"/>
    </xf>
    <xf numFmtId="0" fontId="0" fillId="66" borderId="0" xfId="0" applyFill="1" applyAlignment="1"/>
    <xf numFmtId="168" fontId="0" fillId="66" borderId="0" xfId="0" applyNumberFormat="1" applyFill="1"/>
    <xf numFmtId="1" fontId="113" fillId="66" borderId="0" xfId="0" applyNumberFormat="1" applyFont="1" applyFill="1"/>
    <xf numFmtId="0" fontId="114" fillId="66" borderId="0" xfId="0" applyFont="1" applyFill="1" applyAlignment="1">
      <alignment horizontal="left"/>
    </xf>
    <xf numFmtId="0" fontId="115" fillId="66" borderId="0" xfId="0" applyFont="1" applyFill="1"/>
    <xf numFmtId="1" fontId="0" fillId="66" borderId="0" xfId="0" applyNumberFormat="1" applyFill="1"/>
    <xf numFmtId="2" fontId="0" fillId="66" borderId="0" xfId="0" applyNumberFormat="1" applyFill="1"/>
    <xf numFmtId="2" fontId="126" fillId="65" borderId="0" xfId="0" applyNumberFormat="1" applyFont="1" applyFill="1"/>
    <xf numFmtId="0" fontId="26" fillId="59" borderId="0" xfId="0" applyFont="1" applyFill="1"/>
    <xf numFmtId="0" fontId="0" fillId="59" borderId="0" xfId="0" applyFill="1"/>
    <xf numFmtId="0" fontId="6" fillId="0" borderId="0" xfId="7712"/>
    <xf numFmtId="0" fontId="26" fillId="0" borderId="0" xfId="14356" applyFill="1" applyBorder="1" applyAlignment="1">
      <alignment vertical="center"/>
    </xf>
    <xf numFmtId="0" fontId="31" fillId="2" borderId="1" xfId="15529" applyFont="1" applyFill="1" applyBorder="1" applyAlignment="1">
      <alignment horizontal="center" vertical="center" wrapText="1"/>
    </xf>
    <xf numFmtId="0" fontId="4" fillId="0" borderId="0" xfId="7712" applyFont="1"/>
    <xf numFmtId="0" fontId="3" fillId="0" borderId="0" xfId="7712" applyFont="1"/>
    <xf numFmtId="0" fontId="2" fillId="0" borderId="0" xfId="7712" applyFont="1"/>
    <xf numFmtId="186" fontId="4" fillId="0" borderId="0" xfId="7712" applyNumberFormat="1" applyFont="1"/>
    <xf numFmtId="1" fontId="0" fillId="59" borderId="0" xfId="0" applyNumberFormat="1" applyFill="1" applyBorder="1" applyAlignment="1">
      <alignment horizontal="center" vertical="center"/>
    </xf>
    <xf numFmtId="0" fontId="1" fillId="0" borderId="0" xfId="4778" applyFont="1" applyAlignment="1">
      <alignment horizontal="center"/>
    </xf>
    <xf numFmtId="0" fontId="36" fillId="5" borderId="0" xfId="0" applyFont="1" applyFill="1" applyAlignment="1">
      <alignment horizontal="center" wrapText="1"/>
    </xf>
    <xf numFmtId="0" fontId="36" fillId="4" borderId="0" xfId="0" applyFont="1" applyFill="1" applyAlignment="1">
      <alignment horizontal="center" wrapText="1"/>
    </xf>
    <xf numFmtId="0" fontId="122" fillId="61" borderId="47" xfId="0" applyFont="1" applyFill="1" applyBorder="1" applyAlignment="1">
      <alignment vertical="center"/>
    </xf>
    <xf numFmtId="0" fontId="122" fillId="61" borderId="48" xfId="0" applyFont="1" applyFill="1" applyBorder="1" applyAlignment="1">
      <alignment vertical="center"/>
    </xf>
    <xf numFmtId="0" fontId="122" fillId="61" borderId="49" xfId="0" applyFont="1" applyFill="1" applyBorder="1" applyAlignment="1">
      <alignment vertical="center"/>
    </xf>
    <xf numFmtId="0" fontId="122" fillId="61" borderId="53" xfId="0" applyFont="1" applyFill="1" applyBorder="1" applyAlignment="1">
      <alignment vertical="center"/>
    </xf>
    <xf numFmtId="0" fontId="122" fillId="61" borderId="54" xfId="0" applyFont="1" applyFill="1" applyBorder="1" applyAlignment="1">
      <alignment vertical="center"/>
    </xf>
    <xf numFmtId="0" fontId="122" fillId="61" borderId="55" xfId="0" applyFont="1" applyFill="1" applyBorder="1" applyAlignment="1">
      <alignment vertical="center"/>
    </xf>
    <xf numFmtId="0" fontId="124" fillId="63" borderId="53" xfId="0" applyFont="1" applyFill="1" applyBorder="1" applyAlignment="1">
      <alignment horizontal="center" vertical="center"/>
    </xf>
    <xf numFmtId="0" fontId="124" fillId="63" borderId="54" xfId="0" applyFont="1" applyFill="1" applyBorder="1" applyAlignment="1">
      <alignment horizontal="center" vertical="center"/>
    </xf>
    <xf numFmtId="0" fontId="124" fillId="63" borderId="51" xfId="0" applyFont="1" applyFill="1" applyBorder="1" applyAlignment="1">
      <alignment horizontal="center" vertical="center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58"/>
  <sheetViews>
    <sheetView zoomScale="70" zoomScaleNormal="70" workbookViewId="0">
      <pane xSplit="3" topLeftCell="S1" activePane="topRight" state="frozen"/>
      <selection pane="topRight" activeCell="AF40" sqref="AF40"/>
    </sheetView>
  </sheetViews>
  <sheetFormatPr defaultColWidth="9.140625" defaultRowHeight="15"/>
  <cols>
    <col min="1" max="1" width="7.28515625" style="230" bestFit="1" customWidth="1"/>
    <col min="2" max="2" width="17.140625" style="230" bestFit="1" customWidth="1"/>
    <col min="3" max="3" width="82.42578125" style="230" bestFit="1" customWidth="1"/>
    <col min="4" max="4" width="22.5703125" style="230" bestFit="1" customWidth="1"/>
    <col min="5" max="5" width="17.7109375" style="230" bestFit="1" customWidth="1"/>
    <col min="6" max="9" width="16.42578125" style="281" customWidth="1"/>
    <col min="10" max="35" width="14" style="281" customWidth="1"/>
    <col min="36" max="36" width="29.5703125" style="230" bestFit="1" customWidth="1"/>
    <col min="37" max="16384" width="9.140625" style="230"/>
  </cols>
  <sheetData>
    <row r="1" spans="1:36" s="216" customFormat="1" ht="36" customHeight="1">
      <c r="A1" s="213" t="s">
        <v>63</v>
      </c>
      <c r="B1" s="213" t="s">
        <v>64</v>
      </c>
      <c r="C1" s="213" t="s">
        <v>65</v>
      </c>
      <c r="D1" s="213" t="s">
        <v>66</v>
      </c>
      <c r="E1" s="214" t="s">
        <v>67</v>
      </c>
      <c r="F1" s="215" t="s">
        <v>68</v>
      </c>
      <c r="G1" s="215" t="s">
        <v>69</v>
      </c>
      <c r="H1" s="215" t="s">
        <v>70</v>
      </c>
      <c r="I1" s="215" t="s">
        <v>71</v>
      </c>
      <c r="J1" s="425" t="s">
        <v>72</v>
      </c>
      <c r="K1" s="425"/>
      <c r="L1" s="425"/>
      <c r="M1" s="425"/>
      <c r="N1" s="425" t="s">
        <v>73</v>
      </c>
      <c r="O1" s="425"/>
      <c r="P1" s="425"/>
      <c r="Q1" s="425"/>
      <c r="R1" s="215" t="s">
        <v>74</v>
      </c>
      <c r="S1" s="215" t="s">
        <v>75</v>
      </c>
      <c r="T1" s="214" t="s">
        <v>76</v>
      </c>
      <c r="U1" s="214" t="s">
        <v>53</v>
      </c>
      <c r="V1" s="426" t="s">
        <v>257</v>
      </c>
      <c r="W1" s="426"/>
      <c r="X1" s="426"/>
      <c r="Y1" s="426"/>
      <c r="Z1" s="426" t="s">
        <v>258</v>
      </c>
      <c r="AA1" s="426"/>
      <c r="AB1" s="426"/>
      <c r="AC1" s="426"/>
      <c r="AD1" s="426" t="s">
        <v>160</v>
      </c>
      <c r="AE1" s="426"/>
      <c r="AF1" s="426"/>
      <c r="AG1" s="426"/>
      <c r="AH1" s="214" t="s">
        <v>46</v>
      </c>
      <c r="AI1" s="214" t="s">
        <v>14</v>
      </c>
      <c r="AJ1" s="213" t="s">
        <v>146</v>
      </c>
    </row>
    <row r="2" spans="1:36" s="220" customFormat="1">
      <c r="A2" s="217"/>
      <c r="B2" s="217"/>
      <c r="C2" s="217"/>
      <c r="D2" s="217"/>
      <c r="E2" s="218" t="s">
        <v>77</v>
      </c>
      <c r="F2" s="219"/>
      <c r="G2" s="219"/>
      <c r="H2" s="219"/>
      <c r="I2" s="219"/>
      <c r="J2" s="219">
        <v>2010</v>
      </c>
      <c r="K2" s="219">
        <v>2020</v>
      </c>
      <c r="L2" s="219">
        <v>2025</v>
      </c>
      <c r="M2" s="219">
        <v>2030</v>
      </c>
      <c r="N2" s="219">
        <v>2010</v>
      </c>
      <c r="O2" s="219">
        <v>2020</v>
      </c>
      <c r="P2" s="219">
        <v>2025</v>
      </c>
      <c r="Q2" s="219">
        <v>2030</v>
      </c>
      <c r="R2" s="219"/>
      <c r="S2" s="219"/>
      <c r="T2" s="218" t="s">
        <v>78</v>
      </c>
      <c r="U2" s="218"/>
      <c r="V2" s="218">
        <v>2010</v>
      </c>
      <c r="W2" s="218">
        <v>2020</v>
      </c>
      <c r="X2" s="218">
        <v>2025</v>
      </c>
      <c r="Y2" s="218">
        <v>2030</v>
      </c>
      <c r="Z2" s="218">
        <v>2010</v>
      </c>
      <c r="AA2" s="218">
        <v>2020</v>
      </c>
      <c r="AB2" s="218">
        <v>2025</v>
      </c>
      <c r="AC2" s="218">
        <v>2030</v>
      </c>
      <c r="AD2" s="218">
        <v>2010</v>
      </c>
      <c r="AE2" s="218">
        <v>2020</v>
      </c>
      <c r="AF2" s="218">
        <v>2025</v>
      </c>
      <c r="AG2" s="218">
        <v>2030</v>
      </c>
      <c r="AH2" s="218" t="s">
        <v>79</v>
      </c>
      <c r="AI2" s="218" t="s">
        <v>80</v>
      </c>
      <c r="AJ2" s="217"/>
    </row>
    <row r="3" spans="1:36">
      <c r="A3" s="221" t="s">
        <v>81</v>
      </c>
      <c r="B3" s="221" t="s">
        <v>121</v>
      </c>
      <c r="C3" s="221" t="s">
        <v>380</v>
      </c>
      <c r="D3" s="221" t="s">
        <v>87</v>
      </c>
      <c r="E3" s="222" t="s">
        <v>82</v>
      </c>
      <c r="F3" s="223" t="s">
        <v>397</v>
      </c>
      <c r="G3" s="224" t="s">
        <v>398</v>
      </c>
      <c r="H3" s="224" t="s">
        <v>399</v>
      </c>
      <c r="I3" s="224" t="s">
        <v>43</v>
      </c>
      <c r="J3" s="222">
        <v>1.77</v>
      </c>
      <c r="K3" s="222"/>
      <c r="L3" s="222">
        <v>1.77</v>
      </c>
      <c r="M3" s="225">
        <v>1.62</v>
      </c>
      <c r="N3" s="225">
        <v>7.0000000000000007E-2</v>
      </c>
      <c r="O3" s="222"/>
      <c r="P3" s="225">
        <v>7.0000000000000007E-2</v>
      </c>
      <c r="Q3" s="225">
        <v>2.3E-2</v>
      </c>
      <c r="R3" s="222">
        <v>1</v>
      </c>
      <c r="S3" s="222" t="s">
        <v>43</v>
      </c>
      <c r="T3" s="226">
        <v>1667.3689999999999</v>
      </c>
      <c r="U3" s="227">
        <v>0.9</v>
      </c>
      <c r="V3" s="226">
        <v>462.45995662093873</v>
      </c>
      <c r="W3" s="222"/>
      <c r="X3" s="226">
        <v>462.45995662093873</v>
      </c>
      <c r="Y3" s="226">
        <v>350.94478977617331</v>
      </c>
      <c r="Z3" s="225">
        <v>27.496141628880871</v>
      </c>
      <c r="AA3" s="225"/>
      <c r="AB3" s="225">
        <v>27.496141628880871</v>
      </c>
      <c r="AC3" s="225">
        <v>22.412361963898917</v>
      </c>
      <c r="AD3" s="225">
        <v>0.16293898916967511</v>
      </c>
      <c r="AE3" s="225"/>
      <c r="AF3" s="228">
        <v>0.16293898916967511</v>
      </c>
      <c r="AG3" s="225">
        <v>0.12364873646209389</v>
      </c>
      <c r="AH3" s="222">
        <v>20</v>
      </c>
      <c r="AI3" s="222">
        <v>2023</v>
      </c>
      <c r="AJ3" s="229" t="s">
        <v>147</v>
      </c>
    </row>
    <row r="4" spans="1:36">
      <c r="A4" s="221" t="s">
        <v>81</v>
      </c>
      <c r="B4" s="221" t="s">
        <v>122</v>
      </c>
      <c r="C4" s="221" t="s">
        <v>161</v>
      </c>
      <c r="D4" s="221" t="s">
        <v>88</v>
      </c>
      <c r="E4" s="222" t="s">
        <v>82</v>
      </c>
      <c r="F4" s="223" t="s">
        <v>397</v>
      </c>
      <c r="G4" s="224" t="s">
        <v>43</v>
      </c>
      <c r="H4" s="224" t="s">
        <v>399</v>
      </c>
      <c r="I4" s="224" t="s">
        <v>398</v>
      </c>
      <c r="J4" s="222">
        <v>1.75</v>
      </c>
      <c r="K4" s="222"/>
      <c r="L4" s="222"/>
      <c r="M4" s="222"/>
      <c r="N4" s="222"/>
      <c r="O4" s="222"/>
      <c r="P4" s="222"/>
      <c r="Q4" s="222"/>
      <c r="R4" s="222">
        <v>1</v>
      </c>
      <c r="S4" s="225">
        <v>0.08</v>
      </c>
      <c r="T4" s="226">
        <v>434.07</v>
      </c>
      <c r="U4" s="227">
        <v>0.8</v>
      </c>
      <c r="V4" s="226">
        <v>573.36774238267151</v>
      </c>
      <c r="W4" s="226">
        <v>573.36774238267151</v>
      </c>
      <c r="X4" s="226"/>
      <c r="Y4" s="226"/>
      <c r="Z4" s="225">
        <v>14.334193559566787</v>
      </c>
      <c r="AA4" s="225"/>
      <c r="AB4" s="225"/>
      <c r="AC4" s="226"/>
      <c r="AD4" s="225">
        <v>0.22148916967509027</v>
      </c>
      <c r="AE4" s="225"/>
      <c r="AF4" s="225"/>
      <c r="AG4" s="226"/>
      <c r="AH4" s="222">
        <v>20</v>
      </c>
      <c r="AI4" s="222">
        <v>2023</v>
      </c>
      <c r="AJ4" s="229" t="s">
        <v>148</v>
      </c>
    </row>
    <row r="5" spans="1:36">
      <c r="A5" s="221" t="s">
        <v>81</v>
      </c>
      <c r="B5" s="221" t="s">
        <v>123</v>
      </c>
      <c r="C5" s="221" t="s">
        <v>162</v>
      </c>
      <c r="D5" s="221" t="s">
        <v>89</v>
      </c>
      <c r="E5" s="222" t="s">
        <v>82</v>
      </c>
      <c r="F5" s="223" t="s">
        <v>397</v>
      </c>
      <c r="G5" s="224" t="s">
        <v>398</v>
      </c>
      <c r="H5" s="224" t="s">
        <v>399</v>
      </c>
      <c r="I5" s="224" t="s">
        <v>43</v>
      </c>
      <c r="J5" s="222">
        <v>1.77</v>
      </c>
      <c r="K5" s="222"/>
      <c r="L5" s="222">
        <v>1.77</v>
      </c>
      <c r="M5" s="225">
        <v>1.62</v>
      </c>
      <c r="N5" s="225">
        <v>0.111</v>
      </c>
      <c r="O5" s="222"/>
      <c r="P5" s="225">
        <v>0.111</v>
      </c>
      <c r="Q5" s="225">
        <v>2.3E-2</v>
      </c>
      <c r="R5" s="222">
        <v>1</v>
      </c>
      <c r="S5" s="222" t="s">
        <v>43</v>
      </c>
      <c r="T5" s="226">
        <v>1667.3689999999999</v>
      </c>
      <c r="U5" s="227">
        <v>0.9</v>
      </c>
      <c r="V5" s="226">
        <v>570.96858710469314</v>
      </c>
      <c r="W5" s="226">
        <v>520.40411194223827</v>
      </c>
      <c r="X5" s="226">
        <v>520.40411194223827</v>
      </c>
      <c r="Y5" s="226">
        <v>363.51757819494588</v>
      </c>
      <c r="Z5" s="225">
        <v>40.998223104693146</v>
      </c>
      <c r="AA5" s="225"/>
      <c r="AB5" s="225">
        <v>40.998223104693146</v>
      </c>
      <c r="AC5" s="225">
        <v>22.685683451263539</v>
      </c>
      <c r="AD5" s="225">
        <v>0.20116994584837547</v>
      </c>
      <c r="AE5" s="225"/>
      <c r="AF5" s="228">
        <v>0.20116994584837547</v>
      </c>
      <c r="AG5" s="225">
        <v>0.12807851985559568</v>
      </c>
      <c r="AH5" s="222">
        <v>20</v>
      </c>
      <c r="AI5" s="222">
        <v>2023</v>
      </c>
      <c r="AJ5" s="229" t="s">
        <v>147</v>
      </c>
    </row>
    <row r="6" spans="1:36">
      <c r="A6" s="221" t="s">
        <v>81</v>
      </c>
      <c r="B6" s="221" t="s">
        <v>124</v>
      </c>
      <c r="C6" s="221" t="s">
        <v>163</v>
      </c>
      <c r="D6" s="221" t="s">
        <v>90</v>
      </c>
      <c r="E6" s="222" t="s">
        <v>82</v>
      </c>
      <c r="F6" s="223" t="s">
        <v>397</v>
      </c>
      <c r="G6" s="224" t="s">
        <v>43</v>
      </c>
      <c r="H6" s="224" t="s">
        <v>399</v>
      </c>
      <c r="I6" s="224" t="s">
        <v>398</v>
      </c>
      <c r="J6" s="222">
        <v>1.72</v>
      </c>
      <c r="K6" s="222"/>
      <c r="L6" s="222"/>
      <c r="M6" s="222"/>
      <c r="N6" s="225" t="s">
        <v>43</v>
      </c>
      <c r="O6" s="225"/>
      <c r="P6" s="225"/>
      <c r="Q6" s="225"/>
      <c r="R6" s="222">
        <v>1</v>
      </c>
      <c r="S6" s="225">
        <v>0.08</v>
      </c>
      <c r="T6" s="226">
        <v>442.137</v>
      </c>
      <c r="U6" s="227">
        <v>0.8</v>
      </c>
      <c r="V6" s="226">
        <v>660.83061833935028</v>
      </c>
      <c r="W6" s="226">
        <v>660.83061833935028</v>
      </c>
      <c r="X6" s="226"/>
      <c r="Y6" s="226"/>
      <c r="Z6" s="225">
        <v>27.453624953068594</v>
      </c>
      <c r="AA6" s="225"/>
      <c r="AB6" s="225"/>
      <c r="AC6" s="225"/>
      <c r="AD6" s="225">
        <v>0.26193501805054153</v>
      </c>
      <c r="AE6" s="225"/>
      <c r="AF6" s="225"/>
      <c r="AG6" s="225"/>
      <c r="AH6" s="222">
        <v>20</v>
      </c>
      <c r="AI6" s="222">
        <v>2023</v>
      </c>
      <c r="AJ6" s="229" t="s">
        <v>148</v>
      </c>
    </row>
    <row r="7" spans="1:36">
      <c r="A7" s="221" t="s">
        <v>81</v>
      </c>
      <c r="B7" s="221" t="s">
        <v>125</v>
      </c>
      <c r="C7" s="221" t="s">
        <v>164</v>
      </c>
      <c r="D7" s="221" t="s">
        <v>91</v>
      </c>
      <c r="E7" s="222" t="s">
        <v>83</v>
      </c>
      <c r="F7" s="223" t="s">
        <v>400</v>
      </c>
      <c r="G7" s="224" t="s">
        <v>398</v>
      </c>
      <c r="H7" s="224" t="s">
        <v>399</v>
      </c>
      <c r="I7" s="224" t="s">
        <v>43</v>
      </c>
      <c r="J7" s="222">
        <v>3</v>
      </c>
      <c r="K7" s="222"/>
      <c r="L7" s="222"/>
      <c r="M7" s="222"/>
      <c r="N7" s="225">
        <v>0.2</v>
      </c>
      <c r="O7" s="222"/>
      <c r="P7" s="222"/>
      <c r="Q7" s="222"/>
      <c r="R7" s="222">
        <v>1</v>
      </c>
      <c r="S7" s="222" t="s">
        <v>43</v>
      </c>
      <c r="T7" s="226">
        <v>0.70799999999999996</v>
      </c>
      <c r="U7" s="227">
        <v>0.71</v>
      </c>
      <c r="V7" s="226">
        <v>4101.0978107436822</v>
      </c>
      <c r="W7" s="226">
        <v>3099.1103487812275</v>
      </c>
      <c r="X7" s="226"/>
      <c r="Y7" s="226"/>
      <c r="Z7" s="225">
        <v>81.935708101083037</v>
      </c>
      <c r="AA7" s="225"/>
      <c r="AB7" s="225"/>
      <c r="AC7" s="225"/>
      <c r="AD7" s="225">
        <v>1.8316191335740073</v>
      </c>
      <c r="AE7" s="225"/>
      <c r="AF7" s="225"/>
      <c r="AG7" s="225"/>
      <c r="AH7" s="222">
        <v>20</v>
      </c>
      <c r="AI7" s="222">
        <v>2023</v>
      </c>
      <c r="AJ7" s="229" t="s">
        <v>149</v>
      </c>
    </row>
    <row r="8" spans="1:36">
      <c r="A8" s="221" t="s">
        <v>81</v>
      </c>
      <c r="B8" s="221" t="s">
        <v>126</v>
      </c>
      <c r="C8" s="221" t="s">
        <v>165</v>
      </c>
      <c r="D8" s="221" t="s">
        <v>92</v>
      </c>
      <c r="E8" s="222" t="s">
        <v>82</v>
      </c>
      <c r="F8" s="223" t="s">
        <v>400</v>
      </c>
      <c r="G8" s="224" t="s">
        <v>398</v>
      </c>
      <c r="H8" s="224" t="s">
        <v>399</v>
      </c>
      <c r="I8" s="224" t="s">
        <v>43</v>
      </c>
      <c r="J8" s="222">
        <v>2.78</v>
      </c>
      <c r="K8" s="226">
        <v>1.804</v>
      </c>
      <c r="L8" s="226"/>
      <c r="M8" s="222"/>
      <c r="N8" s="225">
        <v>0.19500000000000001</v>
      </c>
      <c r="O8" s="225">
        <v>9.7000000000000003E-2</v>
      </c>
      <c r="P8" s="225"/>
      <c r="Q8" s="222"/>
      <c r="R8" s="222">
        <v>1</v>
      </c>
      <c r="S8" s="222" t="s">
        <v>43</v>
      </c>
      <c r="T8" s="226">
        <v>33.39</v>
      </c>
      <c r="U8" s="227">
        <v>0.9</v>
      </c>
      <c r="V8" s="226">
        <v>2637.5523530685923</v>
      </c>
      <c r="W8" s="225">
        <v>1290.6240633357402</v>
      </c>
      <c r="X8" s="225"/>
      <c r="Y8" s="226"/>
      <c r="Z8" s="225">
        <v>131.7409569097473</v>
      </c>
      <c r="AA8" s="225">
        <v>64.503871018050546</v>
      </c>
      <c r="AB8" s="225"/>
      <c r="AC8" s="225"/>
      <c r="AD8" s="225">
        <v>0.92929151624548734</v>
      </c>
      <c r="AE8" s="225">
        <v>0.45472689530685922</v>
      </c>
      <c r="AF8" s="225"/>
      <c r="AG8" s="225"/>
      <c r="AH8" s="222">
        <v>20</v>
      </c>
      <c r="AI8" s="222">
        <v>2023</v>
      </c>
      <c r="AJ8" s="229" t="s">
        <v>150</v>
      </c>
    </row>
    <row r="9" spans="1:36">
      <c r="A9" s="221" t="s">
        <v>81</v>
      </c>
      <c r="B9" s="221" t="s">
        <v>127</v>
      </c>
      <c r="C9" s="221" t="s">
        <v>166</v>
      </c>
      <c r="D9" s="221" t="s">
        <v>93</v>
      </c>
      <c r="E9" s="222" t="s">
        <v>82</v>
      </c>
      <c r="F9" s="223" t="s">
        <v>400</v>
      </c>
      <c r="G9" s="224" t="s">
        <v>398</v>
      </c>
      <c r="H9" s="224" t="s">
        <v>399</v>
      </c>
      <c r="I9" s="224" t="s">
        <v>43</v>
      </c>
      <c r="J9" s="222">
        <v>2.78</v>
      </c>
      <c r="K9" s="226">
        <v>1.804</v>
      </c>
      <c r="L9" s="226"/>
      <c r="M9" s="222"/>
      <c r="N9" s="225">
        <v>0.27</v>
      </c>
      <c r="O9" s="225">
        <v>0.14299999999999999</v>
      </c>
      <c r="P9" s="225"/>
      <c r="Q9" s="222"/>
      <c r="R9" s="222">
        <v>1</v>
      </c>
      <c r="S9" s="222" t="s">
        <v>43</v>
      </c>
      <c r="T9" s="226">
        <v>33.39</v>
      </c>
      <c r="U9" s="227">
        <v>0.9</v>
      </c>
      <c r="V9" s="226">
        <v>2651.2184274368237</v>
      </c>
      <c r="W9" s="225">
        <v>1309.2099244765343</v>
      </c>
      <c r="X9" s="225"/>
      <c r="Y9" s="226"/>
      <c r="Z9" s="225">
        <v>111.51516684476535</v>
      </c>
      <c r="AA9" s="225">
        <v>65.32383548014441</v>
      </c>
      <c r="AB9" s="225"/>
      <c r="AC9" s="225"/>
      <c r="AD9" s="225">
        <v>0.93410649819494584</v>
      </c>
      <c r="AE9" s="225">
        <v>0.46127527075812275</v>
      </c>
      <c r="AF9" s="225"/>
      <c r="AG9" s="225"/>
      <c r="AH9" s="222">
        <v>20</v>
      </c>
      <c r="AI9" s="222">
        <v>2023</v>
      </c>
      <c r="AJ9" s="229" t="s">
        <v>147</v>
      </c>
    </row>
    <row r="10" spans="1:36">
      <c r="A10" s="221" t="s">
        <v>81</v>
      </c>
      <c r="B10" s="221" t="s">
        <v>128</v>
      </c>
      <c r="C10" s="221" t="s">
        <v>167</v>
      </c>
      <c r="D10" s="221" t="s">
        <v>94</v>
      </c>
      <c r="E10" s="222" t="s">
        <v>82</v>
      </c>
      <c r="F10" s="223" t="s">
        <v>401</v>
      </c>
      <c r="G10" s="224" t="s">
        <v>398</v>
      </c>
      <c r="H10" s="231" t="s">
        <v>399</v>
      </c>
      <c r="I10" s="224" t="s">
        <v>43</v>
      </c>
      <c r="J10" s="222">
        <v>1.75</v>
      </c>
      <c r="K10" s="222"/>
      <c r="L10" s="222"/>
      <c r="M10" s="222"/>
      <c r="N10" s="225">
        <v>0.35</v>
      </c>
      <c r="O10" s="222"/>
      <c r="P10" s="222"/>
      <c r="Q10" s="222"/>
      <c r="R10" s="222">
        <v>1</v>
      </c>
      <c r="S10" s="222" t="s">
        <v>43</v>
      </c>
      <c r="T10" s="226">
        <v>18.900000000000002</v>
      </c>
      <c r="U10" s="227">
        <v>0.9</v>
      </c>
      <c r="V10" s="226">
        <v>1993.333607350181</v>
      </c>
      <c r="W10" s="226"/>
      <c r="X10" s="226"/>
      <c r="Y10" s="226"/>
      <c r="Z10" s="225">
        <v>79.809874310469311</v>
      </c>
      <c r="AA10" s="225"/>
      <c r="AB10" s="225"/>
      <c r="AC10" s="225"/>
      <c r="AD10" s="225">
        <v>0.70231326714801456</v>
      </c>
      <c r="AE10" s="225"/>
      <c r="AF10" s="225"/>
      <c r="AG10" s="225"/>
      <c r="AH10" s="222">
        <v>20</v>
      </c>
      <c r="AI10" s="222">
        <v>2023</v>
      </c>
      <c r="AJ10" s="229" t="s">
        <v>151</v>
      </c>
    </row>
    <row r="11" spans="1:36" s="240" customFormat="1">
      <c r="A11" s="232" t="s">
        <v>84</v>
      </c>
      <c r="B11" s="232" t="s">
        <v>129</v>
      </c>
      <c r="C11" s="232" t="s">
        <v>168</v>
      </c>
      <c r="D11" s="232" t="s">
        <v>95</v>
      </c>
      <c r="E11" s="233" t="s">
        <v>82</v>
      </c>
      <c r="F11" s="234" t="s">
        <v>400</v>
      </c>
      <c r="G11" s="235" t="s">
        <v>398</v>
      </c>
      <c r="H11" s="224" t="s">
        <v>399</v>
      </c>
      <c r="I11" s="235" t="s">
        <v>43</v>
      </c>
      <c r="J11" s="233">
        <v>1.36</v>
      </c>
      <c r="K11" s="233"/>
      <c r="L11" s="233"/>
      <c r="M11" s="233"/>
      <c r="N11" s="236">
        <v>4.3999999999999997E-2</v>
      </c>
      <c r="O11" s="233"/>
      <c r="P11" s="233"/>
      <c r="Q11" s="233"/>
      <c r="R11" s="233">
        <v>1</v>
      </c>
      <c r="S11" s="233" t="s">
        <v>43</v>
      </c>
      <c r="T11" s="237">
        <v>235</v>
      </c>
      <c r="U11" s="238">
        <v>0.9</v>
      </c>
      <c r="V11" s="237">
        <v>519.31082599277988</v>
      </c>
      <c r="W11" s="237"/>
      <c r="X11" s="237"/>
      <c r="Y11" s="237"/>
      <c r="Z11" s="236">
        <v>20.772433039711192</v>
      </c>
      <c r="AA11" s="236"/>
      <c r="AB11" s="236"/>
      <c r="AC11" s="236"/>
      <c r="AD11" s="236">
        <v>0.18296931407942238</v>
      </c>
      <c r="AE11" s="236"/>
      <c r="AF11" s="236"/>
      <c r="AG11" s="236"/>
      <c r="AH11" s="233">
        <v>20</v>
      </c>
      <c r="AI11" s="233">
        <v>2023</v>
      </c>
      <c r="AJ11" s="239" t="s">
        <v>152</v>
      </c>
    </row>
    <row r="12" spans="1:36">
      <c r="A12" s="221" t="s">
        <v>84</v>
      </c>
      <c r="B12" s="221" t="s">
        <v>130</v>
      </c>
      <c r="C12" s="221" t="s">
        <v>169</v>
      </c>
      <c r="D12" s="221" t="s">
        <v>96</v>
      </c>
      <c r="E12" s="222" t="s">
        <v>82</v>
      </c>
      <c r="F12" s="223" t="s">
        <v>401</v>
      </c>
      <c r="G12" s="224" t="s">
        <v>398</v>
      </c>
      <c r="H12" s="224" t="s">
        <v>399</v>
      </c>
      <c r="I12" s="224" t="s">
        <v>43</v>
      </c>
      <c r="J12" s="225">
        <v>1.32</v>
      </c>
      <c r="K12" s="222"/>
      <c r="L12" s="225">
        <v>1.32</v>
      </c>
      <c r="M12" s="225">
        <v>1.25</v>
      </c>
      <c r="N12" s="225">
        <v>0.02</v>
      </c>
      <c r="O12" s="222"/>
      <c r="P12" s="225">
        <v>0.02</v>
      </c>
      <c r="Q12" s="225">
        <v>2.1000000000000001E-2</v>
      </c>
      <c r="R12" s="222">
        <v>1</v>
      </c>
      <c r="S12" s="222" t="s">
        <v>43</v>
      </c>
      <c r="T12" s="226">
        <v>1530</v>
      </c>
      <c r="U12" s="227">
        <v>0.9</v>
      </c>
      <c r="V12" s="226">
        <v>201.16461470036103</v>
      </c>
      <c r="W12" s="226">
        <v>201.16461470036103</v>
      </c>
      <c r="X12" s="226">
        <v>201.16461470036103</v>
      </c>
      <c r="Y12" s="226">
        <v>158.25314118411552</v>
      </c>
      <c r="Z12" s="225">
        <v>9.8395735451263562</v>
      </c>
      <c r="AA12" s="222"/>
      <c r="AB12" s="225">
        <v>9.8395735451263562</v>
      </c>
      <c r="AC12" s="225">
        <v>7.6530016462093871</v>
      </c>
      <c r="AD12" s="225">
        <v>7.703971119133575E-2</v>
      </c>
      <c r="AE12" s="222"/>
      <c r="AF12" s="228">
        <v>7.703971119133575E-2</v>
      </c>
      <c r="AG12" s="225">
        <v>4.8149819494584842E-2</v>
      </c>
      <c r="AH12" s="222">
        <v>20</v>
      </c>
      <c r="AI12" s="222">
        <v>2023</v>
      </c>
      <c r="AJ12" s="229" t="s">
        <v>150</v>
      </c>
    </row>
    <row r="13" spans="1:36">
      <c r="A13" s="221" t="s">
        <v>84</v>
      </c>
      <c r="B13" s="221" t="s">
        <v>131</v>
      </c>
      <c r="C13" s="360" t="s">
        <v>170</v>
      </c>
      <c r="D13" s="221" t="s">
        <v>97</v>
      </c>
      <c r="E13" s="222" t="s">
        <v>82</v>
      </c>
      <c r="F13" s="223" t="s">
        <v>401</v>
      </c>
      <c r="G13" s="224" t="s">
        <v>398</v>
      </c>
      <c r="H13" s="224" t="s">
        <v>399</v>
      </c>
      <c r="I13" s="224" t="s">
        <v>43</v>
      </c>
      <c r="J13" s="225">
        <v>1.575</v>
      </c>
      <c r="K13" s="222"/>
      <c r="L13" s="225">
        <v>1.575</v>
      </c>
      <c r="M13" s="225">
        <v>1.48</v>
      </c>
      <c r="N13" s="225">
        <v>0.03</v>
      </c>
      <c r="O13" s="222"/>
      <c r="P13" s="225">
        <v>0.03</v>
      </c>
      <c r="Q13" s="225">
        <v>0.02</v>
      </c>
      <c r="R13" s="222">
        <v>1</v>
      </c>
      <c r="S13" s="222" t="s">
        <v>43</v>
      </c>
      <c r="T13" s="226">
        <v>33</v>
      </c>
      <c r="U13" s="227">
        <v>0.9</v>
      </c>
      <c r="V13" s="226">
        <v>431.84795003610117</v>
      </c>
      <c r="W13" s="226">
        <v>431.84795003610117</v>
      </c>
      <c r="X13" s="226">
        <v>431.84795003610117</v>
      </c>
      <c r="Y13" s="359">
        <v>344.3850740794224</v>
      </c>
      <c r="Z13" s="225">
        <v>16.399289241877259</v>
      </c>
      <c r="AA13" s="222"/>
      <c r="AB13" s="225">
        <v>16.399289241877259</v>
      </c>
      <c r="AC13" s="361">
        <v>17.21925370397112</v>
      </c>
      <c r="AD13" s="225">
        <v>0.14444945848375451</v>
      </c>
      <c r="AE13" s="222"/>
      <c r="AF13" s="228">
        <v>0.14444945848375451</v>
      </c>
      <c r="AG13" s="225">
        <v>4.8149819494584842E-2</v>
      </c>
      <c r="AH13" s="222">
        <v>20</v>
      </c>
      <c r="AI13" s="222">
        <v>2023</v>
      </c>
      <c r="AJ13" s="229" t="s">
        <v>150</v>
      </c>
    </row>
    <row r="14" spans="1:36">
      <c r="A14" s="221" t="s">
        <v>84</v>
      </c>
      <c r="B14" s="221" t="s">
        <v>132</v>
      </c>
      <c r="C14" s="221" t="s">
        <v>171</v>
      </c>
      <c r="D14" s="241" t="s">
        <v>98</v>
      </c>
      <c r="E14" s="222" t="s">
        <v>82</v>
      </c>
      <c r="F14" s="223" t="s">
        <v>401</v>
      </c>
      <c r="G14" s="224" t="s">
        <v>398</v>
      </c>
      <c r="H14" s="224" t="s">
        <v>399</v>
      </c>
      <c r="I14" s="224" t="s">
        <v>43</v>
      </c>
      <c r="J14" s="222">
        <v>1.52</v>
      </c>
      <c r="K14" s="222"/>
      <c r="L14" s="225">
        <v>1.52</v>
      </c>
      <c r="M14" s="225">
        <v>1.4</v>
      </c>
      <c r="N14" s="225">
        <v>0.05</v>
      </c>
      <c r="O14" s="222"/>
      <c r="P14" s="225">
        <v>0.05</v>
      </c>
      <c r="Q14" s="225">
        <v>3.9E-2</v>
      </c>
      <c r="R14" s="222">
        <v>1</v>
      </c>
      <c r="S14" s="222" t="s">
        <v>43</v>
      </c>
      <c r="T14" s="226">
        <v>1501.74</v>
      </c>
      <c r="U14" s="227">
        <v>0.9</v>
      </c>
      <c r="V14" s="226">
        <v>284.70988267148022</v>
      </c>
      <c r="W14" s="226">
        <v>272.77484438989177</v>
      </c>
      <c r="X14" s="226">
        <v>272.77484438989177</v>
      </c>
      <c r="Y14" s="242">
        <v>191.32504115523466</v>
      </c>
      <c r="Z14" s="228">
        <v>14.212717342960291</v>
      </c>
      <c r="AA14" s="243"/>
      <c r="AB14" s="225">
        <v>14.212717342960291</v>
      </c>
      <c r="AC14" s="228">
        <v>11.479502469314081</v>
      </c>
      <c r="AD14" s="228">
        <v>0.5296480144404333</v>
      </c>
      <c r="AE14" s="243"/>
      <c r="AF14" s="228">
        <v>0.5296480144404333</v>
      </c>
      <c r="AG14" s="228">
        <v>6.7409747292418776E-2</v>
      </c>
      <c r="AH14" s="222">
        <v>20</v>
      </c>
      <c r="AI14" s="222">
        <v>2023</v>
      </c>
      <c r="AJ14" s="229" t="s">
        <v>150</v>
      </c>
    </row>
    <row r="15" spans="1:36">
      <c r="A15" s="221" t="s">
        <v>84</v>
      </c>
      <c r="B15" s="221" t="s">
        <v>133</v>
      </c>
      <c r="C15" s="360" t="s">
        <v>172</v>
      </c>
      <c r="D15" s="241" t="s">
        <v>99</v>
      </c>
      <c r="E15" s="222" t="s">
        <v>82</v>
      </c>
      <c r="F15" s="223" t="s">
        <v>401</v>
      </c>
      <c r="G15" s="224" t="s">
        <v>398</v>
      </c>
      <c r="H15" s="224" t="s">
        <v>399</v>
      </c>
      <c r="I15" s="224" t="s">
        <v>43</v>
      </c>
      <c r="J15" s="222">
        <v>1.65</v>
      </c>
      <c r="K15" s="222"/>
      <c r="L15" s="225">
        <v>1.65</v>
      </c>
      <c r="M15" s="225">
        <v>1.4</v>
      </c>
      <c r="N15" s="225">
        <v>6.7000000000000004E-2</v>
      </c>
      <c r="O15" s="222"/>
      <c r="P15" s="225">
        <v>6.7000000000000004E-2</v>
      </c>
      <c r="Q15" s="225">
        <v>3.9E-2</v>
      </c>
      <c r="R15" s="222">
        <v>1</v>
      </c>
      <c r="S15" s="222" t="s">
        <v>43</v>
      </c>
      <c r="T15" s="226">
        <v>33</v>
      </c>
      <c r="U15" s="227">
        <v>0.9</v>
      </c>
      <c r="V15" s="226">
        <v>590.37441270758131</v>
      </c>
      <c r="W15" s="226">
        <v>565.22883587003616</v>
      </c>
      <c r="X15" s="226">
        <v>565.22883587003616</v>
      </c>
      <c r="Y15" s="359">
        <v>191.32504115523466</v>
      </c>
      <c r="Z15" s="228">
        <v>29.518720635379065</v>
      </c>
      <c r="AA15" s="243"/>
      <c r="AB15" s="225">
        <v>29.518720635379065</v>
      </c>
      <c r="AC15" s="361">
        <v>11.479502469314081</v>
      </c>
      <c r="AD15" s="228">
        <v>0.20222924187725633</v>
      </c>
      <c r="AE15" s="243"/>
      <c r="AF15" s="228">
        <v>0.20222924187725633</v>
      </c>
      <c r="AG15" s="228">
        <v>6.7409747292418776E-2</v>
      </c>
      <c r="AH15" s="222">
        <v>20</v>
      </c>
      <c r="AI15" s="222">
        <v>2023</v>
      </c>
      <c r="AJ15" s="229" t="s">
        <v>150</v>
      </c>
    </row>
    <row r="16" spans="1:36">
      <c r="A16" s="244" t="s">
        <v>84</v>
      </c>
      <c r="B16" s="244" t="s">
        <v>134</v>
      </c>
      <c r="C16" s="244" t="s">
        <v>173</v>
      </c>
      <c r="D16" s="244" t="s">
        <v>100</v>
      </c>
      <c r="E16" s="243" t="s">
        <v>82</v>
      </c>
      <c r="F16" s="223" t="s">
        <v>401</v>
      </c>
      <c r="G16" s="224" t="s">
        <v>402</v>
      </c>
      <c r="H16" s="224" t="s">
        <v>399</v>
      </c>
      <c r="I16" s="224" t="s">
        <v>43</v>
      </c>
      <c r="J16" s="222">
        <v>0.83</v>
      </c>
      <c r="K16" s="222"/>
      <c r="L16" s="222"/>
      <c r="M16" s="222"/>
      <c r="N16" s="225">
        <v>0.32</v>
      </c>
      <c r="O16" s="222"/>
      <c r="P16" s="222"/>
      <c r="Q16" s="222"/>
      <c r="R16" s="222">
        <v>1</v>
      </c>
      <c r="S16" s="222" t="s">
        <v>43</v>
      </c>
      <c r="T16" s="226">
        <v>150</v>
      </c>
      <c r="U16" s="227">
        <v>0.87</v>
      </c>
      <c r="V16" s="226">
        <v>309.91923452274369</v>
      </c>
      <c r="W16" s="226"/>
      <c r="X16" s="226"/>
      <c r="Y16" s="226"/>
      <c r="Z16" s="225">
        <v>21.665283231768949</v>
      </c>
      <c r="AA16" s="225"/>
      <c r="AB16" s="225"/>
      <c r="AC16" s="225"/>
      <c r="AD16" s="225">
        <v>0.10592960288808664</v>
      </c>
      <c r="AE16" s="225"/>
      <c r="AF16" s="225"/>
      <c r="AG16" s="225"/>
      <c r="AH16" s="222">
        <v>20</v>
      </c>
      <c r="AI16" s="222">
        <v>2023</v>
      </c>
      <c r="AJ16" s="229" t="s">
        <v>153</v>
      </c>
    </row>
    <row r="17" spans="1:38">
      <c r="A17" s="221" t="s">
        <v>84</v>
      </c>
      <c r="B17" s="221" t="s">
        <v>135</v>
      </c>
      <c r="C17" s="221" t="s">
        <v>174</v>
      </c>
      <c r="D17" s="221" t="s">
        <v>101</v>
      </c>
      <c r="E17" s="222" t="s">
        <v>83</v>
      </c>
      <c r="F17" s="223" t="s">
        <v>401</v>
      </c>
      <c r="G17" s="224" t="s">
        <v>398</v>
      </c>
      <c r="H17" s="224" t="s">
        <v>399</v>
      </c>
      <c r="I17" s="224" t="s">
        <v>43</v>
      </c>
      <c r="J17" s="222">
        <v>1.36</v>
      </c>
      <c r="K17" s="225">
        <v>1.36</v>
      </c>
      <c r="L17" s="225">
        <v>1.27</v>
      </c>
      <c r="M17" s="222"/>
      <c r="N17" s="225">
        <v>0.25</v>
      </c>
      <c r="O17" s="225">
        <v>0.25</v>
      </c>
      <c r="P17" s="225">
        <v>6.7000000000000004E-2</v>
      </c>
      <c r="Q17" s="222"/>
      <c r="R17" s="222">
        <v>1</v>
      </c>
      <c r="S17" s="222" t="s">
        <v>43</v>
      </c>
      <c r="T17" s="226">
        <v>2</v>
      </c>
      <c r="U17" s="227">
        <v>0.86</v>
      </c>
      <c r="V17" s="226">
        <v>485.78339020938637</v>
      </c>
      <c r="W17" s="226">
        <v>485.78339020938637</v>
      </c>
      <c r="X17" s="226">
        <v>376.87388821083033</v>
      </c>
      <c r="Y17" s="222"/>
      <c r="Z17" s="225">
        <v>28.206777496028881</v>
      </c>
      <c r="AA17" s="225">
        <v>28.206777496028881</v>
      </c>
      <c r="AB17" s="225">
        <v>41.787818512635383</v>
      </c>
      <c r="AC17" s="222"/>
      <c r="AD17" s="225">
        <v>4.4297833935018051E-2</v>
      </c>
      <c r="AE17" s="225">
        <v>4.4297833935018051E-2</v>
      </c>
      <c r="AF17" s="225">
        <v>4.3334837545126355E-2</v>
      </c>
      <c r="AG17" s="222"/>
      <c r="AH17" s="222">
        <v>20</v>
      </c>
      <c r="AI17" s="222">
        <v>2023</v>
      </c>
      <c r="AJ17" s="229" t="s">
        <v>153</v>
      </c>
    </row>
    <row r="18" spans="1:38">
      <c r="A18" s="221" t="s">
        <v>84</v>
      </c>
      <c r="B18" s="221" t="s">
        <v>452</v>
      </c>
      <c r="C18" s="221" t="s">
        <v>175</v>
      </c>
      <c r="D18" s="221" t="s">
        <v>102</v>
      </c>
      <c r="E18" s="222" t="s">
        <v>83</v>
      </c>
      <c r="F18" s="223" t="s">
        <v>401</v>
      </c>
      <c r="G18" s="224" t="s">
        <v>398</v>
      </c>
      <c r="H18" s="224" t="s">
        <v>399</v>
      </c>
      <c r="I18" s="224" t="s">
        <v>43</v>
      </c>
      <c r="J18" s="222">
        <v>1.81</v>
      </c>
      <c r="K18" s="222"/>
      <c r="L18" s="225">
        <v>1.81</v>
      </c>
      <c r="M18" s="225">
        <v>1.55</v>
      </c>
      <c r="N18" s="225">
        <v>6.5000000000000002E-2</v>
      </c>
      <c r="O18" s="222"/>
      <c r="P18" s="225">
        <v>6.5000000000000002E-2</v>
      </c>
      <c r="Q18" s="225">
        <v>0.05</v>
      </c>
      <c r="R18" s="222">
        <v>1</v>
      </c>
      <c r="S18" s="222" t="s">
        <v>43</v>
      </c>
      <c r="T18" s="226">
        <v>0.66600000000000004</v>
      </c>
      <c r="U18" s="227">
        <v>0.9</v>
      </c>
      <c r="V18" s="226">
        <v>1847.6532545848377</v>
      </c>
      <c r="W18" s="226">
        <v>1642.9354605487365</v>
      </c>
      <c r="X18" s="226">
        <v>1642.9354605487365</v>
      </c>
      <c r="Y18" s="226">
        <v>1157.7898204765343</v>
      </c>
      <c r="Z18" s="225">
        <v>44.551402440433215</v>
      </c>
      <c r="AA18" s="222"/>
      <c r="AB18" s="225">
        <v>44.551402440433215</v>
      </c>
      <c r="AC18" s="225">
        <v>22.959004938628162</v>
      </c>
      <c r="AD18" s="225">
        <v>0.64520758122743693</v>
      </c>
      <c r="AE18" s="222"/>
      <c r="AF18" s="225">
        <v>0.64520758122743693</v>
      </c>
      <c r="AG18" s="225">
        <v>0.40445848375451265</v>
      </c>
      <c r="AH18" s="222">
        <v>20</v>
      </c>
      <c r="AI18" s="222">
        <v>2023</v>
      </c>
      <c r="AJ18" s="229" t="s">
        <v>150</v>
      </c>
    </row>
    <row r="19" spans="1:38">
      <c r="A19" s="221" t="s">
        <v>84</v>
      </c>
      <c r="B19" s="221" t="s">
        <v>453</v>
      </c>
      <c r="C19" s="221" t="s">
        <v>176</v>
      </c>
      <c r="D19" s="221" t="s">
        <v>103</v>
      </c>
      <c r="E19" s="222" t="s">
        <v>83</v>
      </c>
      <c r="F19" s="223" t="s">
        <v>403</v>
      </c>
      <c r="G19" s="224" t="s">
        <v>398</v>
      </c>
      <c r="H19" s="224" t="s">
        <v>399</v>
      </c>
      <c r="I19" s="224" t="s">
        <v>43</v>
      </c>
      <c r="J19" s="225">
        <f>2.37/0.0268</f>
        <v>88.432835820895519</v>
      </c>
      <c r="K19" s="222"/>
      <c r="L19" s="222"/>
      <c r="M19" s="222"/>
      <c r="N19" s="225">
        <v>0.17699999999999999</v>
      </c>
      <c r="O19" s="222"/>
      <c r="P19" s="222"/>
      <c r="Q19" s="222"/>
      <c r="R19" s="222">
        <v>1</v>
      </c>
      <c r="S19" s="222" t="s">
        <v>43</v>
      </c>
      <c r="T19" s="226">
        <v>1.0500000000000001E-2</v>
      </c>
      <c r="U19" s="227">
        <v>0.9</v>
      </c>
      <c r="V19" s="226">
        <v>7379.6801588447661</v>
      </c>
      <c r="W19" s="226"/>
      <c r="X19" s="226"/>
      <c r="Y19" s="226"/>
      <c r="Z19" s="225">
        <v>0</v>
      </c>
      <c r="AA19" s="225"/>
      <c r="AB19" s="225"/>
      <c r="AC19" s="225"/>
      <c r="AD19" s="225">
        <v>19.645126353790612</v>
      </c>
      <c r="AE19" s="225"/>
      <c r="AF19" s="225"/>
      <c r="AG19" s="225"/>
      <c r="AH19" s="222">
        <v>10</v>
      </c>
      <c r="AI19" s="222">
        <v>2023</v>
      </c>
      <c r="AJ19" s="229" t="s">
        <v>154</v>
      </c>
    </row>
    <row r="20" spans="1:38">
      <c r="A20" s="244" t="s">
        <v>84</v>
      </c>
      <c r="B20" s="244" t="s">
        <v>136</v>
      </c>
      <c r="C20" s="244" t="s">
        <v>177</v>
      </c>
      <c r="D20" s="244" t="s">
        <v>104</v>
      </c>
      <c r="E20" s="243" t="s">
        <v>83</v>
      </c>
      <c r="F20" s="245" t="s">
        <v>401</v>
      </c>
      <c r="G20" s="224" t="s">
        <v>402</v>
      </c>
      <c r="H20" s="246" t="s">
        <v>399</v>
      </c>
      <c r="I20" s="224" t="s">
        <v>43</v>
      </c>
      <c r="J20" s="222">
        <v>1.72</v>
      </c>
      <c r="K20" s="222"/>
      <c r="L20" s="222"/>
      <c r="M20" s="222"/>
      <c r="N20" s="225">
        <v>0.23400000000000001</v>
      </c>
      <c r="O20" s="222"/>
      <c r="P20" s="222"/>
      <c r="Q20" s="222"/>
      <c r="R20" s="222">
        <v>1</v>
      </c>
      <c r="S20" s="222" t="s">
        <v>43</v>
      </c>
      <c r="T20" s="226">
        <v>0.127</v>
      </c>
      <c r="U20" s="227">
        <v>0.33</v>
      </c>
      <c r="V20" s="226">
        <v>851.85196895306865</v>
      </c>
      <c r="W20" s="226"/>
      <c r="X20" s="226"/>
      <c r="Y20" s="226"/>
      <c r="Z20" s="225">
        <v>17.137257257761732</v>
      </c>
      <c r="AA20" s="225"/>
      <c r="AB20" s="225"/>
      <c r="AC20" s="225"/>
      <c r="AD20" s="225"/>
      <c r="AE20" s="225"/>
      <c r="AF20" s="225"/>
      <c r="AG20" s="225"/>
      <c r="AH20" s="222">
        <v>20</v>
      </c>
      <c r="AI20" s="222">
        <v>2023</v>
      </c>
      <c r="AJ20" s="229" t="s">
        <v>155</v>
      </c>
    </row>
    <row r="21" spans="1:38" s="256" customFormat="1">
      <c r="A21" s="247" t="s">
        <v>84</v>
      </c>
      <c r="B21" s="247" t="s">
        <v>137</v>
      </c>
      <c r="C21" s="247" t="s">
        <v>178</v>
      </c>
      <c r="D21" s="247" t="s">
        <v>85</v>
      </c>
      <c r="E21" s="248" t="s">
        <v>82</v>
      </c>
      <c r="F21" s="249" t="s">
        <v>404</v>
      </c>
      <c r="G21" s="231" t="s">
        <v>398</v>
      </c>
      <c r="H21" s="231" t="s">
        <v>399</v>
      </c>
      <c r="I21" s="231"/>
      <c r="J21" s="250">
        <v>1.3</v>
      </c>
      <c r="K21" s="251"/>
      <c r="L21" s="251"/>
      <c r="M21" s="251"/>
      <c r="N21" s="250">
        <v>6.3E-2</v>
      </c>
      <c r="O21" s="251"/>
      <c r="P21" s="251"/>
      <c r="Q21" s="251"/>
      <c r="R21" s="251">
        <v>1</v>
      </c>
      <c r="S21" s="251" t="s">
        <v>43</v>
      </c>
      <c r="T21" s="252">
        <v>300</v>
      </c>
      <c r="U21" s="253">
        <v>0.9</v>
      </c>
      <c r="V21" s="252">
        <v>431.84795003610117</v>
      </c>
      <c r="W21" s="252"/>
      <c r="X21" s="252"/>
      <c r="Y21" s="252"/>
      <c r="Z21" s="250">
        <v>21.592397501805056</v>
      </c>
      <c r="AA21" s="250"/>
      <c r="AB21" s="250"/>
      <c r="AC21" s="250"/>
      <c r="AD21" s="250">
        <v>0.14444945848375451</v>
      </c>
      <c r="AE21" s="250"/>
      <c r="AF21" s="250"/>
      <c r="AG21" s="250"/>
      <c r="AH21" s="254">
        <v>25</v>
      </c>
      <c r="AI21" s="251">
        <v>2023</v>
      </c>
      <c r="AJ21" s="255" t="s">
        <v>151</v>
      </c>
    </row>
    <row r="22" spans="1:38" s="264" customFormat="1">
      <c r="A22" s="257" t="s">
        <v>86</v>
      </c>
      <c r="B22" s="257" t="s">
        <v>138</v>
      </c>
      <c r="C22" s="257" t="s">
        <v>179</v>
      </c>
      <c r="D22" s="257" t="s">
        <v>105</v>
      </c>
      <c r="E22" s="258" t="s">
        <v>82</v>
      </c>
      <c r="F22" s="223" t="s">
        <v>398</v>
      </c>
      <c r="G22" s="246" t="s">
        <v>43</v>
      </c>
      <c r="H22" s="224" t="s">
        <v>399</v>
      </c>
      <c r="I22" s="246" t="s">
        <v>43</v>
      </c>
      <c r="J22" s="259">
        <v>1.5</v>
      </c>
      <c r="K22" s="260">
        <v>1.5</v>
      </c>
      <c r="L22" s="259">
        <v>1.38</v>
      </c>
      <c r="M22" s="257"/>
      <c r="N22" s="260" t="s">
        <v>43</v>
      </c>
      <c r="O22" s="260"/>
      <c r="P22" s="260"/>
      <c r="Q22" s="260"/>
      <c r="R22" s="260">
        <v>1</v>
      </c>
      <c r="S22" s="260" t="s">
        <v>43</v>
      </c>
      <c r="T22" s="261">
        <v>72</v>
      </c>
      <c r="U22" s="262">
        <v>0.9</v>
      </c>
      <c r="V22" s="261">
        <v>625.90620606498203</v>
      </c>
      <c r="W22" s="261">
        <v>625.90620606498203</v>
      </c>
      <c r="X22" s="261">
        <v>377.18365256317691</v>
      </c>
      <c r="Y22" s="257"/>
      <c r="Z22" s="259">
        <v>41.544866079422384</v>
      </c>
      <c r="AA22" s="259">
        <v>40.007556053017765</v>
      </c>
      <c r="AB22" s="259">
        <v>26.238862787003612</v>
      </c>
      <c r="AC22" s="257"/>
      <c r="AD22" s="259">
        <v>0.1540794223826715</v>
      </c>
      <c r="AE22" s="259">
        <v>0.1540794223826715</v>
      </c>
      <c r="AF22" s="259">
        <v>6.3557761732851992E-2</v>
      </c>
      <c r="AG22" s="257"/>
      <c r="AH22" s="260">
        <v>40</v>
      </c>
      <c r="AI22" s="260">
        <v>2023</v>
      </c>
      <c r="AJ22" s="263" t="s">
        <v>153</v>
      </c>
    </row>
    <row r="23" spans="1:38">
      <c r="A23" s="221" t="s">
        <v>86</v>
      </c>
      <c r="B23" s="221" t="s">
        <v>139</v>
      </c>
      <c r="C23" s="221" t="s">
        <v>180</v>
      </c>
      <c r="D23" s="221" t="s">
        <v>106</v>
      </c>
      <c r="E23" s="243" t="s">
        <v>82</v>
      </c>
      <c r="F23" s="223" t="s">
        <v>398</v>
      </c>
      <c r="G23" s="224" t="s">
        <v>43</v>
      </c>
      <c r="H23" s="224" t="s">
        <v>399</v>
      </c>
      <c r="I23" s="224" t="s">
        <v>43</v>
      </c>
      <c r="J23" s="225">
        <v>1.633</v>
      </c>
      <c r="K23" s="222"/>
      <c r="L23" s="225">
        <v>1.633</v>
      </c>
      <c r="M23" s="259">
        <v>1.4159999999999999</v>
      </c>
      <c r="N23" s="222" t="s">
        <v>43</v>
      </c>
      <c r="O23" s="222"/>
      <c r="P23" s="222"/>
      <c r="Q23" s="222"/>
      <c r="R23" s="222">
        <v>1</v>
      </c>
      <c r="S23" s="222" t="s">
        <v>43</v>
      </c>
      <c r="T23" s="226">
        <v>33</v>
      </c>
      <c r="U23" s="227">
        <v>0.9</v>
      </c>
      <c r="V23" s="226">
        <v>1779.0495612563179</v>
      </c>
      <c r="W23" s="226">
        <v>497.71842849097476</v>
      </c>
      <c r="X23" s="226">
        <v>497.71842849097476</v>
      </c>
      <c r="Y23" s="363">
        <v>207.72433039711191</v>
      </c>
      <c r="Z23" s="225">
        <v>89.922769342960294</v>
      </c>
      <c r="AA23" s="225"/>
      <c r="AB23" s="225">
        <v>89.922769342960294</v>
      </c>
      <c r="AC23" s="225">
        <v>10.386216519855596</v>
      </c>
      <c r="AD23" s="225">
        <v>5.7779783393501802E-2</v>
      </c>
      <c r="AE23" s="225"/>
      <c r="AF23" s="225">
        <v>5.7779783393501802E-2</v>
      </c>
      <c r="AG23" s="225">
        <v>0.17333935018050542</v>
      </c>
      <c r="AH23" s="222">
        <v>20</v>
      </c>
      <c r="AI23" s="222">
        <v>2023</v>
      </c>
      <c r="AJ23" s="229" t="s">
        <v>150</v>
      </c>
    </row>
    <row r="24" spans="1:38">
      <c r="A24" s="221" t="s">
        <v>86</v>
      </c>
      <c r="B24" s="221" t="s">
        <v>140</v>
      </c>
      <c r="C24" s="221" t="s">
        <v>181</v>
      </c>
      <c r="D24" s="221" t="s">
        <v>107</v>
      </c>
      <c r="E24" s="222" t="s">
        <v>83</v>
      </c>
      <c r="F24" s="223" t="s">
        <v>398</v>
      </c>
      <c r="G24" s="224" t="s">
        <v>43</v>
      </c>
      <c r="H24" s="224" t="s">
        <v>399</v>
      </c>
      <c r="I24" s="224" t="s">
        <v>43</v>
      </c>
      <c r="J24" s="225">
        <v>1.62</v>
      </c>
      <c r="K24" s="222"/>
      <c r="L24" s="222">
        <v>1.62</v>
      </c>
      <c r="M24" s="225">
        <v>1.41</v>
      </c>
      <c r="N24" s="222" t="s">
        <v>43</v>
      </c>
      <c r="O24" s="222"/>
      <c r="P24" s="222"/>
      <c r="Q24" s="222"/>
      <c r="R24" s="222">
        <v>1</v>
      </c>
      <c r="S24" s="222" t="s">
        <v>43</v>
      </c>
      <c r="T24" s="226">
        <v>0.6</v>
      </c>
      <c r="U24" s="227">
        <v>0.9</v>
      </c>
      <c r="V24" s="226">
        <v>1940.582560288809</v>
      </c>
      <c r="W24" s="226">
        <v>865.88247197111912</v>
      </c>
      <c r="X24" s="226">
        <v>865.88247197111912</v>
      </c>
      <c r="Y24" s="226">
        <v>512.47778880866429</v>
      </c>
      <c r="Z24" s="225">
        <v>136.66074368231048</v>
      </c>
      <c r="AA24" s="225"/>
      <c r="AB24" s="225">
        <v>136.66074368231048</v>
      </c>
      <c r="AC24" s="225">
        <v>25.418898324909751</v>
      </c>
      <c r="AD24" s="225">
        <v>0.96299638989169678</v>
      </c>
      <c r="AE24" s="225"/>
      <c r="AF24" s="225">
        <v>0.96299638989169678</v>
      </c>
      <c r="AG24" s="225">
        <v>0.17333935018050542</v>
      </c>
      <c r="AH24" s="222">
        <v>20</v>
      </c>
      <c r="AI24" s="222">
        <v>2023</v>
      </c>
      <c r="AJ24" s="229" t="s">
        <v>150</v>
      </c>
    </row>
    <row r="25" spans="1:38" s="266" customFormat="1">
      <c r="A25" s="265" t="s">
        <v>280</v>
      </c>
      <c r="B25" s="311" t="s">
        <v>281</v>
      </c>
      <c r="C25" s="266" t="s">
        <v>381</v>
      </c>
      <c r="D25" s="265" t="s">
        <v>282</v>
      </c>
      <c r="E25" s="267" t="s">
        <v>82</v>
      </c>
      <c r="F25" s="267" t="s">
        <v>405</v>
      </c>
      <c r="G25" s="268" t="s">
        <v>43</v>
      </c>
      <c r="H25" s="269" t="s">
        <v>398</v>
      </c>
      <c r="I25" s="269" t="s">
        <v>399</v>
      </c>
      <c r="J25" s="270" t="s">
        <v>43</v>
      </c>
      <c r="K25" s="270" t="s">
        <v>43</v>
      </c>
      <c r="L25" s="270" t="s">
        <v>43</v>
      </c>
      <c r="M25" s="271">
        <v>0.66666666666666663</v>
      </c>
      <c r="N25" s="270" t="s">
        <v>43</v>
      </c>
      <c r="O25" s="270" t="s">
        <v>43</v>
      </c>
      <c r="P25" s="270" t="s">
        <v>43</v>
      </c>
      <c r="Q25" s="272"/>
      <c r="R25" s="273">
        <v>1</v>
      </c>
      <c r="S25" s="274" t="s">
        <v>43</v>
      </c>
      <c r="T25" s="275">
        <v>600</v>
      </c>
      <c r="U25" s="276">
        <v>0.94</v>
      </c>
      <c r="V25" s="277" t="s">
        <v>43</v>
      </c>
      <c r="W25" s="277" t="s">
        <v>43</v>
      </c>
      <c r="X25" s="277" t="s">
        <v>43</v>
      </c>
      <c r="Y25" s="278">
        <f>Y28</f>
        <v>4687.3070894460816</v>
      </c>
      <c r="Z25" s="277" t="s">
        <v>43</v>
      </c>
      <c r="AA25" s="277" t="s">
        <v>43</v>
      </c>
      <c r="AB25" s="277" t="s">
        <v>43</v>
      </c>
      <c r="AC25" s="279">
        <f>AC28</f>
        <v>304.67496081399531</v>
      </c>
      <c r="AD25" s="277" t="s">
        <v>43</v>
      </c>
      <c r="AE25" s="277" t="s">
        <v>43</v>
      </c>
      <c r="AF25" s="277" t="s">
        <v>43</v>
      </c>
      <c r="AG25" s="279">
        <f>AG28</f>
        <v>2.6040594941367119</v>
      </c>
      <c r="AH25" s="273">
        <v>60</v>
      </c>
      <c r="AI25" s="273">
        <v>2030</v>
      </c>
      <c r="AJ25" s="280" t="s">
        <v>371</v>
      </c>
    </row>
    <row r="27" spans="1:38">
      <c r="C27" s="304" t="s">
        <v>470</v>
      </c>
      <c r="Y27" s="282"/>
      <c r="AC27" s="282"/>
      <c r="AG27" s="282"/>
    </row>
    <row r="28" spans="1:38">
      <c r="C28" s="304" t="s">
        <v>471</v>
      </c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X28" s="281">
        <v>2030</v>
      </c>
      <c r="Y28" s="313">
        <f>5000/$AI$33</f>
        <v>4687.3070894460816</v>
      </c>
      <c r="AC28" s="312">
        <f>6.5%*$Y$28</f>
        <v>304.67496081399531</v>
      </c>
      <c r="AG28" s="281">
        <f>10/3.6/$AI$33</f>
        <v>2.6040594941367119</v>
      </c>
    </row>
    <row r="29" spans="1:38"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X29" s="281">
        <v>2050</v>
      </c>
      <c r="Y29" s="313">
        <f>4200/$AI$33</f>
        <v>3937.3379551347089</v>
      </c>
      <c r="AC29" s="312">
        <f>6.5%*$Y$29</f>
        <v>255.9269670837561</v>
      </c>
      <c r="AG29" s="281">
        <f>10/3.6/$AI$33</f>
        <v>2.6040594941367119</v>
      </c>
    </row>
    <row r="30" spans="1:38"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</row>
    <row r="31" spans="1:38"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Y31" s="314" t="s">
        <v>455</v>
      </c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  <c r="AJ31" s="314"/>
      <c r="AK31" s="314"/>
      <c r="AL31" s="314"/>
    </row>
    <row r="32" spans="1:38"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Y32" s="318" t="s">
        <v>456</v>
      </c>
      <c r="Z32" s="318" t="s">
        <v>457</v>
      </c>
      <c r="AA32" s="318" t="s">
        <v>458</v>
      </c>
      <c r="AB32" s="318" t="s">
        <v>459</v>
      </c>
      <c r="AC32" s="318" t="s">
        <v>460</v>
      </c>
      <c r="AD32" s="318" t="s">
        <v>461</v>
      </c>
      <c r="AE32" s="318" t="s">
        <v>462</v>
      </c>
      <c r="AF32" s="318" t="s">
        <v>463</v>
      </c>
      <c r="AG32" s="318" t="s">
        <v>464</v>
      </c>
      <c r="AH32" s="318" t="s">
        <v>465</v>
      </c>
      <c r="AI32" s="318" t="s">
        <v>466</v>
      </c>
      <c r="AJ32" s="318" t="s">
        <v>467</v>
      </c>
      <c r="AK32" s="318" t="s">
        <v>468</v>
      </c>
      <c r="AL32" s="316">
        <v>2013</v>
      </c>
    </row>
    <row r="33" spans="6:38"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Y33" s="318" t="s">
        <v>469</v>
      </c>
      <c r="Z33" s="315">
        <v>1.2932665148063782</v>
      </c>
      <c r="AA33" s="315">
        <v>1.2668817341408991</v>
      </c>
      <c r="AB33" s="315">
        <v>1.2425871808233455</v>
      </c>
      <c r="AC33" s="315">
        <v>1.2180858193706581</v>
      </c>
      <c r="AD33" s="315">
        <v>1.1922623999999999</v>
      </c>
      <c r="AE33" s="315">
        <v>1.1686555577337778</v>
      </c>
      <c r="AF33" s="315">
        <v>1.1399391911272587</v>
      </c>
      <c r="AG33" s="315">
        <v>1.0996701715550636</v>
      </c>
      <c r="AH33" s="315">
        <v>1.0889235546625264</v>
      </c>
      <c r="AI33" s="315">
        <v>1.0667105663415943</v>
      </c>
      <c r="AJ33" s="315">
        <v>1.034680551939599</v>
      </c>
      <c r="AK33" s="315">
        <v>1.008</v>
      </c>
      <c r="AL33" s="317">
        <v>1</v>
      </c>
    </row>
    <row r="34" spans="6:38"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</row>
    <row r="35" spans="6:38"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</row>
    <row r="36" spans="6:38"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AI36" s="424" t="s">
        <v>610</v>
      </c>
    </row>
    <row r="37" spans="6:38"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AI37" s="281">
        <v>2015</v>
      </c>
    </row>
    <row r="38" spans="6:38"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AI38" s="281">
        <v>2015</v>
      </c>
    </row>
    <row r="39" spans="6:38"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AI39" s="281">
        <v>2015</v>
      </c>
    </row>
    <row r="40" spans="6:38"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AI40" s="281">
        <v>2015</v>
      </c>
    </row>
    <row r="41" spans="6:38"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AI41" s="281">
        <v>2015</v>
      </c>
    </row>
    <row r="42" spans="6:38"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AI42" s="281">
        <v>2015</v>
      </c>
    </row>
    <row r="43" spans="6:38"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AI43" s="281">
        <v>2015</v>
      </c>
    </row>
    <row r="44" spans="6:38"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AI44" s="281">
        <v>2015</v>
      </c>
    </row>
    <row r="45" spans="6:38"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AI45" s="281">
        <v>2015</v>
      </c>
    </row>
    <row r="46" spans="6:38"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AI46" s="281">
        <v>2015</v>
      </c>
    </row>
    <row r="47" spans="6:38"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AI47" s="281">
        <v>2015</v>
      </c>
    </row>
    <row r="48" spans="6:38">
      <c r="AI48" s="281">
        <v>2015</v>
      </c>
    </row>
    <row r="49" spans="35:35">
      <c r="AI49" s="281">
        <v>2015</v>
      </c>
    </row>
    <row r="50" spans="35:35">
      <c r="AI50" s="281">
        <v>2015</v>
      </c>
    </row>
    <row r="51" spans="35:35">
      <c r="AI51" s="281">
        <v>2015</v>
      </c>
    </row>
    <row r="52" spans="35:35">
      <c r="AI52" s="281">
        <v>2015</v>
      </c>
    </row>
    <row r="53" spans="35:35">
      <c r="AI53" s="281">
        <v>2015</v>
      </c>
    </row>
    <row r="54" spans="35:35">
      <c r="AI54" s="281">
        <v>2015</v>
      </c>
    </row>
    <row r="55" spans="35:35">
      <c r="AI55" s="281">
        <v>2015</v>
      </c>
    </row>
    <row r="56" spans="35:35">
      <c r="AI56" s="281">
        <v>2015</v>
      </c>
    </row>
    <row r="57" spans="35:35">
      <c r="AI57" s="281">
        <v>2015</v>
      </c>
    </row>
    <row r="58" spans="35:35">
      <c r="AI58" s="281">
        <v>2015</v>
      </c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89"/>
    <col min="2" max="2" width="46.42578125" style="189" customWidth="1"/>
    <col min="3" max="3" width="19.140625" style="189" customWidth="1"/>
    <col min="4" max="4" width="9.140625" style="189"/>
    <col min="5" max="5" width="18.42578125" style="189" customWidth="1"/>
    <col min="6" max="6" width="11.28515625" style="189" customWidth="1"/>
    <col min="7" max="7" width="20" style="189" bestFit="1" customWidth="1"/>
    <col min="8" max="8" width="10.7109375" style="189" customWidth="1"/>
    <col min="9" max="9" width="9.140625" style="189"/>
    <col min="10" max="10" width="15.85546875" style="189" customWidth="1"/>
    <col min="11" max="16" width="9.140625" style="189"/>
    <col min="17" max="17" width="17.28515625" style="189" customWidth="1"/>
    <col min="18" max="16384" width="9.140625" style="189"/>
  </cols>
  <sheetData>
    <row r="1" spans="1:27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</row>
    <row r="2" spans="1:27">
      <c r="A2" s="382"/>
      <c r="B2" s="382"/>
      <c r="C2" s="383" t="s">
        <v>299</v>
      </c>
      <c r="D2" s="384"/>
      <c r="E2" s="384" t="s">
        <v>4</v>
      </c>
      <c r="F2" s="384"/>
      <c r="G2" s="385"/>
      <c r="H2" s="382"/>
      <c r="I2" s="382"/>
      <c r="J2" s="382"/>
      <c r="K2" s="382"/>
      <c r="L2" s="382"/>
      <c r="M2" s="382"/>
      <c r="N2" s="382"/>
      <c r="O2" s="382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</row>
    <row r="3" spans="1:27">
      <c r="A3" s="382"/>
      <c r="B3" s="382"/>
      <c r="C3" s="386" t="s">
        <v>300</v>
      </c>
      <c r="D3" s="387"/>
      <c r="E3" s="387"/>
      <c r="F3" s="387"/>
      <c r="G3" s="388" t="s">
        <v>301</v>
      </c>
      <c r="H3" s="382"/>
      <c r="I3" s="382"/>
      <c r="J3" s="382"/>
      <c r="K3" s="382"/>
      <c r="L3" s="382"/>
      <c r="M3" s="382"/>
      <c r="N3" s="382"/>
      <c r="O3" s="382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</row>
    <row r="4" spans="1:27" ht="13.5" thickBot="1">
      <c r="A4" s="382"/>
      <c r="B4" s="382"/>
      <c r="C4" s="389" t="s">
        <v>47</v>
      </c>
      <c r="D4" s="390" t="s">
        <v>302</v>
      </c>
      <c r="E4" s="389" t="s">
        <v>47</v>
      </c>
      <c r="F4" s="390" t="s">
        <v>302</v>
      </c>
      <c r="G4" s="391" t="s">
        <v>303</v>
      </c>
      <c r="H4" s="382"/>
      <c r="I4" s="382"/>
      <c r="J4" s="382"/>
      <c r="K4" s="382"/>
      <c r="L4" s="382"/>
      <c r="M4" s="382"/>
      <c r="N4" s="382"/>
      <c r="O4" s="382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</row>
    <row r="5" spans="1:27" ht="15">
      <c r="A5" s="382"/>
      <c r="B5" s="382" t="s">
        <v>304</v>
      </c>
      <c r="C5" s="392">
        <f t="shared" ref="C5:C8" si="0">D5*31.54</f>
        <v>504.64</v>
      </c>
      <c r="D5" s="387">
        <f>H12</f>
        <v>16</v>
      </c>
      <c r="E5" s="387">
        <f t="shared" ref="E5:E8" si="1">F5*31.54</f>
        <v>0</v>
      </c>
      <c r="F5" s="387">
        <v>0</v>
      </c>
      <c r="G5" s="391" t="s">
        <v>305</v>
      </c>
      <c r="H5" s="382"/>
      <c r="I5" s="382"/>
      <c r="J5" s="382"/>
      <c r="K5" s="382"/>
      <c r="L5" s="382"/>
      <c r="M5" s="382"/>
      <c r="N5" s="382"/>
      <c r="O5" s="382"/>
      <c r="P5" s="365"/>
      <c r="Q5" s="367" t="s">
        <v>476</v>
      </c>
      <c r="R5" s="368"/>
      <c r="S5" s="368"/>
      <c r="T5" s="369" t="s">
        <v>477</v>
      </c>
      <c r="U5" s="369"/>
      <c r="V5" s="369"/>
      <c r="W5" s="370"/>
      <c r="X5" s="370"/>
      <c r="Y5" s="370"/>
      <c r="Z5" s="371"/>
      <c r="AA5" s="365"/>
    </row>
    <row r="6" spans="1:27" ht="15">
      <c r="A6" s="382"/>
      <c r="B6" s="382" t="s">
        <v>306</v>
      </c>
      <c r="C6" s="392">
        <f t="shared" si="0"/>
        <v>315.39999999999998</v>
      </c>
      <c r="D6" s="387">
        <f>H13</f>
        <v>10</v>
      </c>
      <c r="E6" s="387">
        <f t="shared" si="1"/>
        <v>0</v>
      </c>
      <c r="F6" s="387">
        <v>0</v>
      </c>
      <c r="G6" s="391" t="s">
        <v>305</v>
      </c>
      <c r="H6" s="382"/>
      <c r="I6" s="382"/>
      <c r="J6" s="382"/>
      <c r="K6" s="382"/>
      <c r="L6" s="382"/>
      <c r="M6" s="382"/>
      <c r="N6" s="382"/>
      <c r="O6" s="382"/>
      <c r="P6" s="365"/>
      <c r="Q6" s="372"/>
      <c r="R6" s="366"/>
      <c r="S6" s="366"/>
      <c r="T6" s="366"/>
      <c r="U6" s="366"/>
      <c r="V6" s="366"/>
      <c r="W6" s="373"/>
      <c r="X6" s="373"/>
      <c r="Y6" s="373"/>
      <c r="Z6" s="374"/>
      <c r="AA6" s="365"/>
    </row>
    <row r="7" spans="1:27" ht="15">
      <c r="A7" s="382"/>
      <c r="B7" s="382" t="s">
        <v>307</v>
      </c>
      <c r="C7" s="392">
        <f t="shared" si="0"/>
        <v>3784.7999999999997</v>
      </c>
      <c r="D7" s="387">
        <f>H18</f>
        <v>120</v>
      </c>
      <c r="E7" s="387">
        <f t="shared" si="1"/>
        <v>0</v>
      </c>
      <c r="F7" s="387">
        <v>0</v>
      </c>
      <c r="G7" s="391" t="s">
        <v>305</v>
      </c>
      <c r="H7" s="382"/>
      <c r="I7" s="382"/>
      <c r="J7" s="382"/>
      <c r="K7" s="382"/>
      <c r="L7" s="382"/>
      <c r="M7" s="382"/>
      <c r="N7" s="382"/>
      <c r="O7" s="382"/>
      <c r="P7" s="365"/>
      <c r="Q7" s="375"/>
      <c r="R7" s="376"/>
      <c r="S7" s="376" t="s">
        <v>478</v>
      </c>
      <c r="T7" s="376"/>
      <c r="U7" s="376" t="s">
        <v>479</v>
      </c>
      <c r="V7" s="376"/>
      <c r="W7" s="373"/>
      <c r="X7" s="373"/>
      <c r="Y7" s="373"/>
      <c r="Z7" s="374"/>
      <c r="AA7" s="365"/>
    </row>
    <row r="8" spans="1:27" ht="15">
      <c r="A8" s="382"/>
      <c r="B8" s="382" t="s">
        <v>308</v>
      </c>
      <c r="C8" s="392">
        <f t="shared" si="0"/>
        <v>9872.02</v>
      </c>
      <c r="D8" s="387">
        <f>H19</f>
        <v>313</v>
      </c>
      <c r="E8" s="387">
        <f t="shared" si="1"/>
        <v>0</v>
      </c>
      <c r="F8" s="387">
        <v>0</v>
      </c>
      <c r="G8" s="391" t="s">
        <v>305</v>
      </c>
      <c r="H8" s="382"/>
      <c r="I8" s="382"/>
      <c r="J8" s="382"/>
      <c r="K8" s="382"/>
      <c r="L8" s="382"/>
      <c r="M8" s="382"/>
      <c r="N8" s="382"/>
      <c r="O8" s="382"/>
      <c r="P8" s="365"/>
      <c r="Q8" s="375"/>
      <c r="R8" s="376"/>
      <c r="S8" s="376">
        <v>2012</v>
      </c>
      <c r="T8" s="376">
        <v>2025</v>
      </c>
      <c r="U8" s="376">
        <v>2012</v>
      </c>
      <c r="V8" s="376">
        <v>2025</v>
      </c>
      <c r="W8" s="373"/>
      <c r="X8" s="373"/>
      <c r="Y8" s="373"/>
      <c r="Z8" s="374"/>
      <c r="AA8" s="365"/>
    </row>
    <row r="9" spans="1:27" ht="15">
      <c r="A9" s="382"/>
      <c r="B9" s="382" t="s">
        <v>309</v>
      </c>
      <c r="C9" s="393">
        <f>D9*31.54</f>
        <v>523.39978337917603</v>
      </c>
      <c r="D9" s="394">
        <f>J25</f>
        <v>16.594793385516045</v>
      </c>
      <c r="E9" s="395">
        <f>F9*31.54</f>
        <v>20.935991335167042</v>
      </c>
      <c r="F9" s="395">
        <f>H25</f>
        <v>0.66379173542064185</v>
      </c>
      <c r="G9" s="396" t="s">
        <v>305</v>
      </c>
      <c r="H9" s="382"/>
      <c r="I9" s="382"/>
      <c r="J9" s="382"/>
      <c r="K9" s="382"/>
      <c r="L9" s="382"/>
      <c r="M9" s="382"/>
      <c r="N9" s="382"/>
      <c r="O9" s="382"/>
      <c r="P9" s="365"/>
      <c r="Q9" s="375" t="s">
        <v>243</v>
      </c>
      <c r="R9" s="376" t="s">
        <v>495</v>
      </c>
      <c r="S9" s="376">
        <v>3.5260105546847997</v>
      </c>
      <c r="T9" s="376">
        <v>2.7115810613200484</v>
      </c>
      <c r="U9" s="376">
        <v>0.30252753279839995</v>
      </c>
      <c r="V9" s="376">
        <v>0.23265044608958996</v>
      </c>
      <c r="W9" s="373"/>
      <c r="X9" s="373"/>
      <c r="Y9" s="373"/>
      <c r="Z9" s="374"/>
      <c r="AA9" s="365"/>
    </row>
    <row r="10" spans="1:27" ht="15">
      <c r="A10" s="382"/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65"/>
      <c r="Q10" s="380" t="s">
        <v>237</v>
      </c>
      <c r="R10" s="381" t="s">
        <v>567</v>
      </c>
      <c r="S10" s="413">
        <v>16.58101473312772</v>
      </c>
      <c r="T10" s="413">
        <v>12.973253888792026</v>
      </c>
      <c r="U10" s="413">
        <v>0.76272667772387526</v>
      </c>
      <c r="V10" s="413">
        <v>0.59676967888443322</v>
      </c>
      <c r="W10" s="373"/>
      <c r="X10" s="373"/>
      <c r="Y10" s="373"/>
      <c r="Z10" s="374"/>
      <c r="AA10" s="365"/>
    </row>
    <row r="11" spans="1:27" ht="25.5">
      <c r="A11" s="382"/>
      <c r="B11" s="397" t="s">
        <v>310</v>
      </c>
      <c r="C11" s="397" t="s">
        <v>146</v>
      </c>
      <c r="D11" s="397" t="s">
        <v>53</v>
      </c>
      <c r="E11" s="397" t="s">
        <v>311</v>
      </c>
      <c r="F11" s="397" t="s">
        <v>312</v>
      </c>
      <c r="G11" s="397" t="s">
        <v>313</v>
      </c>
      <c r="H11" s="398" t="s">
        <v>314</v>
      </c>
      <c r="I11" s="397" t="s">
        <v>315</v>
      </c>
      <c r="J11" s="382"/>
      <c r="K11" s="382"/>
      <c r="L11" s="382"/>
      <c r="M11" s="382"/>
      <c r="N11" s="382"/>
      <c r="O11" s="382"/>
      <c r="P11" s="365"/>
      <c r="Q11" s="380" t="s">
        <v>239</v>
      </c>
      <c r="R11" s="381" t="s">
        <v>568</v>
      </c>
      <c r="S11" s="413">
        <v>9.5452740830205478</v>
      </c>
      <c r="T11" s="413">
        <v>7.4683767013198397</v>
      </c>
      <c r="U11" s="413">
        <v>0.4390826078189452</v>
      </c>
      <c r="V11" s="413">
        <v>0.34354532826071266</v>
      </c>
      <c r="W11" s="373"/>
      <c r="X11" s="373"/>
      <c r="Y11" s="373"/>
      <c r="Z11" s="374"/>
      <c r="AA11" s="365"/>
    </row>
    <row r="12" spans="1:27" ht="15">
      <c r="A12" s="382"/>
      <c r="B12" s="399" t="s">
        <v>316</v>
      </c>
      <c r="C12" s="399" t="s">
        <v>317</v>
      </c>
      <c r="D12" s="399">
        <v>0.9</v>
      </c>
      <c r="E12" s="399">
        <v>25</v>
      </c>
      <c r="F12" s="399">
        <v>100</v>
      </c>
      <c r="G12" s="399" t="s">
        <v>318</v>
      </c>
      <c r="H12" s="399">
        <v>16</v>
      </c>
      <c r="I12" s="399">
        <v>30</v>
      </c>
      <c r="J12" s="382" t="s">
        <v>319</v>
      </c>
      <c r="K12" s="382"/>
      <c r="L12" s="382"/>
      <c r="M12" s="382"/>
      <c r="N12" s="382"/>
      <c r="O12" s="382"/>
      <c r="P12" s="365"/>
      <c r="Q12" s="375" t="s">
        <v>233</v>
      </c>
      <c r="R12" s="376" t="s">
        <v>498</v>
      </c>
      <c r="S12" s="376">
        <v>3.0525377250234458</v>
      </c>
      <c r="T12" s="376">
        <v>2.3474698546041322</v>
      </c>
      <c r="U12" s="376">
        <v>0.13736419762605509</v>
      </c>
      <c r="V12" s="376">
        <v>0.10563614345718594</v>
      </c>
      <c r="W12" s="373"/>
      <c r="X12" s="373"/>
      <c r="Y12" s="373"/>
      <c r="Z12" s="374"/>
      <c r="AA12" s="365"/>
    </row>
    <row r="13" spans="1:27" ht="13.5" thickBot="1">
      <c r="A13" s="382"/>
      <c r="B13" s="382" t="s">
        <v>320</v>
      </c>
      <c r="C13" s="399" t="s">
        <v>321</v>
      </c>
      <c r="D13" s="382">
        <v>0.9</v>
      </c>
      <c r="E13" s="382">
        <v>1000</v>
      </c>
      <c r="F13" s="382">
        <v>10000</v>
      </c>
      <c r="G13" s="382" t="s">
        <v>318</v>
      </c>
      <c r="H13" s="382">
        <v>10</v>
      </c>
      <c r="I13" s="382">
        <v>30</v>
      </c>
      <c r="J13" s="382" t="s">
        <v>322</v>
      </c>
      <c r="K13" s="382"/>
      <c r="L13" s="382"/>
      <c r="M13" s="382"/>
      <c r="N13" s="382"/>
      <c r="O13" s="382"/>
      <c r="P13" s="365"/>
      <c r="Q13" s="377"/>
      <c r="R13" s="378"/>
      <c r="S13" s="378"/>
      <c r="T13" s="378"/>
      <c r="U13" s="378"/>
      <c r="V13" s="378"/>
      <c r="W13" s="378"/>
      <c r="X13" s="378"/>
      <c r="Y13" s="378"/>
      <c r="Z13" s="379"/>
      <c r="AA13" s="365"/>
    </row>
    <row r="14" spans="1:27">
      <c r="A14" s="382"/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65"/>
      <c r="Q14" s="365"/>
      <c r="R14" s="365"/>
      <c r="S14" s="365"/>
      <c r="T14" s="365"/>
      <c r="U14" s="365"/>
      <c r="V14" s="365"/>
      <c r="W14" s="365"/>
      <c r="X14" s="365"/>
      <c r="Y14" s="365"/>
      <c r="Z14" s="365"/>
      <c r="AA14" s="365"/>
    </row>
    <row r="15" spans="1:27">
      <c r="A15" s="382"/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65"/>
      <c r="Q15" s="414" t="s">
        <v>569</v>
      </c>
      <c r="R15" s="415">
        <v>1.10992</v>
      </c>
      <c r="S15" s="415" t="s">
        <v>570</v>
      </c>
      <c r="T15" s="415"/>
      <c r="U15" s="415"/>
      <c r="V15" s="415"/>
      <c r="W15" s="415"/>
      <c r="X15" s="415"/>
      <c r="Y15" s="415"/>
      <c r="Z15" s="365"/>
      <c r="AA15" s="365"/>
    </row>
    <row r="16" spans="1:27">
      <c r="A16" s="382"/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65"/>
      <c r="Q16" s="414" t="s">
        <v>571</v>
      </c>
      <c r="R16" s="415">
        <v>0.80463948581247202</v>
      </c>
      <c r="S16" s="414" t="s">
        <v>572</v>
      </c>
      <c r="T16" s="415"/>
      <c r="U16" s="415"/>
      <c r="V16" s="415"/>
      <c r="W16" s="415"/>
      <c r="X16" s="415"/>
      <c r="Y16" s="415"/>
      <c r="Z16" s="365"/>
      <c r="AA16" s="365"/>
    </row>
    <row r="17" spans="1:27" ht="25.5">
      <c r="A17" s="382"/>
      <c r="B17" s="397" t="s">
        <v>323</v>
      </c>
      <c r="C17" s="397" t="s">
        <v>146</v>
      </c>
      <c r="D17" s="397" t="s">
        <v>53</v>
      </c>
      <c r="E17" s="397" t="s">
        <v>311</v>
      </c>
      <c r="F17" s="397" t="s">
        <v>312</v>
      </c>
      <c r="G17" s="397" t="s">
        <v>313</v>
      </c>
      <c r="H17" s="398" t="s">
        <v>314</v>
      </c>
      <c r="I17" s="397" t="s">
        <v>315</v>
      </c>
      <c r="J17" s="382"/>
      <c r="K17" s="382"/>
      <c r="L17" s="382"/>
      <c r="M17" s="382"/>
      <c r="N17" s="382"/>
      <c r="O17" s="382"/>
      <c r="P17" s="365"/>
      <c r="Q17" s="414" t="s">
        <v>573</v>
      </c>
      <c r="R17" s="415">
        <f>1/1.008</f>
        <v>0.99206349206349209</v>
      </c>
      <c r="S17" s="414" t="s">
        <v>572</v>
      </c>
      <c r="T17" s="415"/>
      <c r="U17" s="415"/>
      <c r="V17" s="415"/>
      <c r="W17" s="415"/>
      <c r="X17" s="415"/>
      <c r="Y17" s="415"/>
      <c r="Z17" s="365"/>
      <c r="AA17" s="365"/>
    </row>
    <row r="18" spans="1:27" ht="15">
      <c r="A18" s="382"/>
      <c r="B18" s="382" t="s">
        <v>324</v>
      </c>
      <c r="C18" s="399" t="s">
        <v>321</v>
      </c>
      <c r="D18" s="382">
        <v>0.98</v>
      </c>
      <c r="E18" s="382">
        <v>0.5</v>
      </c>
      <c r="F18" s="382">
        <v>0.7</v>
      </c>
      <c r="G18" s="382" t="s">
        <v>325</v>
      </c>
      <c r="H18" s="400">
        <v>120</v>
      </c>
      <c r="I18" s="382">
        <v>22</v>
      </c>
      <c r="J18" s="382" t="s">
        <v>326</v>
      </c>
      <c r="K18" s="382"/>
      <c r="L18" s="382"/>
      <c r="M18" s="382"/>
      <c r="N18" s="382"/>
      <c r="O18" s="382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</row>
    <row r="19" spans="1:27" ht="15">
      <c r="A19" s="382"/>
      <c r="B19" s="382" t="s">
        <v>327</v>
      </c>
      <c r="C19" s="399" t="s">
        <v>321</v>
      </c>
      <c r="D19" s="382">
        <v>0.98</v>
      </c>
      <c r="E19" s="382">
        <v>3</v>
      </c>
      <c r="F19" s="382">
        <v>20</v>
      </c>
      <c r="G19" s="382" t="s">
        <v>325</v>
      </c>
      <c r="H19" s="400">
        <v>313</v>
      </c>
      <c r="I19" s="382">
        <v>22</v>
      </c>
      <c r="J19" s="382" t="s">
        <v>328</v>
      </c>
      <c r="K19" s="382"/>
      <c r="L19" s="382"/>
      <c r="M19" s="382"/>
      <c r="N19" s="382"/>
      <c r="O19" s="382"/>
    </row>
    <row r="20" spans="1:27" ht="15">
      <c r="A20" s="382"/>
      <c r="B20" s="401" t="s">
        <v>329</v>
      </c>
      <c r="C20" s="402" t="s">
        <v>321</v>
      </c>
      <c r="D20" s="401">
        <v>0.98</v>
      </c>
      <c r="E20" s="401">
        <v>6.5</v>
      </c>
      <c r="F20" s="401">
        <v>83</v>
      </c>
      <c r="G20" s="401"/>
      <c r="H20" s="401">
        <v>602</v>
      </c>
      <c r="I20" s="401">
        <v>22</v>
      </c>
      <c r="J20" s="382" t="s">
        <v>330</v>
      </c>
      <c r="K20" s="382"/>
      <c r="L20" s="382"/>
      <c r="M20" s="382"/>
      <c r="N20" s="382"/>
      <c r="O20" s="382"/>
    </row>
    <row r="21" spans="1:27">
      <c r="A21" s="382"/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</row>
    <row r="22" spans="1:27">
      <c r="A22" s="382"/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</row>
    <row r="23" spans="1:27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</row>
    <row r="24" spans="1:27" ht="25.5">
      <c r="A24" s="382"/>
      <c r="B24" s="397" t="s">
        <v>331</v>
      </c>
      <c r="C24" s="403" t="s">
        <v>146</v>
      </c>
      <c r="D24" s="403" t="s">
        <v>2</v>
      </c>
      <c r="E24" s="403" t="s">
        <v>3</v>
      </c>
      <c r="F24" s="404" t="s">
        <v>53</v>
      </c>
      <c r="G24" s="398" t="s">
        <v>286</v>
      </c>
      <c r="H24" s="398" t="s">
        <v>4</v>
      </c>
      <c r="I24" s="405" t="s">
        <v>332</v>
      </c>
      <c r="J24" s="398" t="s">
        <v>314</v>
      </c>
      <c r="K24" s="398" t="s">
        <v>46</v>
      </c>
      <c r="L24" s="398" t="s">
        <v>14</v>
      </c>
      <c r="M24" s="382"/>
      <c r="N24" s="382"/>
      <c r="O24" s="382"/>
    </row>
    <row r="25" spans="1:27" ht="15">
      <c r="A25" s="382"/>
      <c r="B25" s="399" t="s">
        <v>333</v>
      </c>
      <c r="C25" s="406" t="s">
        <v>334</v>
      </c>
      <c r="D25" s="382"/>
      <c r="E25" s="382"/>
      <c r="F25" s="382"/>
      <c r="G25" s="382"/>
      <c r="H25" s="407">
        <f>0.04*J25</f>
        <v>0.66379173542064185</v>
      </c>
      <c r="I25" s="382"/>
      <c r="J25" s="408">
        <f>C39*F34</f>
        <v>16.594793385516045</v>
      </c>
      <c r="K25" s="382"/>
      <c r="L25" s="382"/>
      <c r="M25" s="382" t="s">
        <v>335</v>
      </c>
      <c r="N25" s="382"/>
      <c r="O25" s="382"/>
    </row>
    <row r="26" spans="1:27">
      <c r="A26" s="382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</row>
    <row r="27" spans="1:27" ht="15">
      <c r="A27" s="382"/>
      <c r="B27" s="382"/>
      <c r="C27" s="409" t="s">
        <v>336</v>
      </c>
      <c r="D27" s="401" t="s">
        <v>337</v>
      </c>
      <c r="E27" s="401" t="s">
        <v>338</v>
      </c>
      <c r="F27" s="401">
        <v>0.36</v>
      </c>
      <c r="G27" s="401"/>
      <c r="H27" s="401">
        <v>0.7</v>
      </c>
      <c r="I27" s="401">
        <v>0</v>
      </c>
      <c r="J27" s="401">
        <v>3.3</v>
      </c>
      <c r="K27" s="401"/>
      <c r="L27" s="401">
        <v>2006</v>
      </c>
      <c r="M27" s="382" t="s">
        <v>330</v>
      </c>
      <c r="N27" s="382"/>
      <c r="O27" s="382"/>
    </row>
    <row r="28" spans="1:27" ht="15">
      <c r="A28" s="382"/>
      <c r="B28" s="382"/>
      <c r="C28" s="401"/>
      <c r="D28" s="401" t="s">
        <v>339</v>
      </c>
      <c r="E28" s="401"/>
      <c r="F28" s="401"/>
      <c r="G28" s="401"/>
      <c r="H28" s="401"/>
      <c r="I28" s="401">
        <v>4.4999999999999997E-3</v>
      </c>
      <c r="J28" s="401"/>
      <c r="K28" s="401" t="s">
        <v>340</v>
      </c>
      <c r="L28" s="401"/>
      <c r="M28" s="382"/>
      <c r="N28" s="382"/>
      <c r="O28" s="382"/>
    </row>
    <row r="29" spans="1:27">
      <c r="A29" s="382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</row>
    <row r="30" spans="1:27" ht="15">
      <c r="A30" s="382"/>
      <c r="B30" s="382" t="s">
        <v>341</v>
      </c>
      <c r="C30" s="410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</row>
    <row r="31" spans="1:27">
      <c r="A31" s="382"/>
      <c r="B31" s="406" t="s">
        <v>342</v>
      </c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</row>
    <row r="32" spans="1:27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</row>
    <row r="33" spans="1:15">
      <c r="A33" s="382"/>
      <c r="B33" s="382"/>
      <c r="C33" s="382">
        <v>2960</v>
      </c>
      <c r="D33" s="382" t="s">
        <v>343</v>
      </c>
      <c r="E33" s="382"/>
      <c r="F33" s="382" t="s">
        <v>344</v>
      </c>
      <c r="G33" s="382"/>
      <c r="H33" s="382"/>
      <c r="I33" s="382"/>
      <c r="J33" s="382"/>
      <c r="K33" s="382"/>
      <c r="L33" s="382"/>
      <c r="M33" s="382"/>
      <c r="N33" s="382"/>
      <c r="O33" s="382"/>
    </row>
    <row r="34" spans="1:15">
      <c r="A34" s="382"/>
      <c r="B34" s="382"/>
      <c r="C34" s="382">
        <v>63254547</v>
      </c>
      <c r="D34" s="382" t="s">
        <v>345</v>
      </c>
      <c r="E34" s="382"/>
      <c r="F34" s="382">
        <f>1.02^3/1.3</f>
        <v>0.81631384615384606</v>
      </c>
      <c r="G34" s="382"/>
      <c r="H34" s="382"/>
      <c r="I34" s="382"/>
      <c r="J34" s="382"/>
      <c r="K34" s="382"/>
      <c r="L34" s="382"/>
      <c r="M34" s="382"/>
      <c r="N34" s="382"/>
      <c r="O34" s="382"/>
    </row>
    <row r="35" spans="1:15">
      <c r="A35" s="382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</row>
    <row r="36" spans="1:15">
      <c r="A36" s="382"/>
      <c r="B36" s="382"/>
      <c r="C36" s="382">
        <v>120</v>
      </c>
      <c r="D36" s="382" t="s">
        <v>346</v>
      </c>
      <c r="E36" s="382" t="s">
        <v>347</v>
      </c>
      <c r="F36" s="382"/>
      <c r="G36" s="382"/>
      <c r="H36" s="382"/>
      <c r="I36" s="382"/>
      <c r="J36" s="382"/>
      <c r="K36" s="382"/>
      <c r="L36" s="382"/>
      <c r="M36" s="382"/>
      <c r="N36" s="382"/>
      <c r="O36" s="382"/>
    </row>
    <row r="37" spans="1:15">
      <c r="A37" s="382"/>
      <c r="B37" s="382"/>
      <c r="C37" s="411">
        <f>C33*C36</f>
        <v>355200</v>
      </c>
      <c r="D37" s="382" t="s">
        <v>348</v>
      </c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</row>
    <row r="38" spans="1:15">
      <c r="A38" s="382"/>
      <c r="B38" s="382"/>
      <c r="C38" s="382">
        <f>C37*8760/1000</f>
        <v>3111552</v>
      </c>
      <c r="D38" s="382" t="s">
        <v>349</v>
      </c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</row>
    <row r="39" spans="1:15">
      <c r="A39" s="382"/>
      <c r="B39" s="382"/>
      <c r="C39" s="411">
        <f>C34/C38</f>
        <v>20.328937777674934</v>
      </c>
      <c r="D39" s="382" t="s">
        <v>350</v>
      </c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</row>
    <row r="40" spans="1:15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</row>
    <row r="41" spans="1:15">
      <c r="A41" s="382"/>
      <c r="B41" s="382" t="s">
        <v>351</v>
      </c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</row>
    <row r="42" spans="1:15">
      <c r="A42" s="382"/>
      <c r="B42" s="382" t="s">
        <v>317</v>
      </c>
      <c r="C42" s="382">
        <v>96</v>
      </c>
      <c r="D42" s="382" t="s">
        <v>47</v>
      </c>
      <c r="E42" s="382" t="s">
        <v>352</v>
      </c>
      <c r="F42" s="382"/>
      <c r="G42" s="382"/>
      <c r="H42" s="382"/>
      <c r="I42" s="382"/>
      <c r="J42" s="382"/>
      <c r="K42" s="382"/>
      <c r="L42" s="382"/>
      <c r="M42" s="382"/>
      <c r="N42" s="382"/>
      <c r="O42" s="382"/>
    </row>
    <row r="43" spans="1:15">
      <c r="A43" s="382"/>
      <c r="B43" s="382"/>
      <c r="C43" s="412">
        <f>C42/8760/3.6*1000</f>
        <v>3.0441400304414001</v>
      </c>
      <c r="D43" s="382" t="s">
        <v>302</v>
      </c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</row>
    <row r="44" spans="1:15">
      <c r="A44" s="382"/>
      <c r="B44" s="382"/>
      <c r="C44" s="412"/>
      <c r="D44" s="382" t="s">
        <v>353</v>
      </c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</row>
    <row r="45" spans="1:15">
      <c r="A45" s="382"/>
      <c r="B45" s="382"/>
      <c r="C45" s="382" t="s">
        <v>354</v>
      </c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</row>
    <row r="46" spans="1:15">
      <c r="A46" s="382"/>
      <c r="B46" s="382"/>
      <c r="C46" s="382">
        <v>3.3</v>
      </c>
      <c r="D46" s="382" t="s">
        <v>302</v>
      </c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</row>
    <row r="47" spans="1:15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</row>
    <row r="48" spans="1:15">
      <c r="A48" s="382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</row>
    <row r="49" spans="1:15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3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Q1" activePane="topRight" state="frozen"/>
      <selection pane="topRight" activeCell="V3" sqref="V3:V22"/>
    </sheetView>
  </sheetViews>
  <sheetFormatPr defaultColWidth="9.140625" defaultRowHeight="15"/>
  <cols>
    <col min="1" max="1" width="9.28515625" style="199" bestFit="1" customWidth="1"/>
    <col min="2" max="2" width="17.7109375" style="199" bestFit="1" customWidth="1"/>
    <col min="3" max="3" width="108.7109375" style="199" customWidth="1"/>
    <col min="4" max="4" width="11.42578125" style="199" customWidth="1"/>
    <col min="5" max="5" width="17.7109375" style="199" bestFit="1" customWidth="1"/>
    <col min="6" max="8" width="16.42578125" style="200" customWidth="1"/>
    <col min="9" max="9" width="27.5703125" style="200" customWidth="1"/>
    <col min="10" max="14" width="14" style="200" customWidth="1"/>
    <col min="15" max="20" width="17.7109375" style="200" customWidth="1"/>
    <col min="21" max="22" width="14" style="200" customWidth="1"/>
    <col min="23" max="23" width="54.5703125" style="199" bestFit="1" customWidth="1"/>
    <col min="24" max="24" width="12" style="199" bestFit="1" customWidth="1"/>
    <col min="25" max="25" width="80" style="199" bestFit="1" customWidth="1"/>
    <col min="26" max="26" width="9.28515625" style="199" customWidth="1"/>
    <col min="27" max="16384" width="9.140625" style="199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499</v>
      </c>
      <c r="P1" s="99" t="s">
        <v>500</v>
      </c>
      <c r="Q1" s="99" t="s">
        <v>501</v>
      </c>
      <c r="R1" s="99" t="s">
        <v>502</v>
      </c>
      <c r="S1" s="99" t="s">
        <v>503</v>
      </c>
      <c r="T1" s="99" t="s">
        <v>504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99" t="s">
        <v>253</v>
      </c>
      <c r="B3" s="199" t="s">
        <v>189</v>
      </c>
      <c r="C3" s="199" t="s">
        <v>417</v>
      </c>
      <c r="D3" s="191" t="s">
        <v>190</v>
      </c>
      <c r="E3" s="200" t="s">
        <v>82</v>
      </c>
      <c r="F3" s="201" t="s">
        <v>399</v>
      </c>
      <c r="G3" s="202" t="s">
        <v>398</v>
      </c>
      <c r="H3" s="202" t="s">
        <v>406</v>
      </c>
      <c r="I3" s="202" t="s">
        <v>407</v>
      </c>
      <c r="J3" s="200">
        <v>1</v>
      </c>
      <c r="K3" s="192">
        <f>K5</f>
        <v>0.23599999999999999</v>
      </c>
      <c r="L3" s="191">
        <f>L5</f>
        <v>3.0000000000000001E-3</v>
      </c>
      <c r="M3" s="200">
        <v>1</v>
      </c>
      <c r="N3" s="210">
        <f t="shared" ref="N3:N4" si="0">N5</f>
        <v>0.75</v>
      </c>
      <c r="O3" s="193">
        <f>O32+O33+O34+O36+O40+O49</f>
        <v>38.71300494430448</v>
      </c>
      <c r="P3" s="193">
        <f t="shared" ref="P3:T3" si="1">P32+P33+P34+P36+P40+P49</f>
        <v>27.393052082187037</v>
      </c>
      <c r="Q3" s="193">
        <f t="shared" si="1"/>
        <v>2.0239811939759296</v>
      </c>
      <c r="R3" s="193">
        <f t="shared" si="1"/>
        <v>1.4250747902797478</v>
      </c>
      <c r="S3" s="193">
        <f t="shared" si="1"/>
        <v>0.94744099083161371</v>
      </c>
      <c r="T3" s="193">
        <f t="shared" si="1"/>
        <v>0.65215918784152604</v>
      </c>
      <c r="U3" s="200">
        <v>20</v>
      </c>
      <c r="V3" s="200">
        <v>2023</v>
      </c>
      <c r="W3" s="199" t="s">
        <v>382</v>
      </c>
      <c r="Y3" s="199" t="s">
        <v>383</v>
      </c>
      <c r="AG3" s="200"/>
    </row>
    <row r="4" spans="1:37">
      <c r="A4" s="199" t="s">
        <v>253</v>
      </c>
      <c r="B4" s="199" t="s">
        <v>192</v>
      </c>
      <c r="C4" s="199" t="s">
        <v>418</v>
      </c>
      <c r="D4" s="191" t="s">
        <v>193</v>
      </c>
      <c r="E4" s="200" t="s">
        <v>82</v>
      </c>
      <c r="F4" s="201" t="s">
        <v>399</v>
      </c>
      <c r="G4" s="202" t="s">
        <v>398</v>
      </c>
      <c r="H4" s="202" t="s">
        <v>406</v>
      </c>
      <c r="I4" s="202" t="s">
        <v>408</v>
      </c>
      <c r="J4" s="200">
        <v>1</v>
      </c>
      <c r="K4" s="192">
        <f>K6</f>
        <v>0.26019999999999999</v>
      </c>
      <c r="L4" s="191">
        <f>L6</f>
        <v>3.0000000000000001E-3</v>
      </c>
      <c r="M4" s="200">
        <v>1</v>
      </c>
      <c r="N4" s="210">
        <f t="shared" si="0"/>
        <v>0.75</v>
      </c>
      <c r="O4" s="193">
        <f>O32+O33+O34+O36+O41+O49</f>
        <v>65.689535394764718</v>
      </c>
      <c r="P4" s="193">
        <f t="shared" ref="P4:T4" si="2">P32+P33+P34+P36+P41+P49</f>
        <v>45.793825667989502</v>
      </c>
      <c r="Q4" s="193">
        <f t="shared" si="2"/>
        <v>2.7239784265807616</v>
      </c>
      <c r="R4" s="193">
        <f t="shared" si="2"/>
        <v>1.9025450347021571</v>
      </c>
      <c r="S4" s="193">
        <f t="shared" si="2"/>
        <v>0.34333450625300077</v>
      </c>
      <c r="T4" s="193">
        <f t="shared" si="2"/>
        <v>0.24009631471335946</v>
      </c>
      <c r="U4" s="200">
        <v>20</v>
      </c>
      <c r="V4" s="200">
        <v>2023</v>
      </c>
      <c r="W4" s="199" t="s">
        <v>382</v>
      </c>
      <c r="Y4" s="199" t="s">
        <v>384</v>
      </c>
      <c r="AG4" s="200"/>
    </row>
    <row r="5" spans="1:37">
      <c r="A5" s="199" t="s">
        <v>253</v>
      </c>
      <c r="B5" s="199" t="s">
        <v>195</v>
      </c>
      <c r="C5" s="199" t="s">
        <v>419</v>
      </c>
      <c r="D5" s="200" t="s">
        <v>196</v>
      </c>
      <c r="E5" s="200" t="s">
        <v>82</v>
      </c>
      <c r="F5" s="201" t="s">
        <v>399</v>
      </c>
      <c r="G5" s="202" t="s">
        <v>398</v>
      </c>
      <c r="H5" s="202" t="s">
        <v>406</v>
      </c>
      <c r="I5" s="202" t="s">
        <v>407</v>
      </c>
      <c r="J5" s="200">
        <v>1</v>
      </c>
      <c r="K5" s="212">
        <v>0.23599999999999999</v>
      </c>
      <c r="L5" s="200">
        <v>3.0000000000000001E-3</v>
      </c>
      <c r="M5" s="200">
        <v>1</v>
      </c>
      <c r="N5" s="211">
        <v>0.75</v>
      </c>
      <c r="O5" s="203">
        <f>O3</f>
        <v>38.71300494430448</v>
      </c>
      <c r="P5" s="203">
        <f>P3</f>
        <v>27.393052082187037</v>
      </c>
      <c r="Q5" s="203">
        <f t="shared" ref="Q5:T5" si="3">Q3</f>
        <v>2.0239811939759296</v>
      </c>
      <c r="R5" s="203">
        <f t="shared" si="3"/>
        <v>1.4250747902797478</v>
      </c>
      <c r="S5" s="203">
        <f t="shared" si="3"/>
        <v>0.94744099083161371</v>
      </c>
      <c r="T5" s="203">
        <f t="shared" si="3"/>
        <v>0.65215918784152604</v>
      </c>
      <c r="U5" s="200">
        <v>20</v>
      </c>
      <c r="V5" s="200">
        <v>2023</v>
      </c>
      <c r="W5" s="199" t="s">
        <v>382</v>
      </c>
      <c r="X5" s="199" t="s">
        <v>254</v>
      </c>
      <c r="Y5" s="199" t="s">
        <v>385</v>
      </c>
      <c r="AG5" s="200"/>
    </row>
    <row r="6" spans="1:37">
      <c r="A6" s="199" t="s">
        <v>253</v>
      </c>
      <c r="B6" s="199" t="s">
        <v>197</v>
      </c>
      <c r="C6" s="199" t="s">
        <v>420</v>
      </c>
      <c r="D6" s="204" t="s">
        <v>198</v>
      </c>
      <c r="E6" s="200" t="s">
        <v>82</v>
      </c>
      <c r="F6" s="201" t="s">
        <v>399</v>
      </c>
      <c r="G6" s="202" t="s">
        <v>398</v>
      </c>
      <c r="H6" s="202" t="s">
        <v>406</v>
      </c>
      <c r="I6" s="202" t="s">
        <v>408</v>
      </c>
      <c r="J6" s="200">
        <v>1</v>
      </c>
      <c r="K6" s="212">
        <v>0.26019999999999999</v>
      </c>
      <c r="L6" s="200">
        <v>3.0000000000000001E-3</v>
      </c>
      <c r="M6" s="200">
        <v>1</v>
      </c>
      <c r="N6" s="211">
        <v>0.75</v>
      </c>
      <c r="O6" s="203">
        <f>O4</f>
        <v>65.689535394764718</v>
      </c>
      <c r="P6" s="203">
        <f>P4</f>
        <v>45.793825667989502</v>
      </c>
      <c r="Q6" s="203">
        <f t="shared" ref="Q6:T6" si="4">Q4</f>
        <v>2.7239784265807616</v>
      </c>
      <c r="R6" s="203">
        <f t="shared" si="4"/>
        <v>1.9025450347021571</v>
      </c>
      <c r="S6" s="203">
        <f t="shared" si="4"/>
        <v>0.34333450625300077</v>
      </c>
      <c r="T6" s="203">
        <f t="shared" si="4"/>
        <v>0.24009631471335946</v>
      </c>
      <c r="U6" s="200">
        <v>20</v>
      </c>
      <c r="V6" s="200">
        <v>2023</v>
      </c>
      <c r="W6" s="199" t="s">
        <v>386</v>
      </c>
      <c r="X6" s="199" t="s">
        <v>254</v>
      </c>
      <c r="Y6" s="199" t="s">
        <v>387</v>
      </c>
      <c r="AG6" s="200"/>
    </row>
    <row r="7" spans="1:37">
      <c r="A7" s="199" t="s">
        <v>255</v>
      </c>
      <c r="B7" s="320" t="s">
        <v>472</v>
      </c>
      <c r="C7" s="319" t="s">
        <v>473</v>
      </c>
      <c r="D7" s="204" t="s">
        <v>200</v>
      </c>
      <c r="E7" s="200" t="s">
        <v>82</v>
      </c>
      <c r="F7" s="201" t="s">
        <v>399</v>
      </c>
      <c r="G7" s="202" t="s">
        <v>398</v>
      </c>
      <c r="H7" s="202"/>
      <c r="I7" s="321" t="s">
        <v>474</v>
      </c>
      <c r="J7" s="200">
        <v>1</v>
      </c>
      <c r="K7" s="212">
        <v>6.6000000000000003E-2</v>
      </c>
      <c r="M7" s="200">
        <v>1</v>
      </c>
      <c r="N7" s="211">
        <v>0.7</v>
      </c>
      <c r="O7" s="203">
        <f>O32+O33+O38</f>
        <v>34.038440861525835</v>
      </c>
      <c r="P7" s="203">
        <f>P32+P33+P38</f>
        <v>30.290610336975277</v>
      </c>
      <c r="Q7" s="203">
        <f t="shared" ref="Q7:T7" si="5">Q32+Q33+Q38</f>
        <v>1.7813517001413752</v>
      </c>
      <c r="R7" s="203">
        <f t="shared" si="5"/>
        <v>1.5666473144920814</v>
      </c>
      <c r="S7" s="203">
        <f t="shared" si="5"/>
        <v>0.36000002022939581</v>
      </c>
      <c r="T7" s="203">
        <f t="shared" si="5"/>
        <v>0.31525013220158754</v>
      </c>
      <c r="U7" s="200">
        <v>20</v>
      </c>
      <c r="V7" s="200">
        <v>2023</v>
      </c>
      <c r="W7" s="199" t="s">
        <v>386</v>
      </c>
      <c r="X7" s="199" t="s">
        <v>254</v>
      </c>
      <c r="Y7" s="199" t="s">
        <v>388</v>
      </c>
      <c r="AG7" s="200"/>
    </row>
    <row r="8" spans="1:37">
      <c r="A8" s="199" t="s">
        <v>255</v>
      </c>
      <c r="B8" s="199" t="s">
        <v>199</v>
      </c>
      <c r="C8" s="199" t="s">
        <v>421</v>
      </c>
      <c r="D8" s="204" t="s">
        <v>200</v>
      </c>
      <c r="E8" s="200" t="s">
        <v>82</v>
      </c>
      <c r="F8" s="201" t="s">
        <v>399</v>
      </c>
      <c r="G8" s="202" t="s">
        <v>398</v>
      </c>
      <c r="H8" s="202"/>
      <c r="I8" s="202" t="s">
        <v>409</v>
      </c>
      <c r="J8" s="200">
        <v>1</v>
      </c>
      <c r="K8" s="212">
        <v>6.6000000000000003E-2</v>
      </c>
      <c r="M8" s="200">
        <v>1</v>
      </c>
      <c r="N8" s="211">
        <v>0.7</v>
      </c>
      <c r="O8" s="203">
        <f>O7</f>
        <v>34.038440861525835</v>
      </c>
      <c r="P8" s="203">
        <f>P7</f>
        <v>30.290610336975277</v>
      </c>
      <c r="Q8" s="203">
        <f t="shared" ref="Q8:T8" si="6">Q7</f>
        <v>1.7813517001413752</v>
      </c>
      <c r="R8" s="203">
        <f t="shared" si="6"/>
        <v>1.5666473144920814</v>
      </c>
      <c r="S8" s="203">
        <f t="shared" si="6"/>
        <v>0.36000002022939581</v>
      </c>
      <c r="T8" s="203">
        <f t="shared" si="6"/>
        <v>0.31525013220158754</v>
      </c>
      <c r="U8" s="200">
        <v>20</v>
      </c>
      <c r="V8" s="200">
        <v>2023</v>
      </c>
      <c r="W8" s="199" t="s">
        <v>386</v>
      </c>
      <c r="X8" s="199" t="s">
        <v>254</v>
      </c>
      <c r="Y8" s="199" t="s">
        <v>388</v>
      </c>
      <c r="AG8" s="200"/>
    </row>
    <row r="9" spans="1:37">
      <c r="A9" s="199" t="s">
        <v>255</v>
      </c>
      <c r="B9" s="199" t="s">
        <v>202</v>
      </c>
      <c r="C9" s="199" t="s">
        <v>422</v>
      </c>
      <c r="D9" s="204" t="s">
        <v>203</v>
      </c>
      <c r="E9" s="200" t="s">
        <v>82</v>
      </c>
      <c r="F9" s="201" t="s">
        <v>399</v>
      </c>
      <c r="G9" s="202" t="s">
        <v>398</v>
      </c>
      <c r="H9" s="202"/>
      <c r="I9" s="202" t="s">
        <v>408</v>
      </c>
      <c r="J9" s="200">
        <v>1</v>
      </c>
      <c r="K9" s="212">
        <v>9.0200000000000002E-2</v>
      </c>
      <c r="M9" s="200">
        <v>1</v>
      </c>
      <c r="N9" s="211">
        <v>0.7</v>
      </c>
      <c r="O9" s="203">
        <f>O32+O33+O38+O43</f>
        <v>80.548313793496817</v>
      </c>
      <c r="P9" s="203">
        <f>P32+P33+P38+P43</f>
        <v>62.015136324379981</v>
      </c>
      <c r="Q9" s="203">
        <f t="shared" ref="Q9:T9" si="7">Q32+Q33+Q38+Q43</f>
        <v>5.782849630734642</v>
      </c>
      <c r="R9" s="203">
        <f t="shared" si="7"/>
        <v>4.2960812407754956</v>
      </c>
      <c r="S9" s="203">
        <f t="shared" si="7"/>
        <v>0.54931712081500184</v>
      </c>
      <c r="T9" s="203">
        <f t="shared" si="7"/>
        <v>0.44438390313605158</v>
      </c>
      <c r="U9" s="200">
        <v>20</v>
      </c>
      <c r="V9" s="200">
        <v>2023</v>
      </c>
      <c r="W9" s="199" t="s">
        <v>386</v>
      </c>
      <c r="X9" s="199" t="s">
        <v>254</v>
      </c>
      <c r="Y9" s="199" t="s">
        <v>389</v>
      </c>
      <c r="AG9" s="200"/>
    </row>
    <row r="10" spans="1:37">
      <c r="A10" s="199" t="s">
        <v>255</v>
      </c>
      <c r="B10" s="199" t="s">
        <v>204</v>
      </c>
      <c r="C10" s="199" t="s">
        <v>423</v>
      </c>
      <c r="D10" s="194" t="s">
        <v>205</v>
      </c>
      <c r="E10" s="200" t="s">
        <v>82</v>
      </c>
      <c r="F10" s="201" t="s">
        <v>399</v>
      </c>
      <c r="G10" s="202" t="s">
        <v>398</v>
      </c>
      <c r="H10" s="202" t="s">
        <v>406</v>
      </c>
      <c r="I10" s="202" t="s">
        <v>408</v>
      </c>
      <c r="J10" s="200">
        <v>1</v>
      </c>
      <c r="K10" s="212">
        <v>7.3319999999999996E-2</v>
      </c>
      <c r="L10" s="200">
        <v>3.0000000000000001E-3</v>
      </c>
      <c r="M10" s="200">
        <v>1</v>
      </c>
      <c r="N10" s="211">
        <v>0.8</v>
      </c>
      <c r="O10" s="193">
        <f>O32+O33+O36+O43+O47</f>
        <v>65.997865718856019</v>
      </c>
      <c r="P10" s="193">
        <f t="shared" ref="P10:T10" si="8">P32+P33+P36+P43+P47</f>
        <v>47.160472355656445</v>
      </c>
      <c r="Q10" s="193">
        <f t="shared" si="8"/>
        <v>5.0204103161860161</v>
      </c>
      <c r="R10" s="193">
        <f t="shared" si="8"/>
        <v>3.5288808583893498</v>
      </c>
      <c r="S10" s="193">
        <f t="shared" si="8"/>
        <v>0.27005228535586917</v>
      </c>
      <c r="T10" s="193">
        <f t="shared" si="8"/>
        <v>0.19280860760092258</v>
      </c>
      <c r="U10" s="200">
        <v>20</v>
      </c>
      <c r="V10" s="200">
        <v>2023</v>
      </c>
      <c r="W10" s="199" t="s">
        <v>386</v>
      </c>
      <c r="Y10" s="199" t="s">
        <v>390</v>
      </c>
      <c r="AG10" s="200"/>
    </row>
    <row r="11" spans="1:37">
      <c r="A11" s="199" t="s">
        <v>255</v>
      </c>
      <c r="B11" s="199" t="s">
        <v>206</v>
      </c>
      <c r="C11" s="199" t="s">
        <v>424</v>
      </c>
      <c r="D11" s="194" t="s">
        <v>207</v>
      </c>
      <c r="E11" s="200" t="s">
        <v>82</v>
      </c>
      <c r="F11" s="201" t="s">
        <v>399</v>
      </c>
      <c r="G11" s="202" t="s">
        <v>398</v>
      </c>
      <c r="H11" s="202"/>
      <c r="I11" s="202" t="s">
        <v>409</v>
      </c>
      <c r="J11" s="200">
        <v>1</v>
      </c>
      <c r="K11" s="192">
        <f>K8</f>
        <v>6.6000000000000003E-2</v>
      </c>
      <c r="M11" s="200">
        <v>1</v>
      </c>
      <c r="N11" s="210">
        <f t="shared" ref="N11:N12" si="9">N8</f>
        <v>0.7</v>
      </c>
      <c r="O11" s="193">
        <f>O8</f>
        <v>34.038440861525835</v>
      </c>
      <c r="P11" s="193">
        <f>P8</f>
        <v>30.290610336975277</v>
      </c>
      <c r="Q11" s="193">
        <f t="shared" ref="Q11:T11" si="10">Q8</f>
        <v>1.7813517001413752</v>
      </c>
      <c r="R11" s="193">
        <f t="shared" si="10"/>
        <v>1.5666473144920814</v>
      </c>
      <c r="S11" s="193">
        <f t="shared" si="10"/>
        <v>0.36000002022939581</v>
      </c>
      <c r="T11" s="193">
        <f t="shared" si="10"/>
        <v>0.31525013220158754</v>
      </c>
      <c r="U11" s="200">
        <v>20</v>
      </c>
      <c r="V11" s="200">
        <v>2023</v>
      </c>
      <c r="W11" s="199" t="s">
        <v>386</v>
      </c>
      <c r="Y11" s="199" t="s">
        <v>391</v>
      </c>
      <c r="AG11" s="200"/>
    </row>
    <row r="12" spans="1:37">
      <c r="A12" s="199" t="s">
        <v>255</v>
      </c>
      <c r="B12" s="199" t="s">
        <v>208</v>
      </c>
      <c r="C12" s="199" t="s">
        <v>425</v>
      </c>
      <c r="D12" s="191" t="s">
        <v>209</v>
      </c>
      <c r="E12" s="200" t="s">
        <v>82</v>
      </c>
      <c r="F12" s="201" t="s">
        <v>399</v>
      </c>
      <c r="G12" s="202" t="s">
        <v>398</v>
      </c>
      <c r="H12" s="202"/>
      <c r="I12" s="202" t="s">
        <v>408</v>
      </c>
      <c r="J12" s="200">
        <v>1</v>
      </c>
      <c r="K12" s="192">
        <f>K9</f>
        <v>9.0200000000000002E-2</v>
      </c>
      <c r="M12" s="200">
        <v>1</v>
      </c>
      <c r="N12" s="210">
        <f t="shared" si="9"/>
        <v>0.7</v>
      </c>
      <c r="O12" s="193">
        <f>O9</f>
        <v>80.548313793496817</v>
      </c>
      <c r="P12" s="193">
        <f>P9</f>
        <v>62.015136324379981</v>
      </c>
      <c r="Q12" s="193">
        <f t="shared" ref="Q12:T12" si="11">Q9</f>
        <v>5.782849630734642</v>
      </c>
      <c r="R12" s="193">
        <f t="shared" si="11"/>
        <v>4.2960812407754956</v>
      </c>
      <c r="S12" s="193">
        <f t="shared" si="11"/>
        <v>0.54931712081500184</v>
      </c>
      <c r="T12" s="193">
        <f t="shared" si="11"/>
        <v>0.44438390313605158</v>
      </c>
      <c r="U12" s="200">
        <v>20</v>
      </c>
      <c r="V12" s="200">
        <v>2023</v>
      </c>
      <c r="W12" s="199" t="s">
        <v>386</v>
      </c>
      <c r="Y12" s="199" t="s">
        <v>392</v>
      </c>
      <c r="AG12" s="200"/>
    </row>
    <row r="13" spans="1:37">
      <c r="A13" s="199" t="s">
        <v>255</v>
      </c>
      <c r="B13" s="205" t="s">
        <v>210</v>
      </c>
      <c r="C13" s="199" t="s">
        <v>426</v>
      </c>
      <c r="D13" s="194" t="s">
        <v>211</v>
      </c>
      <c r="E13" s="200" t="s">
        <v>82</v>
      </c>
      <c r="F13" s="202" t="s">
        <v>401</v>
      </c>
      <c r="G13" s="201" t="s">
        <v>399</v>
      </c>
      <c r="H13" s="202" t="s">
        <v>398</v>
      </c>
      <c r="I13" s="201" t="s">
        <v>410</v>
      </c>
      <c r="J13" s="200">
        <v>0.75</v>
      </c>
      <c r="K13" s="212">
        <v>0.15</v>
      </c>
      <c r="L13" s="192">
        <f>K9</f>
        <v>9.0200000000000002E-2</v>
      </c>
      <c r="M13" s="200">
        <v>1</v>
      </c>
      <c r="N13" s="211">
        <v>0.7</v>
      </c>
      <c r="O13" s="193">
        <f>O32+O33</f>
        <v>5.8745291815258316</v>
      </c>
      <c r="P13" s="193">
        <f>P32+P33</f>
        <v>4.9191940157172702</v>
      </c>
      <c r="Q13" s="193">
        <f t="shared" ref="Q13:T13" si="12">Q32+Q33</f>
        <v>0.373156116141375</v>
      </c>
      <c r="R13" s="193">
        <f t="shared" si="12"/>
        <v>0.29807649842918088</v>
      </c>
      <c r="S13" s="193">
        <f t="shared" si="12"/>
        <v>7.836090342939582E-2</v>
      </c>
      <c r="T13" s="193">
        <f t="shared" si="12"/>
        <v>6.1535968989007483E-2</v>
      </c>
      <c r="U13" s="200">
        <v>20</v>
      </c>
      <c r="V13" s="200">
        <v>2023</v>
      </c>
      <c r="W13" s="199" t="s">
        <v>386</v>
      </c>
      <c r="Y13" s="199" t="s">
        <v>393</v>
      </c>
      <c r="AG13" s="200"/>
    </row>
    <row r="14" spans="1:37">
      <c r="A14" s="199" t="s">
        <v>255</v>
      </c>
      <c r="B14" s="205" t="s">
        <v>212</v>
      </c>
      <c r="C14" s="199" t="s">
        <v>427</v>
      </c>
      <c r="D14" s="194" t="s">
        <v>211</v>
      </c>
      <c r="E14" s="200" t="s">
        <v>82</v>
      </c>
      <c r="F14" s="202" t="s">
        <v>401</v>
      </c>
      <c r="G14" s="201" t="s">
        <v>399</v>
      </c>
      <c r="H14" s="202" t="s">
        <v>398</v>
      </c>
      <c r="I14" s="201" t="s">
        <v>411</v>
      </c>
      <c r="J14" s="200">
        <v>0.75</v>
      </c>
      <c r="K14" s="212">
        <v>0.15</v>
      </c>
      <c r="L14" s="191">
        <f>L13</f>
        <v>9.0200000000000002E-2</v>
      </c>
      <c r="M14" s="200">
        <v>1</v>
      </c>
      <c r="N14" s="211">
        <v>0.7</v>
      </c>
      <c r="O14" s="193">
        <f t="shared" ref="O14:P19" si="13">O13</f>
        <v>5.8745291815258316</v>
      </c>
      <c r="P14" s="193">
        <f t="shared" si="13"/>
        <v>4.9191940157172702</v>
      </c>
      <c r="Q14" s="193">
        <f t="shared" ref="Q14:T19" si="14">Q13</f>
        <v>0.373156116141375</v>
      </c>
      <c r="R14" s="193">
        <f t="shared" si="14"/>
        <v>0.29807649842918088</v>
      </c>
      <c r="S14" s="193">
        <f t="shared" si="14"/>
        <v>7.836090342939582E-2</v>
      </c>
      <c r="T14" s="193">
        <f t="shared" si="14"/>
        <v>6.1535968989007483E-2</v>
      </c>
      <c r="U14" s="200">
        <v>20</v>
      </c>
      <c r="V14" s="200">
        <v>2023</v>
      </c>
      <c r="W14" s="199" t="s">
        <v>386</v>
      </c>
      <c r="Y14" s="199" t="s">
        <v>393</v>
      </c>
      <c r="AG14" s="200"/>
    </row>
    <row r="15" spans="1:37">
      <c r="A15" s="199" t="s">
        <v>255</v>
      </c>
      <c r="B15" s="205" t="s">
        <v>213</v>
      </c>
      <c r="C15" s="199" t="s">
        <v>428</v>
      </c>
      <c r="D15" s="194" t="s">
        <v>211</v>
      </c>
      <c r="E15" s="200" t="s">
        <v>82</v>
      </c>
      <c r="F15" s="202" t="s">
        <v>401</v>
      </c>
      <c r="G15" s="201" t="s">
        <v>399</v>
      </c>
      <c r="H15" s="202" t="s">
        <v>398</v>
      </c>
      <c r="I15" s="201" t="s">
        <v>412</v>
      </c>
      <c r="J15" s="200">
        <v>0.75</v>
      </c>
      <c r="K15" s="212">
        <v>0.15</v>
      </c>
      <c r="L15" s="191">
        <f t="shared" ref="L15:L19" si="15">L14</f>
        <v>9.0200000000000002E-2</v>
      </c>
      <c r="M15" s="200">
        <v>1</v>
      </c>
      <c r="N15" s="211">
        <v>0.7</v>
      </c>
      <c r="O15" s="193">
        <f t="shared" si="13"/>
        <v>5.8745291815258316</v>
      </c>
      <c r="P15" s="193">
        <f t="shared" si="13"/>
        <v>4.9191940157172702</v>
      </c>
      <c r="Q15" s="193">
        <f t="shared" si="14"/>
        <v>0.373156116141375</v>
      </c>
      <c r="R15" s="193">
        <f t="shared" si="14"/>
        <v>0.29807649842918088</v>
      </c>
      <c r="S15" s="193">
        <f t="shared" si="14"/>
        <v>7.836090342939582E-2</v>
      </c>
      <c r="T15" s="193">
        <f t="shared" si="14"/>
        <v>6.1535968989007483E-2</v>
      </c>
      <c r="U15" s="200">
        <v>20</v>
      </c>
      <c r="V15" s="200">
        <v>2023</v>
      </c>
      <c r="W15" s="199" t="s">
        <v>386</v>
      </c>
      <c r="Y15" s="199" t="s">
        <v>393</v>
      </c>
      <c r="AG15" s="200"/>
    </row>
    <row r="16" spans="1:37">
      <c r="A16" s="199" t="s">
        <v>255</v>
      </c>
      <c r="B16" s="205" t="s">
        <v>214</v>
      </c>
      <c r="C16" s="199" t="s">
        <v>429</v>
      </c>
      <c r="D16" s="194" t="s">
        <v>211</v>
      </c>
      <c r="E16" s="200" t="s">
        <v>82</v>
      </c>
      <c r="F16" s="202" t="s">
        <v>401</v>
      </c>
      <c r="G16" s="201" t="s">
        <v>399</v>
      </c>
      <c r="H16" s="202" t="s">
        <v>398</v>
      </c>
      <c r="I16" s="201" t="s">
        <v>413</v>
      </c>
      <c r="J16" s="200">
        <v>0.75</v>
      </c>
      <c r="K16" s="212">
        <v>0.15</v>
      </c>
      <c r="L16" s="191">
        <f t="shared" si="15"/>
        <v>9.0200000000000002E-2</v>
      </c>
      <c r="M16" s="200">
        <v>1</v>
      </c>
      <c r="N16" s="211">
        <v>0.7</v>
      </c>
      <c r="O16" s="193">
        <f t="shared" si="13"/>
        <v>5.8745291815258316</v>
      </c>
      <c r="P16" s="193">
        <f t="shared" si="13"/>
        <v>4.9191940157172702</v>
      </c>
      <c r="Q16" s="193">
        <f t="shared" si="14"/>
        <v>0.373156116141375</v>
      </c>
      <c r="R16" s="193">
        <f t="shared" si="14"/>
        <v>0.29807649842918088</v>
      </c>
      <c r="S16" s="193">
        <f t="shared" si="14"/>
        <v>7.836090342939582E-2</v>
      </c>
      <c r="T16" s="193">
        <f t="shared" si="14"/>
        <v>6.1535968989007483E-2</v>
      </c>
      <c r="U16" s="200">
        <v>20</v>
      </c>
      <c r="V16" s="200">
        <v>2023</v>
      </c>
      <c r="W16" s="199" t="s">
        <v>386</v>
      </c>
      <c r="Y16" s="199" t="s">
        <v>393</v>
      </c>
      <c r="AG16" s="200"/>
    </row>
    <row r="17" spans="1:33">
      <c r="A17" s="199" t="s">
        <v>255</v>
      </c>
      <c r="B17" s="205" t="s">
        <v>215</v>
      </c>
      <c r="C17" s="199" t="s">
        <v>430</v>
      </c>
      <c r="D17" s="194" t="s">
        <v>211</v>
      </c>
      <c r="E17" s="200" t="s">
        <v>82</v>
      </c>
      <c r="F17" s="202" t="s">
        <v>401</v>
      </c>
      <c r="G17" s="201" t="s">
        <v>399</v>
      </c>
      <c r="H17" s="202" t="s">
        <v>398</v>
      </c>
      <c r="I17" s="201" t="s">
        <v>414</v>
      </c>
      <c r="J17" s="200">
        <v>0.75</v>
      </c>
      <c r="K17" s="212">
        <v>0.15</v>
      </c>
      <c r="L17" s="191">
        <f t="shared" si="15"/>
        <v>9.0200000000000002E-2</v>
      </c>
      <c r="M17" s="200">
        <v>1</v>
      </c>
      <c r="N17" s="211">
        <v>0.7</v>
      </c>
      <c r="O17" s="193">
        <f t="shared" si="13"/>
        <v>5.8745291815258316</v>
      </c>
      <c r="P17" s="193">
        <f t="shared" si="13"/>
        <v>4.9191940157172702</v>
      </c>
      <c r="Q17" s="193">
        <f t="shared" si="14"/>
        <v>0.373156116141375</v>
      </c>
      <c r="R17" s="193">
        <f t="shared" si="14"/>
        <v>0.29807649842918088</v>
      </c>
      <c r="S17" s="193">
        <f t="shared" si="14"/>
        <v>7.836090342939582E-2</v>
      </c>
      <c r="T17" s="193">
        <f t="shared" si="14"/>
        <v>6.1535968989007483E-2</v>
      </c>
      <c r="U17" s="200">
        <v>20</v>
      </c>
      <c r="V17" s="200">
        <v>2023</v>
      </c>
      <c r="W17" s="199" t="s">
        <v>386</v>
      </c>
      <c r="Y17" s="199" t="s">
        <v>393</v>
      </c>
      <c r="AG17" s="200"/>
    </row>
    <row r="18" spans="1:33">
      <c r="A18" s="199" t="s">
        <v>255</v>
      </c>
      <c r="B18" s="205" t="s">
        <v>216</v>
      </c>
      <c r="C18" s="199" t="s">
        <v>431</v>
      </c>
      <c r="D18" s="194" t="s">
        <v>211</v>
      </c>
      <c r="E18" s="200" t="s">
        <v>82</v>
      </c>
      <c r="F18" s="202" t="s">
        <v>401</v>
      </c>
      <c r="G18" s="201" t="s">
        <v>399</v>
      </c>
      <c r="H18" s="202" t="s">
        <v>398</v>
      </c>
      <c r="I18" s="201" t="s">
        <v>415</v>
      </c>
      <c r="J18" s="200">
        <v>0.75</v>
      </c>
      <c r="K18" s="212">
        <v>0.15</v>
      </c>
      <c r="L18" s="191">
        <f t="shared" si="15"/>
        <v>9.0200000000000002E-2</v>
      </c>
      <c r="M18" s="200">
        <v>1</v>
      </c>
      <c r="N18" s="211">
        <v>0.7</v>
      </c>
      <c r="O18" s="193">
        <f t="shared" si="13"/>
        <v>5.8745291815258316</v>
      </c>
      <c r="P18" s="193">
        <f t="shared" si="13"/>
        <v>4.9191940157172702</v>
      </c>
      <c r="Q18" s="193">
        <f t="shared" si="14"/>
        <v>0.373156116141375</v>
      </c>
      <c r="R18" s="193">
        <f t="shared" si="14"/>
        <v>0.29807649842918088</v>
      </c>
      <c r="S18" s="193">
        <f t="shared" si="14"/>
        <v>7.836090342939582E-2</v>
      </c>
      <c r="T18" s="193">
        <f t="shared" si="14"/>
        <v>6.1535968989007483E-2</v>
      </c>
      <c r="U18" s="200">
        <v>20</v>
      </c>
      <c r="V18" s="200">
        <v>2023</v>
      </c>
      <c r="W18" s="199" t="s">
        <v>386</v>
      </c>
      <c r="Y18" s="199" t="s">
        <v>393</v>
      </c>
      <c r="AG18" s="200"/>
    </row>
    <row r="19" spans="1:33">
      <c r="A19" s="199" t="s">
        <v>255</v>
      </c>
      <c r="B19" s="205" t="s">
        <v>217</v>
      </c>
      <c r="C19" s="199" t="s">
        <v>432</v>
      </c>
      <c r="D19" s="194" t="s">
        <v>211</v>
      </c>
      <c r="E19" s="200" t="s">
        <v>82</v>
      </c>
      <c r="F19" s="202" t="s">
        <v>401</v>
      </c>
      <c r="G19" s="201" t="s">
        <v>399</v>
      </c>
      <c r="H19" s="202" t="s">
        <v>398</v>
      </c>
      <c r="I19" s="201" t="s">
        <v>416</v>
      </c>
      <c r="J19" s="200">
        <v>0.75</v>
      </c>
      <c r="K19" s="212">
        <v>0.15</v>
      </c>
      <c r="L19" s="191">
        <f t="shared" si="15"/>
        <v>9.0200000000000002E-2</v>
      </c>
      <c r="M19" s="200">
        <v>1</v>
      </c>
      <c r="N19" s="211">
        <v>0.7</v>
      </c>
      <c r="O19" s="193">
        <f t="shared" si="13"/>
        <v>5.8745291815258316</v>
      </c>
      <c r="P19" s="193">
        <f t="shared" si="13"/>
        <v>4.9191940157172702</v>
      </c>
      <c r="Q19" s="193">
        <f t="shared" si="14"/>
        <v>0.373156116141375</v>
      </c>
      <c r="R19" s="193">
        <f t="shared" si="14"/>
        <v>0.29807649842918088</v>
      </c>
      <c r="S19" s="193">
        <f t="shared" si="14"/>
        <v>7.836090342939582E-2</v>
      </c>
      <c r="T19" s="193">
        <f t="shared" si="14"/>
        <v>6.1535968989007483E-2</v>
      </c>
      <c r="U19" s="200">
        <v>20</v>
      </c>
      <c r="V19" s="200">
        <v>2023</v>
      </c>
      <c r="W19" s="199" t="s">
        <v>386</v>
      </c>
      <c r="Y19" s="199" t="s">
        <v>393</v>
      </c>
      <c r="AG19" s="200"/>
    </row>
    <row r="20" spans="1:33">
      <c r="A20" s="199" t="s">
        <v>256</v>
      </c>
      <c r="B20" s="199" t="s">
        <v>218</v>
      </c>
      <c r="C20" s="199" t="s">
        <v>433</v>
      </c>
      <c r="D20" s="194" t="s">
        <v>219</v>
      </c>
      <c r="E20" s="200" t="s">
        <v>83</v>
      </c>
      <c r="F20" s="201" t="s">
        <v>399</v>
      </c>
      <c r="G20" s="202" t="s">
        <v>398</v>
      </c>
      <c r="H20" s="202"/>
      <c r="I20" s="202" t="s">
        <v>409</v>
      </c>
      <c r="J20" s="200">
        <v>1</v>
      </c>
      <c r="K20" s="212">
        <v>0</v>
      </c>
      <c r="M20" s="200">
        <v>1</v>
      </c>
      <c r="N20" s="211">
        <v>0.7</v>
      </c>
      <c r="O20" s="193">
        <f>O38+O48</f>
        <v>51.838586000490707</v>
      </c>
      <c r="P20" s="193">
        <f t="shared" ref="P20:T20" si="16">P38+P48</f>
        <v>43.577770932156589</v>
      </c>
      <c r="Q20" s="193">
        <f t="shared" si="16"/>
        <v>2.4972306027425724</v>
      </c>
      <c r="R20" s="193">
        <f t="shared" si="16"/>
        <v>2.1060631281642355</v>
      </c>
      <c r="S20" s="193">
        <f t="shared" si="16"/>
        <v>0.28163911679999998</v>
      </c>
      <c r="T20" s="193">
        <f t="shared" si="16"/>
        <v>0.25371416321258006</v>
      </c>
      <c r="U20" s="200">
        <v>20</v>
      </c>
      <c r="V20" s="200">
        <v>2023</v>
      </c>
      <c r="W20" s="199" t="s">
        <v>386</v>
      </c>
      <c r="Y20" s="199" t="s">
        <v>394</v>
      </c>
      <c r="AG20" s="200"/>
    </row>
    <row r="21" spans="1:33">
      <c r="A21" s="199" t="s">
        <v>256</v>
      </c>
      <c r="B21" s="199" t="s">
        <v>220</v>
      </c>
      <c r="C21" s="199" t="s">
        <v>434</v>
      </c>
      <c r="D21" s="194" t="s">
        <v>221</v>
      </c>
      <c r="E21" s="200" t="s">
        <v>83</v>
      </c>
      <c r="F21" s="201" t="s">
        <v>399</v>
      </c>
      <c r="G21" s="202" t="s">
        <v>398</v>
      </c>
      <c r="H21" s="202"/>
      <c r="I21" s="202" t="s">
        <v>407</v>
      </c>
      <c r="J21" s="200">
        <v>1</v>
      </c>
      <c r="K21" s="212">
        <v>0.45200000000000001</v>
      </c>
      <c r="M21" s="200">
        <v>1</v>
      </c>
      <c r="N21" s="211">
        <v>0.7</v>
      </c>
      <c r="O21" s="193">
        <f>O35+O40+O48</f>
        <v>144.83602977998328</v>
      </c>
      <c r="P21" s="193">
        <f t="shared" ref="P21:T21" si="17">P35+P40+P48</f>
        <v>98.926083342832911</v>
      </c>
      <c r="Q21" s="193">
        <f t="shared" si="17"/>
        <v>8.9879212609144403</v>
      </c>
      <c r="R21" s="193">
        <f t="shared" si="17"/>
        <v>6.0906106160883207</v>
      </c>
      <c r="S21" s="193">
        <f t="shared" si="17"/>
        <v>1.7840779327981413</v>
      </c>
      <c r="T21" s="193">
        <f t="shared" si="17"/>
        <v>1.1976769833128227</v>
      </c>
      <c r="U21" s="200">
        <v>20</v>
      </c>
      <c r="V21" s="200">
        <v>2023</v>
      </c>
      <c r="W21" s="199" t="s">
        <v>386</v>
      </c>
      <c r="Y21" s="199" t="s">
        <v>395</v>
      </c>
      <c r="AG21" s="200"/>
    </row>
    <row r="22" spans="1:33">
      <c r="A22" s="199" t="s">
        <v>256</v>
      </c>
      <c r="B22" s="199" t="s">
        <v>222</v>
      </c>
      <c r="C22" s="199" t="s">
        <v>435</v>
      </c>
      <c r="D22" s="194" t="s">
        <v>223</v>
      </c>
      <c r="E22" s="200" t="s">
        <v>83</v>
      </c>
      <c r="F22" s="201" t="s">
        <v>399</v>
      </c>
      <c r="G22" s="202" t="s">
        <v>398</v>
      </c>
      <c r="H22" s="202"/>
      <c r="I22" s="202" t="s">
        <v>408</v>
      </c>
      <c r="J22" s="200">
        <v>1</v>
      </c>
      <c r="K22" s="212">
        <v>0.125</v>
      </c>
      <c r="M22" s="200">
        <v>1</v>
      </c>
      <c r="N22" s="211">
        <v>0.7</v>
      </c>
      <c r="O22" s="193">
        <f>O43+O48</f>
        <v>70.184547252461684</v>
      </c>
      <c r="P22" s="193">
        <f t="shared" ref="P22:T22" si="18">P43+P48</f>
        <v>49.93088059830329</v>
      </c>
      <c r="Q22" s="193">
        <f t="shared" si="18"/>
        <v>5.0905329493358398</v>
      </c>
      <c r="R22" s="193">
        <f t="shared" si="18"/>
        <v>3.5669262383847489</v>
      </c>
      <c r="S22" s="193">
        <f t="shared" si="18"/>
        <v>0.18931710058560608</v>
      </c>
      <c r="T22" s="193">
        <f t="shared" si="18"/>
        <v>0.12913377093446404</v>
      </c>
      <c r="U22" s="200">
        <v>20</v>
      </c>
      <c r="V22" s="200">
        <v>2023</v>
      </c>
      <c r="W22" s="199" t="s">
        <v>386</v>
      </c>
      <c r="Y22" s="199" t="s">
        <v>396</v>
      </c>
      <c r="AG22" s="200"/>
    </row>
    <row r="26" spans="1:33">
      <c r="B26" s="190"/>
      <c r="C26" s="190"/>
    </row>
    <row r="28" spans="1:33">
      <c r="M28" s="322" t="s">
        <v>476</v>
      </c>
      <c r="N28" s="322"/>
      <c r="O28" s="322"/>
      <c r="P28" s="322" t="s">
        <v>477</v>
      </c>
      <c r="Q28" s="322"/>
      <c r="R28" s="322"/>
      <c r="S28" s="322"/>
      <c r="T28" s="322"/>
    </row>
    <row r="29" spans="1:33" ht="15.75" thickBot="1"/>
    <row r="30" spans="1:33">
      <c r="B30" s="105" t="s">
        <v>224</v>
      </c>
      <c r="C30" s="106" t="s">
        <v>65</v>
      </c>
      <c r="M30" s="322"/>
      <c r="N30" s="322"/>
      <c r="O30" s="322" t="s">
        <v>478</v>
      </c>
      <c r="P30" s="322"/>
      <c r="Q30" s="322" t="s">
        <v>479</v>
      </c>
      <c r="R30" s="322"/>
      <c r="S30" s="322" t="s">
        <v>480</v>
      </c>
      <c r="T30" s="322"/>
      <c r="W30" s="323"/>
      <c r="X30" s="323"/>
      <c r="Y30" s="323"/>
      <c r="Z30" s="323"/>
      <c r="AA30" s="323"/>
      <c r="AB30" s="323"/>
      <c r="AC30" s="323"/>
      <c r="AD30" s="323"/>
    </row>
    <row r="31" spans="1:33">
      <c r="B31" s="206" t="s">
        <v>225</v>
      </c>
      <c r="C31" s="207" t="s">
        <v>226</v>
      </c>
      <c r="M31" s="322"/>
      <c r="N31" s="322"/>
      <c r="O31" s="322">
        <v>2012</v>
      </c>
      <c r="P31" s="322">
        <v>2025</v>
      </c>
      <c r="Q31" s="322">
        <v>2012</v>
      </c>
      <c r="R31" s="322">
        <v>2025</v>
      </c>
      <c r="S31" s="322">
        <v>2012</v>
      </c>
      <c r="T31" s="322">
        <v>2025</v>
      </c>
    </row>
    <row r="32" spans="1:33">
      <c r="B32" s="206" t="s">
        <v>227</v>
      </c>
      <c r="C32" s="207" t="s">
        <v>228</v>
      </c>
      <c r="M32" s="322" t="s">
        <v>225</v>
      </c>
      <c r="N32" s="322" t="s">
        <v>481</v>
      </c>
      <c r="O32" s="322">
        <v>1.3730928129896247</v>
      </c>
      <c r="P32" s="322">
        <v>0.86408201822843511</v>
      </c>
      <c r="Q32" s="322">
        <v>0.19615611614137499</v>
      </c>
      <c r="R32" s="322">
        <v>0.12344028831834788</v>
      </c>
      <c r="S32" s="322">
        <v>3.3346539744033746E-2</v>
      </c>
      <c r="T32" s="322">
        <v>2.098484901411914E-2</v>
      </c>
      <c r="W32" s="323"/>
      <c r="X32" s="323"/>
      <c r="Y32" s="323"/>
      <c r="Z32" s="323"/>
      <c r="AA32" s="323"/>
      <c r="AB32" s="323"/>
      <c r="AC32" s="323"/>
      <c r="AD32" s="323"/>
    </row>
    <row r="33" spans="2:30">
      <c r="B33" s="206" t="s">
        <v>229</v>
      </c>
      <c r="C33" s="207" t="s">
        <v>230</v>
      </c>
      <c r="M33" s="322" t="s">
        <v>227</v>
      </c>
      <c r="N33" s="322" t="s">
        <v>482</v>
      </c>
      <c r="O33" s="322">
        <v>4.5014363685362069</v>
      </c>
      <c r="P33" s="322">
        <v>4.0551119974888348</v>
      </c>
      <c r="Q33" s="322">
        <v>0.17699999999999999</v>
      </c>
      <c r="R33" s="322">
        <v>0.174636210110833</v>
      </c>
      <c r="S33" s="322">
        <v>4.5014363685362074E-2</v>
      </c>
      <c r="T33" s="322">
        <v>4.0551119974888347E-2</v>
      </c>
      <c r="W33" s="323"/>
      <c r="X33" s="323"/>
      <c r="Y33" s="323"/>
      <c r="Z33" s="323"/>
      <c r="AA33" s="323"/>
      <c r="AB33" s="323"/>
      <c r="AC33" s="323"/>
      <c r="AD33" s="323"/>
    </row>
    <row r="34" spans="2:30">
      <c r="B34" s="206" t="s">
        <v>231</v>
      </c>
      <c r="C34" s="207" t="s">
        <v>232</v>
      </c>
      <c r="M34" s="322" t="s">
        <v>229</v>
      </c>
      <c r="N34" s="322" t="s">
        <v>483</v>
      </c>
      <c r="O34" s="322">
        <v>14.957154240273763</v>
      </c>
      <c r="P34" s="322">
        <v>9.9324885674633983</v>
      </c>
      <c r="Q34" s="322">
        <v>1.0470007968191635</v>
      </c>
      <c r="R34" s="322">
        <v>0.69527419972243798</v>
      </c>
      <c r="S34" s="322">
        <v>0.14957154240273762</v>
      </c>
      <c r="T34" s="322">
        <v>9.9324885674633989E-2</v>
      </c>
      <c r="W34" s="323"/>
      <c r="X34" s="323"/>
      <c r="Y34" s="323"/>
      <c r="Z34" s="323"/>
      <c r="AA34" s="323"/>
      <c r="AB34" s="323"/>
      <c r="AC34" s="323"/>
      <c r="AD34" s="323"/>
    </row>
    <row r="35" spans="2:30">
      <c r="B35" s="206" t="s">
        <v>233</v>
      </c>
      <c r="C35" s="207" t="s">
        <v>234</v>
      </c>
      <c r="M35" s="322" t="s">
        <v>231</v>
      </c>
      <c r="N35" s="322" t="s">
        <v>484</v>
      </c>
      <c r="O35" s="322">
        <v>106.69436691395283</v>
      </c>
      <c r="P35" s="322">
        <v>70.851751781238917</v>
      </c>
      <c r="Q35" s="322">
        <v>7.4686056839767003</v>
      </c>
      <c r="R35" s="322">
        <v>4.959622624686725</v>
      </c>
      <c r="S35" s="322">
        <v>1.0669436691395284</v>
      </c>
      <c r="T35" s="322">
        <v>0.70851751781238914</v>
      </c>
      <c r="W35" s="323"/>
      <c r="X35" s="323"/>
      <c r="Y35" s="323"/>
      <c r="Z35" s="323"/>
      <c r="AA35" s="323"/>
      <c r="AB35" s="323"/>
      <c r="AC35" s="323"/>
      <c r="AD35" s="323"/>
    </row>
    <row r="36" spans="2:30">
      <c r="B36" s="206" t="s">
        <v>235</v>
      </c>
      <c r="C36" s="207" t="s">
        <v>236</v>
      </c>
      <c r="M36" s="322" t="s">
        <v>245</v>
      </c>
      <c r="N36" s="322" t="s">
        <v>485</v>
      </c>
      <c r="O36" s="322">
        <v>0.36179525194168027</v>
      </c>
      <c r="P36" s="322">
        <v>0.32592269370682819</v>
      </c>
      <c r="Q36" s="322">
        <v>3.6179525194168026E-2</v>
      </c>
      <c r="R36" s="322">
        <v>3.2592269370682818E-2</v>
      </c>
      <c r="S36" s="322">
        <v>2.3742813408672765E-3</v>
      </c>
      <c r="T36" s="322">
        <v>2.1388676774510593E-3</v>
      </c>
      <c r="W36" s="323"/>
      <c r="X36" s="323"/>
      <c r="Y36" s="323"/>
      <c r="Z36" s="323"/>
      <c r="AA36" s="323"/>
      <c r="AB36" s="323"/>
      <c r="AC36" s="323"/>
      <c r="AD36" s="323"/>
    </row>
    <row r="37" spans="2:30">
      <c r="B37" s="206" t="s">
        <v>237</v>
      </c>
      <c r="C37" s="207" t="s">
        <v>238</v>
      </c>
      <c r="W37" s="323"/>
      <c r="X37" s="323"/>
      <c r="Y37" s="323"/>
      <c r="Z37" s="323"/>
      <c r="AA37" s="323"/>
      <c r="AB37" s="323"/>
      <c r="AC37" s="323"/>
      <c r="AD37" s="323"/>
    </row>
    <row r="38" spans="2:30">
      <c r="B38" s="206" t="s">
        <v>239</v>
      </c>
      <c r="C38" s="207" t="s">
        <v>240</v>
      </c>
      <c r="M38" s="322" t="s">
        <v>251</v>
      </c>
      <c r="N38" s="322" t="s">
        <v>486</v>
      </c>
      <c r="O38" s="322">
        <v>28.163911680000002</v>
      </c>
      <c r="P38" s="322">
        <v>25.371416321258007</v>
      </c>
      <c r="Q38" s="322">
        <v>1.4081955840000002</v>
      </c>
      <c r="R38" s="322">
        <v>1.2685708160629006</v>
      </c>
      <c r="S38" s="322">
        <v>0.28163911679999998</v>
      </c>
      <c r="T38" s="322">
        <v>0.25371416321258006</v>
      </c>
      <c r="W38" s="323"/>
      <c r="X38" s="323"/>
      <c r="Y38" s="323"/>
      <c r="Z38" s="323"/>
      <c r="AA38" s="323"/>
      <c r="AB38" s="323"/>
      <c r="AC38" s="323"/>
      <c r="AD38" s="323"/>
    </row>
    <row r="39" spans="2:30">
      <c r="B39" s="206" t="s">
        <v>241</v>
      </c>
      <c r="C39" s="207" t="s">
        <v>242</v>
      </c>
    </row>
    <row r="40" spans="2:30">
      <c r="B40" s="206" t="s">
        <v>243</v>
      </c>
      <c r="C40" s="207" t="s">
        <v>244</v>
      </c>
      <c r="M40" s="322" t="s">
        <v>487</v>
      </c>
      <c r="N40" s="322" t="s">
        <v>488</v>
      </c>
      <c r="O40" s="322">
        <v>14.466988545539753</v>
      </c>
      <c r="P40" s="322">
        <v>9.8679769506954109</v>
      </c>
      <c r="Q40" s="322">
        <v>0.43028055819516781</v>
      </c>
      <c r="R40" s="322">
        <v>0.2934956793002601</v>
      </c>
      <c r="S40" s="322">
        <v>0.71713426365861299</v>
      </c>
      <c r="T40" s="322">
        <v>0.48915946550043354</v>
      </c>
      <c r="W40" s="323"/>
      <c r="X40" s="323"/>
      <c r="Y40" s="323"/>
      <c r="Z40" s="323"/>
      <c r="AA40" s="323"/>
      <c r="AB40" s="323"/>
      <c r="AC40" s="323"/>
      <c r="AD40" s="323"/>
    </row>
    <row r="41" spans="2:30">
      <c r="B41" s="206" t="s">
        <v>245</v>
      </c>
      <c r="C41" s="207" t="s">
        <v>246</v>
      </c>
      <c r="M41" s="322" t="s">
        <v>489</v>
      </c>
      <c r="N41" s="322" t="s">
        <v>490</v>
      </c>
      <c r="O41" s="322">
        <v>41.443518995999995</v>
      </c>
      <c r="P41" s="322">
        <v>28.268750536497873</v>
      </c>
      <c r="Q41" s="322">
        <v>1.1302777907999999</v>
      </c>
      <c r="R41" s="322">
        <v>0.77096592372266937</v>
      </c>
      <c r="S41" s="322">
        <v>0.11302777908</v>
      </c>
      <c r="T41" s="322">
        <v>7.7096592372266917E-2</v>
      </c>
    </row>
    <row r="42" spans="2:30">
      <c r="B42" s="206" t="s">
        <v>247</v>
      </c>
      <c r="C42" s="207" t="s">
        <v>248</v>
      </c>
      <c r="M42" s="322" t="s">
        <v>491</v>
      </c>
      <c r="N42" s="322" t="s">
        <v>492</v>
      </c>
      <c r="O42" s="322">
        <v>12.245790149403515</v>
      </c>
      <c r="P42" s="322">
        <v>8.3528907593296449</v>
      </c>
      <c r="Q42" s="322">
        <v>1.4075620861383351</v>
      </c>
      <c r="R42" s="322">
        <v>0.96010238612984411</v>
      </c>
      <c r="S42" s="322">
        <v>4.9767373759891133E-2</v>
      </c>
      <c r="T42" s="322">
        <v>3.3946477223876635E-2</v>
      </c>
      <c r="W42" s="323"/>
      <c r="X42" s="323"/>
      <c r="Y42" s="323"/>
      <c r="Z42" s="323"/>
      <c r="AA42" s="323"/>
      <c r="AB42" s="323"/>
      <c r="AC42" s="323"/>
      <c r="AD42" s="323"/>
    </row>
    <row r="43" spans="2:30">
      <c r="B43" s="206" t="s">
        <v>249</v>
      </c>
      <c r="C43" s="207" t="s">
        <v>250</v>
      </c>
      <c r="M43" s="322" t="s">
        <v>493</v>
      </c>
      <c r="N43" s="322" t="s">
        <v>494</v>
      </c>
      <c r="O43" s="322">
        <v>46.509872931970982</v>
      </c>
      <c r="P43" s="322">
        <v>31.724525987404704</v>
      </c>
      <c r="Q43" s="322">
        <v>4.001497930593267</v>
      </c>
      <c r="R43" s="322">
        <v>2.7294339262834142</v>
      </c>
      <c r="S43" s="322">
        <v>0.18931710058560608</v>
      </c>
      <c r="T43" s="322">
        <v>0.12913377093446404</v>
      </c>
      <c r="W43" s="323"/>
      <c r="X43" s="323"/>
      <c r="Y43" s="323"/>
      <c r="Z43" s="323"/>
      <c r="AA43" s="323"/>
      <c r="AB43" s="323"/>
      <c r="AC43" s="323"/>
      <c r="AD43" s="323"/>
    </row>
    <row r="44" spans="2:30">
      <c r="B44" s="206" t="s">
        <v>251</v>
      </c>
      <c r="C44" s="207" t="s">
        <v>252</v>
      </c>
      <c r="W44" s="323"/>
      <c r="X44" s="323"/>
      <c r="Y44" s="323"/>
      <c r="Z44" s="323"/>
      <c r="AA44" s="323"/>
      <c r="AB44" s="323"/>
      <c r="AC44" s="323"/>
      <c r="AD44" s="323"/>
    </row>
    <row r="45" spans="2:30">
      <c r="B45" s="206" t="s">
        <v>372</v>
      </c>
      <c r="C45" s="207" t="s">
        <v>373</v>
      </c>
      <c r="W45" s="323"/>
      <c r="X45" s="323"/>
      <c r="Y45" s="323"/>
      <c r="Z45" s="323"/>
      <c r="AA45" s="323"/>
      <c r="AB45" s="323"/>
      <c r="AC45" s="323"/>
      <c r="AD45" s="323"/>
    </row>
    <row r="46" spans="2:30">
      <c r="B46" s="206" t="s">
        <v>374</v>
      </c>
      <c r="C46" s="207" t="s">
        <v>375</v>
      </c>
      <c r="M46" s="322" t="s">
        <v>243</v>
      </c>
      <c r="N46" s="322" t="s">
        <v>495</v>
      </c>
      <c r="O46" s="322">
        <v>3.5260105546847997</v>
      </c>
      <c r="P46" s="322">
        <v>2.7115810613200484</v>
      </c>
      <c r="Q46" s="322">
        <v>0.30252753279839995</v>
      </c>
      <c r="R46" s="322">
        <v>0.23265044608958996</v>
      </c>
    </row>
    <row r="47" spans="2:30" ht="15.75" thickBot="1">
      <c r="B47" s="208" t="s">
        <v>376</v>
      </c>
      <c r="C47" s="209" t="s">
        <v>377</v>
      </c>
      <c r="M47" s="322" t="s">
        <v>237</v>
      </c>
      <c r="N47" s="322" t="s">
        <v>496</v>
      </c>
      <c r="O47" s="322">
        <v>13.251668353417523</v>
      </c>
      <c r="P47" s="322">
        <v>10.190829658827647</v>
      </c>
      <c r="Q47" s="322">
        <v>0.60957674425720598</v>
      </c>
      <c r="R47" s="322">
        <v>0.46877816430607172</v>
      </c>
    </row>
    <row r="48" spans="2:30">
      <c r="M48" s="322" t="s">
        <v>239</v>
      </c>
      <c r="N48" s="322" t="s">
        <v>497</v>
      </c>
      <c r="O48" s="322">
        <v>23.674674320490706</v>
      </c>
      <c r="P48" s="322">
        <v>18.206354610898583</v>
      </c>
      <c r="Q48" s="322">
        <v>1.0890350187425724</v>
      </c>
      <c r="R48" s="322">
        <v>0.83749231210133479</v>
      </c>
      <c r="W48" s="323"/>
      <c r="X48" s="323"/>
      <c r="Y48" s="323"/>
      <c r="Z48" s="323"/>
      <c r="AA48" s="323"/>
      <c r="AB48" s="323"/>
    </row>
    <row r="49" spans="13:28">
      <c r="M49" s="322" t="s">
        <v>233</v>
      </c>
      <c r="N49" s="322" t="s">
        <v>498</v>
      </c>
      <c r="O49" s="322">
        <v>3.0525377250234458</v>
      </c>
      <c r="P49" s="322">
        <v>2.3474698546041322</v>
      </c>
      <c r="Q49" s="322">
        <v>0.13736419762605509</v>
      </c>
      <c r="R49" s="322">
        <v>0.10563614345718594</v>
      </c>
      <c r="W49" s="323"/>
      <c r="X49" s="323"/>
      <c r="Y49" s="323"/>
      <c r="Z49" s="323"/>
      <c r="AA49" s="323"/>
      <c r="AB49" s="323"/>
    </row>
    <row r="50" spans="13:28">
      <c r="W50" s="323"/>
      <c r="X50" s="323"/>
      <c r="Y50" s="323"/>
      <c r="Z50" s="323"/>
      <c r="AA50" s="323"/>
      <c r="AB50" s="323"/>
    </row>
    <row r="51" spans="13:28">
      <c r="W51" s="323"/>
      <c r="X51" s="323"/>
      <c r="Y51" s="323"/>
      <c r="Z51" s="323"/>
      <c r="AA51" s="323"/>
      <c r="AB51" s="3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49"/>
  <sheetViews>
    <sheetView topLeftCell="A4" zoomScaleNormal="100" workbookViewId="0">
      <pane xSplit="2" ySplit="2" topLeftCell="P6" activePane="bottomRight" state="frozen"/>
      <selection activeCell="A4" sqref="A4"/>
      <selection pane="topRight" activeCell="C4" sqref="C4"/>
      <selection pane="bottomLeft" activeCell="A6" sqref="A6"/>
      <selection pane="bottomRight" activeCell="AI6" sqref="AI6:AI73"/>
    </sheetView>
  </sheetViews>
  <sheetFormatPr defaultColWidth="11.42578125" defaultRowHeight="12.75"/>
  <cols>
    <col min="1" max="1" width="12.140625" style="2" customWidth="1"/>
    <col min="2" max="2" width="17.7109375" style="2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32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ht="38.25">
      <c r="B4" s="1" t="s">
        <v>0</v>
      </c>
      <c r="C4" s="46" t="s">
        <v>120</v>
      </c>
      <c r="D4" s="1" t="s">
        <v>2</v>
      </c>
      <c r="E4" s="1" t="s">
        <v>3</v>
      </c>
      <c r="F4" s="94" t="s">
        <v>42</v>
      </c>
      <c r="G4" s="94" t="s">
        <v>108</v>
      </c>
      <c r="H4" s="94" t="s">
        <v>109</v>
      </c>
      <c r="I4" s="94" t="s">
        <v>110</v>
      </c>
      <c r="J4" s="94" t="s">
        <v>575</v>
      </c>
      <c r="K4" s="94" t="s">
        <v>51</v>
      </c>
      <c r="L4" s="94" t="s">
        <v>53</v>
      </c>
      <c r="M4" s="94" t="s">
        <v>36</v>
      </c>
      <c r="N4" s="94" t="s">
        <v>60</v>
      </c>
      <c r="O4" s="94" t="s">
        <v>112</v>
      </c>
      <c r="P4" s="94" t="s">
        <v>111</v>
      </c>
      <c r="Q4" s="94" t="s">
        <v>290</v>
      </c>
      <c r="R4" s="94" t="s">
        <v>4</v>
      </c>
      <c r="S4" s="94" t="s">
        <v>113</v>
      </c>
      <c r="T4" s="94" t="s">
        <v>114</v>
      </c>
      <c r="U4" s="94" t="s">
        <v>115</v>
      </c>
      <c r="V4" s="94" t="s">
        <v>291</v>
      </c>
      <c r="W4" s="94" t="s">
        <v>35</v>
      </c>
      <c r="X4" s="94" t="s">
        <v>116</v>
      </c>
      <c r="Y4" s="94" t="s">
        <v>117</v>
      </c>
      <c r="Z4" s="94" t="s">
        <v>118</v>
      </c>
      <c r="AA4" s="418" t="s">
        <v>46</v>
      </c>
      <c r="AB4" s="94" t="s">
        <v>599</v>
      </c>
      <c r="AC4" s="94" t="s">
        <v>600</v>
      </c>
      <c r="AD4" s="94" t="s">
        <v>601</v>
      </c>
      <c r="AE4" s="94" t="s">
        <v>119</v>
      </c>
      <c r="AF4" s="94" t="s">
        <v>45</v>
      </c>
      <c r="AG4"/>
    </row>
    <row r="5" spans="1:33" ht="25.5">
      <c r="B5" s="78" t="s">
        <v>39</v>
      </c>
      <c r="C5" s="78" t="s">
        <v>29</v>
      </c>
      <c r="D5" s="78" t="s">
        <v>33</v>
      </c>
      <c r="E5" s="78" t="s">
        <v>34</v>
      </c>
      <c r="F5" s="79"/>
      <c r="G5" s="79"/>
      <c r="H5" s="79"/>
      <c r="I5" s="79"/>
      <c r="J5" s="79"/>
      <c r="K5" s="79"/>
      <c r="L5" s="79"/>
      <c r="M5" s="79" t="s">
        <v>47</v>
      </c>
      <c r="N5" s="79" t="s">
        <v>47</v>
      </c>
      <c r="O5" s="79" t="s">
        <v>47</v>
      </c>
      <c r="P5" s="79" t="s">
        <v>47</v>
      </c>
      <c r="Q5" s="79" t="s">
        <v>47</v>
      </c>
      <c r="R5" s="79" t="s">
        <v>47</v>
      </c>
      <c r="S5" s="79" t="s">
        <v>47</v>
      </c>
      <c r="T5" s="79" t="s">
        <v>47</v>
      </c>
      <c r="U5" s="79" t="s">
        <v>47</v>
      </c>
      <c r="V5" s="79"/>
      <c r="W5" s="79" t="s">
        <v>49</v>
      </c>
      <c r="X5" s="79" t="s">
        <v>49</v>
      </c>
      <c r="Y5" s="79" t="s">
        <v>49</v>
      </c>
      <c r="Z5" s="79" t="s">
        <v>49</v>
      </c>
      <c r="AA5" s="79" t="s">
        <v>48</v>
      </c>
      <c r="AB5" s="79"/>
      <c r="AC5" s="79"/>
      <c r="AD5" s="79"/>
      <c r="AE5" s="79"/>
      <c r="AF5" s="79"/>
      <c r="AG5"/>
    </row>
    <row r="6" spans="1:33">
      <c r="B6" s="54" t="str">
        <f>B89</f>
        <v>SCOAH2GC01</v>
      </c>
      <c r="C6" s="54" t="str">
        <f>C89</f>
        <v>H2 Production-Coal Gasification, large size, centralized</v>
      </c>
      <c r="D6" s="17" t="s">
        <v>437</v>
      </c>
      <c r="E6" s="26"/>
      <c r="F6" s="18">
        <f>IF('INPUT-Data(HP)'!J3=0,"",'INPUT-Data(HP)'!J3)</f>
        <v>1.77</v>
      </c>
      <c r="G6" s="339">
        <f>F6</f>
        <v>1.77</v>
      </c>
      <c r="H6" s="18">
        <f>IF('INPUT-Data(HP)'!L3=0,"",'INPUT-Data(HP)'!L3)</f>
        <v>1.77</v>
      </c>
      <c r="I6" s="18">
        <f>IF('INPUT-Data(HP)'!M3=0,"",'INPUT-Data(HP)'!M3)</f>
        <v>1.62</v>
      </c>
      <c r="J6" s="18"/>
      <c r="K6" s="18"/>
      <c r="L6" s="33">
        <f>'INPUT-Data(HP)'!U3</f>
        <v>0.9</v>
      </c>
      <c r="M6" s="97">
        <f>IF('INPUT-Data(HP)'!V3=0,"",'INPUT-Data(HP)'!V3)</f>
        <v>462.45995662093873</v>
      </c>
      <c r="N6" s="338">
        <f t="shared" ref="N6" si="0">M6</f>
        <v>462.45995662093873</v>
      </c>
      <c r="O6" s="97">
        <f>IF('INPUT-Data(HP)'!X3=0,"",'INPUT-Data(HP)'!X3)</f>
        <v>462.45995662093873</v>
      </c>
      <c r="P6" s="97">
        <f>IF('INPUT-Data(HP)'!Y3=0,"",'INPUT-Data(HP)'!Y3)</f>
        <v>350.94478977617331</v>
      </c>
      <c r="Q6" s="97"/>
      <c r="R6" s="97">
        <f>IF('INPUT-Data(HP)'!Z3=0,"",'INPUT-Data(HP)'!Z3)</f>
        <v>27.496141628880871</v>
      </c>
      <c r="S6" s="338">
        <f t="shared" ref="S6" si="1">R6</f>
        <v>27.496141628880871</v>
      </c>
      <c r="T6" s="97">
        <f>IF('INPUT-Data(HP)'!AB3=0,"",'INPUT-Data(HP)'!AB3)</f>
        <v>27.496141628880871</v>
      </c>
      <c r="U6" s="97">
        <f>IF('INPUT-Data(HP)'!AC3=0,"",'INPUT-Data(HP)'!AC3)</f>
        <v>22.412361963898917</v>
      </c>
      <c r="V6" s="97"/>
      <c r="W6" s="36">
        <f>IF('INPUT-Data(HP)'!AD3=0,"",'INPUT-Data(HP)'!AD3)</f>
        <v>0.16293898916967511</v>
      </c>
      <c r="X6" s="36" t="str">
        <f>IF('INPUT-Data(HP)'!AE3=0,"",'INPUT-Data(HP)'!AE3)</f>
        <v/>
      </c>
      <c r="Y6" s="36">
        <f>IF('INPUT-Data(HP)'!AF3=0,"",'INPUT-Data(HP)'!AF3)</f>
        <v>0.16293898916967511</v>
      </c>
      <c r="Z6" s="36">
        <f>IF('INPUT-Data(HP)'!AG3=0,"",'INPUT-Data(HP)'!AG3)</f>
        <v>0.12364873646209389</v>
      </c>
      <c r="AA6" s="30">
        <f>IF('INPUT-Data(HP)'!AH3=0,"",'INPUT-Data(HP)'!AH3)</f>
        <v>20</v>
      </c>
      <c r="AB6" s="30"/>
      <c r="AC6" s="30"/>
      <c r="AD6" s="30"/>
      <c r="AE6" s="30">
        <f>IF('INPUT-Data(HP)'!AI3=0,"",'INPUT-Data(HP)'!AI3)</f>
        <v>2023</v>
      </c>
      <c r="AF6" s="36">
        <v>31.536000000000001</v>
      </c>
      <c r="AG6"/>
    </row>
    <row r="7" spans="1:33">
      <c r="B7" s="17"/>
      <c r="C7" s="17"/>
      <c r="D7" s="17" t="s">
        <v>436</v>
      </c>
      <c r="E7" s="26"/>
      <c r="F7" s="18">
        <f>IF('INPUT-Data(HP)'!N3=0,"",'INPUT-Data(HP)'!N3)</f>
        <v>7.0000000000000007E-2</v>
      </c>
      <c r="G7" s="339">
        <f>F7</f>
        <v>7.0000000000000007E-2</v>
      </c>
      <c r="H7" s="18">
        <f>IF('INPUT-Data(HP)'!P3=0,"",'INPUT-Data(HP)'!P3)</f>
        <v>7.0000000000000007E-2</v>
      </c>
      <c r="I7" s="36">
        <f>IF('INPUT-Data(HP)'!Q3=0,"",'INPUT-Data(HP)'!Q3)</f>
        <v>2.3E-2</v>
      </c>
      <c r="J7" s="36"/>
      <c r="K7" s="18"/>
      <c r="L7" s="17"/>
      <c r="M7" s="107"/>
      <c r="N7" s="107"/>
      <c r="O7" s="107"/>
      <c r="P7" s="108"/>
      <c r="Q7" s="108"/>
      <c r="R7" s="107"/>
      <c r="S7" s="107"/>
      <c r="T7" s="107"/>
      <c r="U7" s="108"/>
      <c r="V7" s="108"/>
      <c r="W7" s="17"/>
      <c r="X7" s="17"/>
      <c r="Y7" s="35"/>
      <c r="Z7" s="17"/>
      <c r="AA7" s="17"/>
      <c r="AB7" s="17"/>
      <c r="AC7" s="17"/>
      <c r="AD7" s="17"/>
      <c r="AE7" s="35"/>
      <c r="AF7" s="17"/>
      <c r="AG7"/>
    </row>
    <row r="8" spans="1:33">
      <c r="B8" s="17"/>
      <c r="C8" s="17"/>
      <c r="D8" s="17"/>
      <c r="E8" s="50" t="s">
        <v>271</v>
      </c>
      <c r="F8" s="18"/>
      <c r="G8" s="18"/>
      <c r="H8" s="18"/>
      <c r="I8" s="18"/>
      <c r="J8" s="18"/>
      <c r="K8" s="18">
        <f>'INPUT-Data(HP)'!R3</f>
        <v>1</v>
      </c>
      <c r="L8" s="17"/>
      <c r="M8" s="107"/>
      <c r="N8" s="107"/>
      <c r="O8" s="107"/>
      <c r="P8" s="108"/>
      <c r="Q8" s="108"/>
      <c r="R8" s="107"/>
      <c r="S8" s="107"/>
      <c r="T8" s="107"/>
      <c r="U8" s="108"/>
      <c r="V8" s="108"/>
      <c r="W8" s="17"/>
      <c r="X8" s="17"/>
      <c r="Y8" s="35"/>
      <c r="Z8" s="17"/>
      <c r="AA8" s="17"/>
      <c r="AB8" s="17"/>
      <c r="AC8" s="17"/>
      <c r="AD8" s="17"/>
      <c r="AE8" s="35"/>
      <c r="AF8" s="17"/>
      <c r="AG8"/>
    </row>
    <row r="9" spans="1:33">
      <c r="B9" s="71" t="str">
        <f>B90</f>
        <v>SCOAH2GC02</v>
      </c>
      <c r="C9" s="71" t="str">
        <f>C90</f>
        <v>H2 Production-Coal Gasification, medium size, centralized</v>
      </c>
      <c r="D9" s="72" t="s">
        <v>437</v>
      </c>
      <c r="E9" s="72"/>
      <c r="F9" s="73">
        <f>IF('INPUT-Data(HP)'!J4=0,"",'INPUT-Data(HP)'!J4)</f>
        <v>1.75</v>
      </c>
      <c r="G9" s="339">
        <f>F9</f>
        <v>1.75</v>
      </c>
      <c r="H9" s="73" t="str">
        <f>IF('INPUT-Data(HP)'!L4=0,"",'INPUT-Data(HP)'!L4)</f>
        <v/>
      </c>
      <c r="I9" s="73" t="str">
        <f>IF('INPUT-Data(HP)'!M4=0,"",'INPUT-Data(HP)'!M4)</f>
        <v/>
      </c>
      <c r="J9" s="73"/>
      <c r="K9" s="73"/>
      <c r="L9" s="74">
        <f>'INPUT-Data(HP)'!U4</f>
        <v>0.8</v>
      </c>
      <c r="M9" s="109">
        <f>IF('INPUT-Data(HP)'!V4=0,"",'INPUT-Data(HP)'!V4)</f>
        <v>573.36774238267151</v>
      </c>
      <c r="N9" s="109">
        <f>IF('INPUT-Data(HP)'!W4=0,"",'INPUT-Data(HP)'!W4)</f>
        <v>573.36774238267151</v>
      </c>
      <c r="O9" s="109" t="str">
        <f>IF('INPUT-Data(HP)'!X4=0,"",'INPUT-Data(HP)'!X4)</f>
        <v/>
      </c>
      <c r="P9" s="109" t="str">
        <f>IF('INPUT-Data(HP)'!Y4=0,"",'INPUT-Data(HP)'!Y4)</f>
        <v/>
      </c>
      <c r="Q9" s="109"/>
      <c r="R9" s="109">
        <f>IF('INPUT-Data(HP)'!Z4=0,"",'INPUT-Data(HP)'!Z4)</f>
        <v>14.334193559566787</v>
      </c>
      <c r="S9" s="338">
        <f t="shared" ref="S9" si="2">R9</f>
        <v>14.334193559566787</v>
      </c>
      <c r="T9" s="109" t="str">
        <f>IF('INPUT-Data(HP)'!AB4=0,"",'INPUT-Data(HP)'!AB4)</f>
        <v/>
      </c>
      <c r="U9" s="109" t="str">
        <f>IF('INPUT-Data(HP)'!AC4=0,"",'INPUT-Data(HP)'!AC4)</f>
        <v/>
      </c>
      <c r="V9" s="109"/>
      <c r="W9" s="75">
        <f>IF('INPUT-Data(HP)'!AD4=0,"",'INPUT-Data(HP)'!AD4)</f>
        <v>0.22148916967509027</v>
      </c>
      <c r="X9" s="75" t="str">
        <f>IF('INPUT-Data(HP)'!AE4=0,"",'INPUT-Data(HP)'!AE4)</f>
        <v/>
      </c>
      <c r="Y9" s="75" t="str">
        <f>IF('INPUT-Data(HP)'!AF4=0,"",'INPUT-Data(HP)'!AF4)</f>
        <v/>
      </c>
      <c r="Z9" s="75" t="str">
        <f>IF('INPUT-Data(HP)'!AG4=0,"",'INPUT-Data(HP)'!AG4)</f>
        <v/>
      </c>
      <c r="AA9" s="76">
        <f>IF('INPUT-Data(HP)'!AH4=0,"",'INPUT-Data(HP)'!AH4)</f>
        <v>20</v>
      </c>
      <c r="AB9" s="76"/>
      <c r="AC9" s="76"/>
      <c r="AD9" s="76"/>
      <c r="AE9" s="76">
        <f>IF('INPUT-Data(HP)'!AI4=0,"",'INPUT-Data(HP)'!AI4)</f>
        <v>2023</v>
      </c>
      <c r="AF9" s="75">
        <v>31.536000000000001</v>
      </c>
      <c r="AG9"/>
    </row>
    <row r="10" spans="1:33">
      <c r="B10" s="71"/>
      <c r="C10" s="71"/>
      <c r="D10" s="72"/>
      <c r="E10" s="157" t="s">
        <v>271</v>
      </c>
      <c r="F10" s="72"/>
      <c r="G10" s="75"/>
      <c r="H10" s="75"/>
      <c r="I10" s="75"/>
      <c r="J10" s="75"/>
      <c r="K10" s="73">
        <f>'INPUT-Data(HP)'!R4</f>
        <v>1</v>
      </c>
      <c r="L10" s="74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75"/>
      <c r="X10" s="75"/>
      <c r="Y10" s="75"/>
      <c r="Z10" s="75"/>
      <c r="AA10" s="76"/>
      <c r="AB10" s="76"/>
      <c r="AC10" s="76"/>
      <c r="AD10" s="76"/>
      <c r="AE10" s="76"/>
      <c r="AF10" s="75"/>
      <c r="AG10"/>
    </row>
    <row r="11" spans="1:33">
      <c r="B11" s="71"/>
      <c r="C11" s="71"/>
      <c r="D11" s="72"/>
      <c r="E11" s="77" t="s">
        <v>436</v>
      </c>
      <c r="F11" s="75"/>
      <c r="G11" s="75"/>
      <c r="H11" s="75"/>
      <c r="I11" s="75"/>
      <c r="J11" s="75"/>
      <c r="K11" s="75">
        <f>'INPUT-Data(HP)'!S4</f>
        <v>0.08</v>
      </c>
      <c r="L11" s="74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75"/>
      <c r="X11" s="75"/>
      <c r="Y11" s="75"/>
      <c r="Z11" s="75"/>
      <c r="AA11" s="76"/>
      <c r="AB11" s="76"/>
      <c r="AC11" s="76"/>
      <c r="AD11" s="76"/>
      <c r="AE11" s="76"/>
      <c r="AF11" s="75"/>
      <c r="AG11"/>
    </row>
    <row r="12" spans="1:33">
      <c r="B12" s="54" t="str">
        <f>B91</f>
        <v>SCOAH2GCC01</v>
      </c>
      <c r="C12" s="54" t="str">
        <f>C91</f>
        <v>H2 Production-Coal Gasification + Carbon Capture, big size, centralized</v>
      </c>
      <c r="D12" s="17" t="s">
        <v>437</v>
      </c>
      <c r="E12" s="26"/>
      <c r="F12" s="18">
        <f>IF('INPUT-Data(HP)'!J5=0,"",'INPUT-Data(HP)'!J5)</f>
        <v>1.77</v>
      </c>
      <c r="G12" s="339">
        <f t="shared" ref="G12:G13" si="3">F12</f>
        <v>1.77</v>
      </c>
      <c r="H12" s="18">
        <f>IF('INPUT-Data(HP)'!L5=0,"",'INPUT-Data(HP)'!L5)</f>
        <v>1.77</v>
      </c>
      <c r="I12" s="18">
        <f>IF('INPUT-Data(HP)'!M5=0,"",'INPUT-Data(HP)'!M5)</f>
        <v>1.62</v>
      </c>
      <c r="J12" s="18"/>
      <c r="K12" s="18"/>
      <c r="L12" s="33">
        <f>'INPUT-Data(HP)'!U5</f>
        <v>0.9</v>
      </c>
      <c r="M12" s="97">
        <f>IF('INPUT-Data(HP)'!V5=0,"",'INPUT-Data(HP)'!V5)</f>
        <v>570.96858710469314</v>
      </c>
      <c r="N12" s="97">
        <f>IF('INPUT-Data(HP)'!W5=0,"",'INPUT-Data(HP)'!W5)</f>
        <v>520.40411194223827</v>
      </c>
      <c r="O12" s="97">
        <f>IF('INPUT-Data(HP)'!X5=0,"",'INPUT-Data(HP)'!X5)</f>
        <v>520.40411194223827</v>
      </c>
      <c r="P12" s="97">
        <f>IF('INPUT-Data(HP)'!Y5=0,"",'INPUT-Data(HP)'!Y5)</f>
        <v>363.51757819494588</v>
      </c>
      <c r="Q12" s="97"/>
      <c r="R12" s="97">
        <f>IF('INPUT-Data(HP)'!Z5=0,"",'INPUT-Data(HP)'!Z5)</f>
        <v>40.998223104693146</v>
      </c>
      <c r="S12" s="338">
        <f t="shared" ref="S12" si="4">R12</f>
        <v>40.998223104693146</v>
      </c>
      <c r="T12" s="97">
        <f>IF('INPUT-Data(HP)'!AB5=0,"",'INPUT-Data(HP)'!AB5)</f>
        <v>40.998223104693146</v>
      </c>
      <c r="U12" s="97">
        <f>IF('INPUT-Data(HP)'!AC5=0,"",'INPUT-Data(HP)'!AC5)</f>
        <v>22.685683451263539</v>
      </c>
      <c r="V12" s="97"/>
      <c r="W12" s="36">
        <f>IF('INPUT-Data(HP)'!AD5=0,"",'INPUT-Data(HP)'!AD5)</f>
        <v>0.20116994584837547</v>
      </c>
      <c r="X12" s="36" t="str">
        <f>IF('INPUT-Data(HP)'!AE5=0,"",'INPUT-Data(HP)'!AE5)</f>
        <v/>
      </c>
      <c r="Y12" s="36">
        <f>IF('INPUT-Data(HP)'!AF5=0,"",'INPUT-Data(HP)'!AF5)</f>
        <v>0.20116994584837547</v>
      </c>
      <c r="Z12" s="36">
        <f>IF('INPUT-Data(HP)'!AG5=0,"",'INPUT-Data(HP)'!AG5)</f>
        <v>0.12807851985559568</v>
      </c>
      <c r="AA12" s="30">
        <f>IF('INPUT-Data(HP)'!AH5=0,"",'INPUT-Data(HP)'!AH5)</f>
        <v>20</v>
      </c>
      <c r="AB12" s="30"/>
      <c r="AC12" s="30"/>
      <c r="AD12" s="30"/>
      <c r="AE12" s="30">
        <f>IF('INPUT-Data(HP)'!AI5=0,"",'INPUT-Data(HP)'!AI5)</f>
        <v>2023</v>
      </c>
      <c r="AF12" s="36">
        <v>31.536000000000001</v>
      </c>
      <c r="AG12"/>
    </row>
    <row r="13" spans="1:33">
      <c r="B13" s="54"/>
      <c r="C13" s="54"/>
      <c r="D13" s="17" t="s">
        <v>436</v>
      </c>
      <c r="E13" s="26"/>
      <c r="F13" s="18">
        <f>IF('INPUT-Data(HP)'!N5=0,"",'INPUT-Data(HP)'!N5)</f>
        <v>0.111</v>
      </c>
      <c r="G13" s="339">
        <f t="shared" si="3"/>
        <v>0.111</v>
      </c>
      <c r="H13" s="18">
        <f>IF('INPUT-Data(HP)'!P5=0,"",'INPUT-Data(HP)'!P5)</f>
        <v>0.111</v>
      </c>
      <c r="I13" s="18">
        <f>IF('INPUT-Data(HP)'!Q5=0,"",'INPUT-Data(HP)'!Q5)</f>
        <v>2.3E-2</v>
      </c>
      <c r="J13" s="18"/>
      <c r="K13" s="18"/>
      <c r="L13" s="33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36"/>
      <c r="X13" s="36"/>
      <c r="Y13" s="36"/>
      <c r="Z13" s="36"/>
      <c r="AA13" s="30"/>
      <c r="AB13" s="30"/>
      <c r="AC13" s="30"/>
      <c r="AD13" s="30"/>
      <c r="AE13" s="30"/>
      <c r="AF13" s="17"/>
      <c r="AG13"/>
    </row>
    <row r="14" spans="1:33">
      <c r="B14" s="54"/>
      <c r="C14" s="54"/>
      <c r="D14" s="17"/>
      <c r="E14" s="50" t="s">
        <v>271</v>
      </c>
      <c r="F14" s="18"/>
      <c r="G14" s="18"/>
      <c r="H14" s="18"/>
      <c r="I14" s="18"/>
      <c r="J14" s="18"/>
      <c r="K14" s="18">
        <f>'INPUT-Data(HP)'!R5</f>
        <v>1</v>
      </c>
      <c r="L14" s="33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36"/>
      <c r="X14" s="36"/>
      <c r="Y14" s="36"/>
      <c r="Z14" s="36"/>
      <c r="AA14" s="30"/>
      <c r="AB14" s="30"/>
      <c r="AC14" s="30"/>
      <c r="AD14" s="30"/>
      <c r="AE14" s="30"/>
      <c r="AF14" s="17"/>
      <c r="AG14"/>
    </row>
    <row r="15" spans="1:33">
      <c r="B15" s="71" t="str">
        <f>B92</f>
        <v>SCOAH2GCC02</v>
      </c>
      <c r="C15" s="71" t="str">
        <f>C92</f>
        <v>H2 Production-Coal Gasification + Carbon Capture, medium size, centralized</v>
      </c>
      <c r="D15" s="72" t="s">
        <v>437</v>
      </c>
      <c r="E15" s="77"/>
      <c r="F15" s="73">
        <f>IF('INPUT-Data(HP)'!J6=0,"",'INPUT-Data(HP)'!J6)</f>
        <v>1.72</v>
      </c>
      <c r="G15" s="339">
        <f>F15</f>
        <v>1.72</v>
      </c>
      <c r="H15" s="73" t="str">
        <f>IF('INPUT-Data(HP)'!L6=0,"",'INPUT-Data(HP)'!L6)</f>
        <v/>
      </c>
      <c r="I15" s="73" t="str">
        <f>IF('INPUT-Data(HP)'!M6=0,"",'INPUT-Data(HP)'!M6)</f>
        <v/>
      </c>
      <c r="J15" s="73"/>
      <c r="K15" s="73"/>
      <c r="L15" s="74">
        <f>'INPUT-Data(HP)'!U6</f>
        <v>0.8</v>
      </c>
      <c r="M15" s="109">
        <f>IF('INPUT-Data(HP)'!V6=0,"",'INPUT-Data(HP)'!V6)</f>
        <v>660.83061833935028</v>
      </c>
      <c r="N15" s="109">
        <f>IF('INPUT-Data(HP)'!W6=0,"",'INPUT-Data(HP)'!W6)</f>
        <v>660.83061833935028</v>
      </c>
      <c r="O15" s="109" t="str">
        <f>IF('INPUT-Data(HP)'!X6=0,"",'INPUT-Data(HP)'!X6)</f>
        <v/>
      </c>
      <c r="P15" s="109" t="str">
        <f>IF('INPUT-Data(HP)'!Y6=0,"",'INPUT-Data(HP)'!Y6)</f>
        <v/>
      </c>
      <c r="Q15" s="109"/>
      <c r="R15" s="109">
        <f>IF('INPUT-Data(HP)'!Z6=0,"",'INPUT-Data(HP)'!Z6)</f>
        <v>27.453624953068594</v>
      </c>
      <c r="S15" s="338">
        <f t="shared" ref="S15" si="5">R15</f>
        <v>27.453624953068594</v>
      </c>
      <c r="T15" s="109" t="str">
        <f>IF('INPUT-Data(HP)'!AB6=0,"",'INPUT-Data(HP)'!AB6)</f>
        <v/>
      </c>
      <c r="U15" s="109" t="str">
        <f>IF('INPUT-Data(HP)'!AC6=0,"",'INPUT-Data(HP)'!AC6)</f>
        <v/>
      </c>
      <c r="V15" s="109"/>
      <c r="W15" s="75">
        <f>IF('INPUT-Data(HP)'!AD6=0,"",'INPUT-Data(HP)'!AD6)</f>
        <v>0.26193501805054153</v>
      </c>
      <c r="X15" s="75" t="str">
        <f>IF('INPUT-Data(HP)'!AE6=0,"",'INPUT-Data(HP)'!AE6)</f>
        <v/>
      </c>
      <c r="Y15" s="75" t="str">
        <f>IF('INPUT-Data(HP)'!AF6=0,"",'INPUT-Data(HP)'!AF6)</f>
        <v/>
      </c>
      <c r="Z15" s="75" t="str">
        <f>IF('INPUT-Data(HP)'!AG6=0,"",'INPUT-Data(HP)'!AG6)</f>
        <v/>
      </c>
      <c r="AA15" s="76">
        <f>IF('INPUT-Data(HP)'!AH6=0,"",'INPUT-Data(HP)'!AH6)</f>
        <v>20</v>
      </c>
      <c r="AB15" s="76"/>
      <c r="AC15" s="76"/>
      <c r="AD15" s="76"/>
      <c r="AE15" s="76">
        <f>IF('INPUT-Data(HP)'!AI6=0,"",'INPUT-Data(HP)'!AI6)</f>
        <v>2023</v>
      </c>
      <c r="AF15" s="75">
        <v>31.536000000000001</v>
      </c>
      <c r="AG15"/>
    </row>
    <row r="16" spans="1:33">
      <c r="B16" s="71"/>
      <c r="C16" s="71"/>
      <c r="D16" s="72"/>
      <c r="E16" s="77" t="s">
        <v>271</v>
      </c>
      <c r="F16" s="81"/>
      <c r="G16" s="81"/>
      <c r="H16" s="81"/>
      <c r="I16" s="81"/>
      <c r="J16" s="81"/>
      <c r="K16" s="73">
        <f>'INPUT-Data(HP)'!R6</f>
        <v>1</v>
      </c>
      <c r="L16" s="74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75"/>
      <c r="X16" s="75"/>
      <c r="Y16" s="75"/>
      <c r="Z16" s="75"/>
      <c r="AA16" s="76"/>
      <c r="AB16" s="76"/>
      <c r="AC16" s="76"/>
      <c r="AD16" s="76"/>
      <c r="AE16" s="76"/>
      <c r="AF16" s="75"/>
      <c r="AG16"/>
    </row>
    <row r="17" spans="2:33">
      <c r="B17" s="71"/>
      <c r="C17" s="71"/>
      <c r="D17" s="72"/>
      <c r="E17" s="77" t="s">
        <v>436</v>
      </c>
      <c r="F17" s="73"/>
      <c r="G17" s="73"/>
      <c r="H17" s="73"/>
      <c r="I17" s="73"/>
      <c r="J17" s="73"/>
      <c r="K17" s="75">
        <f>'INPUT-Data(HP)'!S6</f>
        <v>0.08</v>
      </c>
      <c r="L17" s="74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75"/>
      <c r="X17" s="75"/>
      <c r="Y17" s="75"/>
      <c r="Z17" s="75"/>
      <c r="AA17" s="76"/>
      <c r="AB17" s="76"/>
      <c r="AC17" s="76"/>
      <c r="AD17" s="76"/>
      <c r="AE17" s="76"/>
      <c r="AF17" s="75"/>
      <c r="AG17"/>
    </row>
    <row r="18" spans="2:33">
      <c r="B18" s="54" t="str">
        <f>B93</f>
        <v>SBIOH2GD01</v>
      </c>
      <c r="C18" s="54" t="str">
        <f>C93</f>
        <v>H2 Production-Biomass Gasification, small size, decentralized</v>
      </c>
      <c r="D18" s="17" t="s">
        <v>438</v>
      </c>
      <c r="E18" s="26"/>
      <c r="F18" s="18">
        <f>IF('INPUT-Data(HP)'!J7=0,"",'INPUT-Data(HP)'!J7)</f>
        <v>3</v>
      </c>
      <c r="G18" s="339">
        <f t="shared" ref="G18:G19" si="6">F18</f>
        <v>3</v>
      </c>
      <c r="H18" s="18" t="str">
        <f>IF('INPUT-Data(HP)'!L7=0,"",'INPUT-Data(HP)'!L7)</f>
        <v/>
      </c>
      <c r="I18" s="18" t="str">
        <f>IF('INPUT-Data(HP)'!M7=0,"",'INPUT-Data(HP)'!M7)</f>
        <v/>
      </c>
      <c r="J18" s="18"/>
      <c r="K18" s="18"/>
      <c r="L18" s="33">
        <f>'INPUT-Data(HP)'!U7</f>
        <v>0.71</v>
      </c>
      <c r="M18" s="97">
        <f>IF('INPUT-Data(HP)'!V7=0,"",'INPUT-Data(HP)'!V7)</f>
        <v>4101.0978107436822</v>
      </c>
      <c r="N18" s="97">
        <f>IF('INPUT-Data(HP)'!W7=0,"",'INPUT-Data(HP)'!W7)</f>
        <v>3099.1103487812275</v>
      </c>
      <c r="O18" s="97" t="str">
        <f>IF('INPUT-Data(HP)'!X7=0,"",'INPUT-Data(HP)'!X7)</f>
        <v/>
      </c>
      <c r="P18" s="97" t="str">
        <f>IF('INPUT-Data(HP)'!Y7=0,"",'INPUT-Data(HP)'!Y7)</f>
        <v/>
      </c>
      <c r="Q18" s="97"/>
      <c r="R18" s="97">
        <f>IF('INPUT-Data(HP)'!Z7=0,"",'INPUT-Data(HP)'!Z7)</f>
        <v>81.935708101083037</v>
      </c>
      <c r="S18" s="338">
        <f t="shared" ref="S18" si="7">R18</f>
        <v>81.935708101083037</v>
      </c>
      <c r="T18" s="97" t="str">
        <f>IF('INPUT-Data(HP)'!AB7=0,"",'INPUT-Data(HP)'!AB7)</f>
        <v/>
      </c>
      <c r="U18" s="97" t="str">
        <f>IF('INPUT-Data(HP)'!AC7=0,"",'INPUT-Data(HP)'!AC7)</f>
        <v/>
      </c>
      <c r="V18" s="97"/>
      <c r="W18" s="36">
        <f>IF('INPUT-Data(HP)'!AD7=0,"",'INPUT-Data(HP)'!AD7)</f>
        <v>1.8316191335740073</v>
      </c>
      <c r="X18" s="36" t="str">
        <f>IF('INPUT-Data(HP)'!AE7=0,"",'INPUT-Data(HP)'!AE7)</f>
        <v/>
      </c>
      <c r="Y18" s="36" t="str">
        <f>IF('INPUT-Data(HP)'!AF7=0,"",'INPUT-Data(HP)'!AF7)</f>
        <v/>
      </c>
      <c r="Z18" s="36" t="str">
        <f>IF('INPUT-Data(HP)'!AG7=0,"",'INPUT-Data(HP)'!AG7)</f>
        <v/>
      </c>
      <c r="AA18" s="30">
        <f>IF('INPUT-Data(HP)'!AH7=0,"",'INPUT-Data(HP)'!AH7)</f>
        <v>20</v>
      </c>
      <c r="AB18" s="30"/>
      <c r="AC18" s="30"/>
      <c r="AD18" s="30"/>
      <c r="AE18" s="30">
        <f>IF('INPUT-Data(HP)'!AI7=0,"",'INPUT-Data(HP)'!AI7)</f>
        <v>2023</v>
      </c>
      <c r="AF18" s="36">
        <v>31.536000000000001</v>
      </c>
      <c r="AG18"/>
    </row>
    <row r="19" spans="2:33">
      <c r="B19" s="54"/>
      <c r="C19" s="54"/>
      <c r="D19" s="17" t="s">
        <v>516</v>
      </c>
      <c r="E19" s="26"/>
      <c r="F19" s="18">
        <f>IF('INPUT-Data(HP)'!N7=0,"",'INPUT-Data(HP)'!N7)</f>
        <v>0.2</v>
      </c>
      <c r="G19" s="339">
        <f t="shared" si="6"/>
        <v>0.2</v>
      </c>
      <c r="H19" s="18" t="str">
        <f>IF('INPUT-Data(HP)'!P7=0,"",'INPUT-Data(HP)'!P7)</f>
        <v/>
      </c>
      <c r="I19" s="18" t="str">
        <f>IF('INPUT-Data(HP)'!Q7=0,"",'INPUT-Data(HP)'!Q7)</f>
        <v/>
      </c>
      <c r="J19" s="18"/>
      <c r="K19" s="18"/>
      <c r="L19" s="33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36"/>
      <c r="X19" s="36"/>
      <c r="Y19" s="36"/>
      <c r="Z19" s="36"/>
      <c r="AA19" s="30"/>
      <c r="AB19" s="30"/>
      <c r="AC19" s="30"/>
      <c r="AD19" s="30"/>
      <c r="AE19" s="30"/>
      <c r="AF19" s="17"/>
      <c r="AG19"/>
    </row>
    <row r="20" spans="2:33">
      <c r="B20" s="54"/>
      <c r="C20" s="54"/>
      <c r="D20" s="17"/>
      <c r="E20" s="50" t="s">
        <v>272</v>
      </c>
      <c r="G20" s="18"/>
      <c r="H20" s="18"/>
      <c r="I20" s="18"/>
      <c r="J20" s="18"/>
      <c r="K20" s="18">
        <f>'INPUT-Data(HP)'!R7</f>
        <v>1</v>
      </c>
      <c r="L20" s="33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36"/>
      <c r="X20" s="36"/>
      <c r="Y20" s="36"/>
      <c r="Z20" s="36"/>
      <c r="AA20" s="30"/>
      <c r="AB20" s="30"/>
      <c r="AC20" s="30"/>
      <c r="AD20" s="30"/>
      <c r="AE20" s="30"/>
      <c r="AF20" s="17"/>
      <c r="AG20"/>
    </row>
    <row r="21" spans="2:33">
      <c r="B21" s="71" t="str">
        <f>B94</f>
        <v>SBIOH2GC01</v>
      </c>
      <c r="C21" s="71" t="str">
        <f>C94</f>
        <v>H2 Production-Biomass Gasification, medium size, centralized</v>
      </c>
      <c r="D21" s="72" t="s">
        <v>438</v>
      </c>
      <c r="E21" s="77"/>
      <c r="F21" s="73">
        <f>IF('INPUT-Data(HP)'!J8=0,"",'INPUT-Data(HP)'!J8)</f>
        <v>2.78</v>
      </c>
      <c r="G21" s="73">
        <f>IF('INPUT-Data(HP)'!K8=0,"",'INPUT-Data(HP)'!K8)</f>
        <v>1.804</v>
      </c>
      <c r="H21" s="73" t="str">
        <f>IF('INPUT-Data(HP)'!L8=0,"",'INPUT-Data(HP)'!L8)</f>
        <v/>
      </c>
      <c r="I21" s="73" t="str">
        <f>IF('INPUT-Data(HP)'!M8=0,"",'INPUT-Data(HP)'!M8)</f>
        <v/>
      </c>
      <c r="J21" s="73"/>
      <c r="K21" s="73"/>
      <c r="L21" s="74">
        <f>'INPUT-Data(HP)'!U8</f>
        <v>0.9</v>
      </c>
      <c r="M21" s="109">
        <f>IF('INPUT-Data(HP)'!V8=0,"",'INPUT-Data(HP)'!V8)</f>
        <v>2637.5523530685923</v>
      </c>
      <c r="N21" s="109">
        <f>IF('INPUT-Data(HP)'!W8=0,"",'INPUT-Data(HP)'!W8)</f>
        <v>1290.6240633357402</v>
      </c>
      <c r="O21" s="109" t="str">
        <f>IF('INPUT-Data(HP)'!X8=0,"",'INPUT-Data(HP)'!X8)</f>
        <v/>
      </c>
      <c r="P21" s="109" t="str">
        <f>IF('INPUT-Data(HP)'!Y8=0,"",'INPUT-Data(HP)'!Y8)</f>
        <v/>
      </c>
      <c r="Q21" s="109"/>
      <c r="R21" s="109">
        <f>IF('INPUT-Data(HP)'!Z8=0,"",'INPUT-Data(HP)'!Z8)</f>
        <v>131.7409569097473</v>
      </c>
      <c r="S21" s="109">
        <f>IF('INPUT-Data(HP)'!AA8=0,"",'INPUT-Data(HP)'!AA8)</f>
        <v>64.503871018050546</v>
      </c>
      <c r="T21" s="109" t="str">
        <f>IF('INPUT-Data(HP)'!AB8=0,"",'INPUT-Data(HP)'!AB8)</f>
        <v/>
      </c>
      <c r="U21" s="109" t="str">
        <f>IF('INPUT-Data(HP)'!AC8=0,"",'INPUT-Data(HP)'!AC8)</f>
        <v/>
      </c>
      <c r="V21" s="109"/>
      <c r="W21" s="75">
        <f>IF('INPUT-Data(HP)'!AD8=0,"",'INPUT-Data(HP)'!AD8)</f>
        <v>0.92929151624548734</v>
      </c>
      <c r="X21" s="75">
        <f>IF('INPUT-Data(HP)'!AE8=0,"",'INPUT-Data(HP)'!AE8)</f>
        <v>0.45472689530685922</v>
      </c>
      <c r="Y21" s="75" t="str">
        <f>IF('INPUT-Data(HP)'!AF8=0,"",'INPUT-Data(HP)'!AF8)</f>
        <v/>
      </c>
      <c r="Z21" s="75" t="str">
        <f>IF('INPUT-Data(HP)'!AG8=0,"",'INPUT-Data(HP)'!AG8)</f>
        <v/>
      </c>
      <c r="AA21" s="76">
        <f>IF('INPUT-Data(HP)'!AH8=0,"",'INPUT-Data(HP)'!AH8)</f>
        <v>20</v>
      </c>
      <c r="AB21" s="76"/>
      <c r="AC21" s="76"/>
      <c r="AD21" s="76"/>
      <c r="AE21" s="76">
        <f>IF('INPUT-Data(HP)'!AI8=0,"",'INPUT-Data(HP)'!AI8)</f>
        <v>2023</v>
      </c>
      <c r="AF21" s="75">
        <v>31.536000000000001</v>
      </c>
      <c r="AG21"/>
    </row>
    <row r="22" spans="2:33">
      <c r="B22" s="71"/>
      <c r="C22" s="71"/>
      <c r="D22" s="72" t="s">
        <v>436</v>
      </c>
      <c r="E22" s="77"/>
      <c r="F22" s="75">
        <f>IF('INPUT-Data(HP)'!N8=0,"",'INPUT-Data(HP)'!N8)</f>
        <v>0.19500000000000001</v>
      </c>
      <c r="G22" s="75">
        <f>IF('INPUT-Data(HP)'!O8=0,"",'INPUT-Data(HP)'!O8)</f>
        <v>9.7000000000000003E-2</v>
      </c>
      <c r="H22" s="73" t="str">
        <f>IF('INPUT-Data(HP)'!P8=0,"",'INPUT-Data(HP)'!P8)</f>
        <v/>
      </c>
      <c r="I22" s="73" t="str">
        <f>IF('INPUT-Data(HP)'!Q8=0,"",'INPUT-Data(HP)'!Q8)</f>
        <v/>
      </c>
      <c r="J22" s="73"/>
      <c r="K22" s="73"/>
      <c r="L22" s="74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75"/>
      <c r="X22" s="75"/>
      <c r="Y22" s="75"/>
      <c r="Z22" s="75"/>
      <c r="AA22" s="76"/>
      <c r="AB22" s="76"/>
      <c r="AC22" s="76"/>
      <c r="AD22" s="76"/>
      <c r="AE22" s="76"/>
      <c r="AF22" s="75"/>
      <c r="AG22"/>
    </row>
    <row r="23" spans="2:33">
      <c r="B23" s="71"/>
      <c r="C23" s="71"/>
      <c r="D23" s="72"/>
      <c r="E23" s="157" t="s">
        <v>274</v>
      </c>
      <c r="F23" s="81"/>
      <c r="G23" s="81"/>
      <c r="H23" s="81"/>
      <c r="I23" s="81"/>
      <c r="J23" s="81"/>
      <c r="K23" s="73">
        <f>'INPUT-Data(HP)'!R8</f>
        <v>1</v>
      </c>
      <c r="L23" s="74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75"/>
      <c r="X23" s="75"/>
      <c r="Y23" s="75"/>
      <c r="Z23" s="75"/>
      <c r="AA23" s="76"/>
      <c r="AB23" s="76"/>
      <c r="AC23" s="76"/>
      <c r="AD23" s="76"/>
      <c r="AE23" s="76"/>
      <c r="AF23" s="75"/>
      <c r="AG23"/>
    </row>
    <row r="24" spans="2:33">
      <c r="B24" s="54" t="str">
        <f>B95</f>
        <v>SBIOH2GCC01</v>
      </c>
      <c r="C24" s="54" t="str">
        <f>C95</f>
        <v>H2 Production-Biomass Gasification + Carbon Capture, medium size, centralized</v>
      </c>
      <c r="D24" s="17" t="s">
        <v>438</v>
      </c>
      <c r="E24" s="26"/>
      <c r="F24" s="18">
        <f>IF('INPUT-Data(HP)'!J9=0,"",'INPUT-Data(HP)'!J9)</f>
        <v>2.78</v>
      </c>
      <c r="G24" s="18">
        <f>IF('INPUT-Data(HP)'!K9=0,"",'INPUT-Data(HP)'!K9)</f>
        <v>1.804</v>
      </c>
      <c r="H24" s="18" t="str">
        <f>IF('INPUT-Data(HP)'!L9=0,"",'INPUT-Data(HP)'!L9)</f>
        <v/>
      </c>
      <c r="I24" s="18" t="str">
        <f>IF('INPUT-Data(HP)'!M9=0,"",'INPUT-Data(HP)'!M9)</f>
        <v/>
      </c>
      <c r="J24" s="18"/>
      <c r="K24" s="18"/>
      <c r="L24" s="33">
        <f>'INPUT-Data(HP)'!U9</f>
        <v>0.9</v>
      </c>
      <c r="M24" s="97">
        <f>IF('INPUT-Data(HP)'!V9=0,"",'INPUT-Data(HP)'!V9)</f>
        <v>2651.2184274368237</v>
      </c>
      <c r="N24" s="97">
        <f>IF('INPUT-Data(HP)'!W9=0,"",'INPUT-Data(HP)'!W9)</f>
        <v>1309.2099244765343</v>
      </c>
      <c r="O24" s="97" t="str">
        <f>IF('INPUT-Data(HP)'!X9=0,"",'INPUT-Data(HP)'!X9)</f>
        <v/>
      </c>
      <c r="P24" s="97" t="str">
        <f>IF('INPUT-Data(HP)'!Y9=0,"",'INPUT-Data(HP)'!Y9)</f>
        <v/>
      </c>
      <c r="Q24" s="97"/>
      <c r="R24" s="97">
        <f>IF('INPUT-Data(HP)'!Z9=0,"",'INPUT-Data(HP)'!Z9)</f>
        <v>111.51516684476535</v>
      </c>
      <c r="S24" s="97">
        <f>IF('INPUT-Data(HP)'!AA9=0,"",'INPUT-Data(HP)'!AA9)</f>
        <v>65.32383548014441</v>
      </c>
      <c r="T24" s="97" t="str">
        <f>IF('INPUT-Data(HP)'!AB9=0,"",'INPUT-Data(HP)'!AB9)</f>
        <v/>
      </c>
      <c r="U24" s="97" t="str">
        <f>IF('INPUT-Data(HP)'!AC9=0,"",'INPUT-Data(HP)'!AC9)</f>
        <v/>
      </c>
      <c r="V24" s="97"/>
      <c r="W24" s="36">
        <f>IF('INPUT-Data(HP)'!AD9=0,"",'INPUT-Data(HP)'!AD9)</f>
        <v>0.93410649819494584</v>
      </c>
      <c r="X24" s="36">
        <f>IF('INPUT-Data(HP)'!AE9=0,"",'INPUT-Data(HP)'!AE9)</f>
        <v>0.46127527075812275</v>
      </c>
      <c r="Y24" s="36" t="str">
        <f>IF('INPUT-Data(HP)'!AF9=0,"",'INPUT-Data(HP)'!AF9)</f>
        <v/>
      </c>
      <c r="Z24" s="36" t="str">
        <f>IF('INPUT-Data(HP)'!AG9=0,"",'INPUT-Data(HP)'!AG9)</f>
        <v/>
      </c>
      <c r="AA24" s="30">
        <f>IF('INPUT-Data(HP)'!AH9=0,"",'INPUT-Data(HP)'!AH9)</f>
        <v>20</v>
      </c>
      <c r="AB24" s="30"/>
      <c r="AC24" s="30"/>
      <c r="AD24" s="30"/>
      <c r="AE24" s="30">
        <f>IF('INPUT-Data(HP)'!AI9=0,"",'INPUT-Data(HP)'!AI9)</f>
        <v>2023</v>
      </c>
      <c r="AF24" s="36">
        <v>31.536000000000001</v>
      </c>
      <c r="AG24"/>
    </row>
    <row r="25" spans="2:33">
      <c r="B25" s="54"/>
      <c r="C25" s="54"/>
      <c r="D25" s="17" t="s">
        <v>436</v>
      </c>
      <c r="E25" s="26"/>
      <c r="F25" s="18">
        <f>IF('INPUT-Data(HP)'!N9=0,"",'INPUT-Data(HP)'!N9)</f>
        <v>0.27</v>
      </c>
      <c r="G25" s="18">
        <f>IF('INPUT-Data(HP)'!O9=0,"",'INPUT-Data(HP)'!O9)</f>
        <v>0.14299999999999999</v>
      </c>
      <c r="H25" s="18" t="str">
        <f>IF('INPUT-Data(HP)'!P9=0,"",'INPUT-Data(HP)'!P9)</f>
        <v/>
      </c>
      <c r="I25" s="18" t="str">
        <f>IF('INPUT-Data(HP)'!Q9=0,"",'INPUT-Data(HP)'!Q9)</f>
        <v/>
      </c>
      <c r="J25" s="18"/>
      <c r="K25" s="18"/>
      <c r="L25" s="33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36"/>
      <c r="X25" s="36"/>
      <c r="Y25" s="36"/>
      <c r="Z25" s="36"/>
      <c r="AA25" s="30"/>
      <c r="AB25" s="30"/>
      <c r="AC25" s="30"/>
      <c r="AD25" s="30"/>
      <c r="AE25" s="30"/>
      <c r="AF25" s="17"/>
      <c r="AG25"/>
    </row>
    <row r="26" spans="2:33">
      <c r="B26" s="54"/>
      <c r="C26" s="54"/>
      <c r="D26" s="17"/>
      <c r="E26" s="50" t="s">
        <v>274</v>
      </c>
      <c r="J26" s="327"/>
      <c r="K26" s="18">
        <f>'INPUT-Data(HP)'!R9</f>
        <v>1</v>
      </c>
      <c r="L26" s="33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36"/>
      <c r="X26" s="36"/>
      <c r="Y26" s="36"/>
      <c r="Z26" s="36"/>
      <c r="AA26" s="30"/>
      <c r="AB26" s="30"/>
      <c r="AC26" s="30"/>
      <c r="AD26" s="30"/>
      <c r="AE26" s="30"/>
      <c r="AF26" s="17"/>
      <c r="AG26"/>
    </row>
    <row r="27" spans="2:33">
      <c r="B27" s="71" t="str">
        <f>B96</f>
        <v>SGASH2KC01</v>
      </c>
      <c r="C27" s="71" t="str">
        <f>C96</f>
        <v>H2 Production-Kvaerner Process, centralized</v>
      </c>
      <c r="D27" s="72" t="s">
        <v>439</v>
      </c>
      <c r="E27" s="77"/>
      <c r="F27" s="73">
        <f>IF('INPUT-Data(HP)'!J10=0,"",'INPUT-Data(HP)'!J10)</f>
        <v>1.75</v>
      </c>
      <c r="G27" s="339">
        <f t="shared" ref="G27:G28" si="8">F27</f>
        <v>1.75</v>
      </c>
      <c r="H27" s="73"/>
      <c r="I27" s="73"/>
      <c r="J27" s="73"/>
      <c r="K27" s="73"/>
      <c r="L27" s="74">
        <f>'INPUT-Data(HP)'!U10</f>
        <v>0.9</v>
      </c>
      <c r="M27" s="109">
        <f>IF('INPUT-Data(HP)'!V10=0,"",'INPUT-Data(HP)'!V10)</f>
        <v>1993.333607350181</v>
      </c>
      <c r="N27" s="338">
        <f t="shared" ref="N27" si="9">M27</f>
        <v>1993.333607350181</v>
      </c>
      <c r="O27" s="109" t="str">
        <f>IF('INPUT-Data(HP)'!X10=0,"",'INPUT-Data(HP)'!X10)</f>
        <v/>
      </c>
      <c r="P27" s="109" t="str">
        <f>IF('INPUT-Data(HP)'!Y10=0,"",'INPUT-Data(HP)'!Y10)</f>
        <v/>
      </c>
      <c r="Q27" s="109"/>
      <c r="R27" s="109">
        <f>IF('INPUT-Data(HP)'!Z10=0,"",'INPUT-Data(HP)'!Z10)</f>
        <v>79.809874310469311</v>
      </c>
      <c r="S27" s="338">
        <f t="shared" ref="S27" si="10">R27</f>
        <v>79.809874310469311</v>
      </c>
      <c r="T27" s="109" t="str">
        <f>IF('INPUT-Data(HP)'!AB10=0,"",'INPUT-Data(HP)'!AB10)</f>
        <v/>
      </c>
      <c r="U27" s="109" t="str">
        <f>IF('INPUT-Data(HP)'!AC10=0,"",'INPUT-Data(HP)'!AC10)</f>
        <v/>
      </c>
      <c r="V27" s="109"/>
      <c r="W27" s="75">
        <f>IF('INPUT-Data(HP)'!AD10=0,"",'INPUT-Data(HP)'!AD10)</f>
        <v>0.70231326714801456</v>
      </c>
      <c r="X27" s="75" t="str">
        <f>IF('INPUT-Data(HP)'!AE10=0,"",'INPUT-Data(HP)'!AE10)</f>
        <v/>
      </c>
      <c r="Y27" s="75" t="str">
        <f>IF('INPUT-Data(HP)'!AF10=0,"",'INPUT-Data(HP)'!AF10)</f>
        <v/>
      </c>
      <c r="Z27" s="75" t="str">
        <f>IF('INPUT-Data(HP)'!AG10=0,"",'INPUT-Data(HP)'!AG10)</f>
        <v/>
      </c>
      <c r="AA27" s="76">
        <f>IF('INPUT-Data(HP)'!AH10=0,"",'INPUT-Data(HP)'!AH10)</f>
        <v>20</v>
      </c>
      <c r="AB27" s="76"/>
      <c r="AC27" s="76"/>
      <c r="AD27" s="76"/>
      <c r="AE27" s="76">
        <f>IF('INPUT-Data(HP)'!AI10=0,"",'INPUT-Data(HP)'!AI10)</f>
        <v>2023</v>
      </c>
      <c r="AF27" s="75">
        <v>31.536000000000001</v>
      </c>
      <c r="AG27"/>
    </row>
    <row r="28" spans="2:33">
      <c r="B28" s="71"/>
      <c r="C28" s="71"/>
      <c r="D28" s="72" t="s">
        <v>436</v>
      </c>
      <c r="E28" s="77"/>
      <c r="F28" s="73">
        <f>IF('INPUT-Data(HP)'!N10=0,"",'INPUT-Data(HP)'!N10)</f>
        <v>0.35</v>
      </c>
      <c r="G28" s="339">
        <f t="shared" si="8"/>
        <v>0.35</v>
      </c>
      <c r="H28" s="73" t="str">
        <f>IF('INPUT-Data(HP)'!P10=0,"",'INPUT-Data(HP)'!P10)</f>
        <v/>
      </c>
      <c r="I28" s="73" t="str">
        <f>IF('INPUT-Data(HP)'!Q10=0,"",'INPUT-Data(HP)'!Q10)</f>
        <v/>
      </c>
      <c r="J28" s="73"/>
      <c r="K28" s="73"/>
      <c r="L28" s="74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75"/>
      <c r="X28" s="75"/>
      <c r="Y28" s="75"/>
      <c r="Z28" s="75"/>
      <c r="AA28" s="76"/>
      <c r="AB28" s="76"/>
      <c r="AC28" s="76"/>
      <c r="AD28" s="76"/>
      <c r="AE28" s="76"/>
      <c r="AF28" s="75"/>
      <c r="AG28"/>
    </row>
    <row r="29" spans="2:33">
      <c r="B29" s="82"/>
      <c r="C29" s="82"/>
      <c r="D29" s="83"/>
      <c r="E29" s="158" t="s">
        <v>274</v>
      </c>
      <c r="F29" s="83"/>
      <c r="G29" s="83"/>
      <c r="H29" s="83"/>
      <c r="I29" s="83"/>
      <c r="J29" s="83"/>
      <c r="K29" s="84">
        <f>'INPUT-Data(HP)'!R10</f>
        <v>1</v>
      </c>
      <c r="L29" s="85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86"/>
      <c r="X29" s="86"/>
      <c r="Y29" s="86"/>
      <c r="Z29" s="86"/>
      <c r="AA29" s="87"/>
      <c r="AB29" s="87"/>
      <c r="AC29" s="87"/>
      <c r="AD29" s="87"/>
      <c r="AE29" s="87"/>
      <c r="AF29" s="86"/>
      <c r="AG29"/>
    </row>
    <row r="30" spans="2:33">
      <c r="B30" s="54" t="str">
        <f>B97</f>
        <v>SBIOH2RC01</v>
      </c>
      <c r="C30" s="54" t="str">
        <f>C97</f>
        <v>H2 Production-Biomass Steam Reforming, centralized</v>
      </c>
      <c r="D30" s="17" t="s">
        <v>438</v>
      </c>
      <c r="E30" s="26"/>
      <c r="F30" s="18">
        <f>IF('INPUT-Data(HP)'!J11=0,"",'INPUT-Data(HP)'!J11)</f>
        <v>1.36</v>
      </c>
      <c r="G30" s="339">
        <f t="shared" ref="G30:G31" si="11">F30</f>
        <v>1.36</v>
      </c>
      <c r="H30" s="18" t="str">
        <f>IF('INPUT-Data(HP)'!L11=0,"",'INPUT-Data(HP)'!L11)</f>
        <v/>
      </c>
      <c r="I30" s="18" t="str">
        <f>IF('INPUT-Data(HP)'!M11=0,"",'INPUT-Data(HP)'!M11)</f>
        <v/>
      </c>
      <c r="J30" s="18"/>
      <c r="K30" s="18"/>
      <c r="L30" s="33">
        <f>'INPUT-Data(HP)'!U11</f>
        <v>0.9</v>
      </c>
      <c r="M30" s="97">
        <f>IF('INPUT-Data(HP)'!V11=0,"",'INPUT-Data(HP)'!V11)</f>
        <v>519.31082599277988</v>
      </c>
      <c r="N30" s="338">
        <f t="shared" ref="N30" si="12">M30</f>
        <v>519.31082599277988</v>
      </c>
      <c r="O30" s="97" t="str">
        <f>IF('INPUT-Data(HP)'!X11=0,"",'INPUT-Data(HP)'!X11)</f>
        <v/>
      </c>
      <c r="P30" s="97" t="str">
        <f>IF('INPUT-Data(HP)'!Y11=0,"",'INPUT-Data(HP)'!Y11)</f>
        <v/>
      </c>
      <c r="Q30" s="97"/>
      <c r="R30" s="97">
        <f>IF('INPUT-Data(HP)'!Z11=0,"",'INPUT-Data(HP)'!Z11)</f>
        <v>20.772433039711192</v>
      </c>
      <c r="S30" s="338">
        <f t="shared" ref="S30" si="13">R30</f>
        <v>20.772433039711192</v>
      </c>
      <c r="T30" s="97" t="str">
        <f>IF('INPUT-Data(HP)'!AB11=0,"",'INPUT-Data(HP)'!AB11)</f>
        <v/>
      </c>
      <c r="U30" s="97" t="str">
        <f>IF('INPUT-Data(HP)'!AC11=0,"",'INPUT-Data(HP)'!AC11)</f>
        <v/>
      </c>
      <c r="V30" s="97"/>
      <c r="W30" s="36">
        <f>IF('INPUT-Data(HP)'!AD11=0,"",'INPUT-Data(HP)'!AD11)</f>
        <v>0.18296931407942238</v>
      </c>
      <c r="X30" s="36" t="str">
        <f>IF('INPUT-Data(HP)'!AE11=0,"",'INPUT-Data(HP)'!AE11)</f>
        <v/>
      </c>
      <c r="Y30" s="36" t="str">
        <f>IF('INPUT-Data(HP)'!AF11=0,"",'INPUT-Data(HP)'!AF11)</f>
        <v/>
      </c>
      <c r="Z30" s="36" t="str">
        <f>IF('INPUT-Data(HP)'!AG11=0,"",'INPUT-Data(HP)'!AG11)</f>
        <v/>
      </c>
      <c r="AA30" s="30">
        <f>IF('INPUT-Data(HP)'!AH11=0,"",'INPUT-Data(HP)'!AH11)</f>
        <v>20</v>
      </c>
      <c r="AB30" s="30"/>
      <c r="AC30" s="30"/>
      <c r="AD30" s="30"/>
      <c r="AE30" s="30">
        <f>IF('INPUT-Data(HP)'!AI11=0,"",'INPUT-Data(HP)'!AI11)</f>
        <v>2023</v>
      </c>
      <c r="AF30" s="36">
        <v>31.536000000000001</v>
      </c>
      <c r="AG30"/>
    </row>
    <row r="31" spans="2:33">
      <c r="B31" s="54"/>
      <c r="C31" s="54"/>
      <c r="D31" s="17" t="s">
        <v>436</v>
      </c>
      <c r="E31" s="26"/>
      <c r="F31" s="18">
        <f>IF('INPUT-Data(HP)'!N11=0,"",'INPUT-Data(HP)'!N11)</f>
        <v>4.3999999999999997E-2</v>
      </c>
      <c r="G31" s="339">
        <f t="shared" si="11"/>
        <v>4.3999999999999997E-2</v>
      </c>
      <c r="H31" s="18" t="str">
        <f>IF('INPUT-Data(HP)'!P11=0,"",'INPUT-Data(HP)'!P11)</f>
        <v/>
      </c>
      <c r="I31" s="18" t="str">
        <f>IF('INPUT-Data(HP)'!Q11=0,"",'INPUT-Data(HP)'!Q11)</f>
        <v/>
      </c>
      <c r="J31" s="18"/>
      <c r="K31" s="18"/>
      <c r="L31" s="33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36"/>
      <c r="X31" s="36"/>
      <c r="Y31" s="36"/>
      <c r="Z31" s="36"/>
      <c r="AA31" s="30"/>
      <c r="AB31" s="30"/>
      <c r="AC31" s="30"/>
      <c r="AD31" s="30"/>
      <c r="AE31" s="30"/>
      <c r="AF31" s="36"/>
      <c r="AG31"/>
    </row>
    <row r="32" spans="2:33">
      <c r="B32" s="54"/>
      <c r="C32" s="54"/>
      <c r="D32" s="17"/>
      <c r="E32" s="50" t="s">
        <v>271</v>
      </c>
      <c r="J32" s="327"/>
      <c r="K32" s="18">
        <f>'INPUT-Data(HP)'!R11</f>
        <v>1</v>
      </c>
      <c r="L32" s="33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36"/>
      <c r="X32" s="36"/>
      <c r="Y32" s="36"/>
      <c r="Z32" s="36"/>
      <c r="AA32" s="30"/>
      <c r="AB32" s="30"/>
      <c r="AC32" s="30"/>
      <c r="AD32" s="30"/>
      <c r="AE32" s="30"/>
      <c r="AF32" s="36"/>
      <c r="AG32"/>
    </row>
    <row r="33" spans="2:33">
      <c r="B33" s="64" t="str">
        <f>B98</f>
        <v>SGASH2RC01</v>
      </c>
      <c r="C33" s="64" t="str">
        <f>C98</f>
        <v>H2 Production-Methane Steam Reforming, large size, centralized</v>
      </c>
      <c r="D33" s="65" t="s">
        <v>439</v>
      </c>
      <c r="E33" s="70"/>
      <c r="F33" s="66">
        <f>IF('INPUT-Data(HP)'!J12=0,"",'INPUT-Data(HP)'!J12)</f>
        <v>1.32</v>
      </c>
      <c r="G33" s="339">
        <f t="shared" ref="G33:G34" si="14">F33</f>
        <v>1.32</v>
      </c>
      <c r="H33" s="66">
        <f>IF('INPUT-Data(HP)'!L12=0,"",'INPUT-Data(HP)'!L12)</f>
        <v>1.32</v>
      </c>
      <c r="I33" s="66">
        <f>IF('INPUT-Data(HP)'!M12=0,"",'INPUT-Data(HP)'!M12)</f>
        <v>1.25</v>
      </c>
      <c r="J33" s="66"/>
      <c r="K33" s="80"/>
      <c r="L33" s="67">
        <f>'INPUT-Data(HP)'!U12</f>
        <v>0.9</v>
      </c>
      <c r="M33" s="111">
        <f>IF('INPUT-Data(HP)'!V12=0,"",'INPUT-Data(HP)'!V12)</f>
        <v>201.16461470036103</v>
      </c>
      <c r="N33" s="111">
        <f>IF('INPUT-Data(HP)'!W12=0,"",'INPUT-Data(HP)'!W12)</f>
        <v>201.16461470036103</v>
      </c>
      <c r="O33" s="111">
        <f>IF('INPUT-Data(HP)'!X12=0,"",'INPUT-Data(HP)'!X12)</f>
        <v>201.16461470036103</v>
      </c>
      <c r="P33" s="111">
        <f>IF('INPUT-Data(HP)'!Y12=0,"",'INPUT-Data(HP)'!Y12)</f>
        <v>158.25314118411552</v>
      </c>
      <c r="Q33" s="111"/>
      <c r="R33" s="111">
        <f>IF('INPUT-Data(HP)'!Z12=0,"",'INPUT-Data(HP)'!Z12)</f>
        <v>9.8395735451263562</v>
      </c>
      <c r="S33" s="338">
        <f t="shared" ref="S33" si="15">R33</f>
        <v>9.8395735451263562</v>
      </c>
      <c r="T33" s="111">
        <f>IF('INPUT-Data(HP)'!AB12=0,"",'INPUT-Data(HP)'!AB12)</f>
        <v>9.8395735451263562</v>
      </c>
      <c r="U33" s="111">
        <f>IF('INPUT-Data(HP)'!AC12=0,"",'INPUT-Data(HP)'!AC12)</f>
        <v>7.6530016462093871</v>
      </c>
      <c r="V33" s="111"/>
      <c r="W33" s="68">
        <f>IF('INPUT-Data(HP)'!AD12=0,"",'INPUT-Data(HP)'!AD12)</f>
        <v>7.703971119133575E-2</v>
      </c>
      <c r="X33" s="68" t="str">
        <f>IF('INPUT-Data(HP)'!AE12=0,"",'INPUT-Data(HP)'!AE12)</f>
        <v/>
      </c>
      <c r="Y33" s="68">
        <f>IF('INPUT-Data(HP)'!AF12=0,"",'INPUT-Data(HP)'!AF12)</f>
        <v>7.703971119133575E-2</v>
      </c>
      <c r="Z33" s="68">
        <f>IF('INPUT-Data(HP)'!AG12=0,"",'INPUT-Data(HP)'!AG12)</f>
        <v>4.8149819494584842E-2</v>
      </c>
      <c r="AA33" s="69">
        <f>IF('INPUT-Data(HP)'!AH12=0,"",'INPUT-Data(HP)'!AH12)</f>
        <v>20</v>
      </c>
      <c r="AB33" s="69"/>
      <c r="AC33" s="69"/>
      <c r="AD33" s="69"/>
      <c r="AE33" s="69">
        <f>IF('INPUT-Data(HP)'!AI12=0,"",'INPUT-Data(HP)'!AI12)</f>
        <v>2023</v>
      </c>
      <c r="AF33" s="68">
        <v>31.536000000000001</v>
      </c>
      <c r="AG33"/>
    </row>
    <row r="34" spans="2:33">
      <c r="B34" s="64"/>
      <c r="C34" s="64"/>
      <c r="D34" s="65" t="s">
        <v>436</v>
      </c>
      <c r="E34" s="70"/>
      <c r="F34" s="66">
        <f>IF('INPUT-Data(HP)'!N12=0,"",'INPUT-Data(HP)'!N12)</f>
        <v>0.02</v>
      </c>
      <c r="G34" s="339">
        <f t="shared" si="14"/>
        <v>0.02</v>
      </c>
      <c r="H34" s="66">
        <f>IF('INPUT-Data(HP)'!P12=0,"",'INPUT-Data(HP)'!P12)</f>
        <v>0.02</v>
      </c>
      <c r="I34" s="66">
        <f>IF('INPUT-Data(HP)'!Q12=0,"",'INPUT-Data(HP)'!Q12)</f>
        <v>2.1000000000000001E-2</v>
      </c>
      <c r="J34" s="66"/>
      <c r="K34" s="80"/>
      <c r="L34" s="67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68"/>
      <c r="X34" s="68"/>
      <c r="Y34" s="68"/>
      <c r="Z34" s="68"/>
      <c r="AA34" s="69"/>
      <c r="AB34" s="69"/>
      <c r="AC34" s="69"/>
      <c r="AD34" s="69"/>
      <c r="AE34" s="69"/>
      <c r="AF34" s="68"/>
      <c r="AG34"/>
    </row>
    <row r="35" spans="2:33">
      <c r="B35" s="64"/>
      <c r="C35" s="64"/>
      <c r="D35" s="65"/>
      <c r="E35" s="70" t="s">
        <v>271</v>
      </c>
      <c r="F35" s="80"/>
      <c r="G35" s="80"/>
      <c r="H35" s="80"/>
      <c r="I35" s="80"/>
      <c r="J35" s="80"/>
      <c r="K35" s="66">
        <f>'INPUT-Data(HP)'!R12</f>
        <v>1</v>
      </c>
      <c r="L35" s="6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68"/>
      <c r="X35" s="68"/>
      <c r="Y35" s="68"/>
      <c r="Z35" s="68"/>
      <c r="AA35" s="69"/>
      <c r="AB35" s="69"/>
      <c r="AC35" s="69"/>
      <c r="AD35" s="69"/>
      <c r="AE35" s="69"/>
      <c r="AF35" s="68"/>
      <c r="AG35"/>
    </row>
    <row r="36" spans="2:33">
      <c r="B36" s="54" t="str">
        <f>B99</f>
        <v>SGASH2RC02</v>
      </c>
      <c r="C36" s="54" t="str">
        <f>C99</f>
        <v>H2 Production-Methane Steam Reforming, small size, centralized</v>
      </c>
      <c r="D36" s="17" t="s">
        <v>439</v>
      </c>
      <c r="E36" s="26"/>
      <c r="F36" s="18">
        <f>IF('INPUT-Data(HP)'!J13=0,"",'INPUT-Data(HP)'!J13)</f>
        <v>1.575</v>
      </c>
      <c r="G36" s="339">
        <f t="shared" ref="G36:G37" si="16">F36</f>
        <v>1.575</v>
      </c>
      <c r="H36" s="18">
        <f>IF('INPUT-Data(HP)'!L13=0,"",'INPUT-Data(HP)'!L13)</f>
        <v>1.575</v>
      </c>
      <c r="I36" s="18">
        <f>IF('INPUT-Data(HP)'!M13=0,"",'INPUT-Data(HP)'!M13)</f>
        <v>1.48</v>
      </c>
      <c r="J36" s="18"/>
      <c r="K36" s="18"/>
      <c r="L36" s="33">
        <f>'INPUT-Data(HP)'!U13</f>
        <v>0.9</v>
      </c>
      <c r="M36" s="97">
        <f>IF('INPUT-Data(HP)'!V13=0,"",'INPUT-Data(HP)'!V13)</f>
        <v>431.84795003610117</v>
      </c>
      <c r="N36" s="97">
        <f>IF('INPUT-Data(HP)'!W13=0,"",'INPUT-Data(HP)'!W13)</f>
        <v>431.84795003610117</v>
      </c>
      <c r="O36" s="97">
        <f>IF('INPUT-Data(HP)'!X13=0,"",'INPUT-Data(HP)'!X13)</f>
        <v>431.84795003610117</v>
      </c>
      <c r="P36" s="97">
        <f>IF('INPUT-Data(HP)'!Y13=0,"",'INPUT-Data(HP)'!Y13)</f>
        <v>344.3850740794224</v>
      </c>
      <c r="Q36" s="97"/>
      <c r="R36" s="97">
        <f>IF('INPUT-Data(HP)'!Z13=0,"",'INPUT-Data(HP)'!Z13)</f>
        <v>16.399289241877259</v>
      </c>
      <c r="S36" s="338">
        <f t="shared" ref="S36" si="17">R36</f>
        <v>16.399289241877259</v>
      </c>
      <c r="T36" s="97">
        <f>IF('INPUT-Data(HP)'!AB13=0,"",'INPUT-Data(HP)'!AB13)</f>
        <v>16.399289241877259</v>
      </c>
      <c r="U36" s="338">
        <f>T36*(U33/T33)</f>
        <v>12.755002743682311</v>
      </c>
      <c r="V36" s="338"/>
      <c r="W36" s="36">
        <f>IF('INPUT-Data(HP)'!AD13=0,"",'INPUT-Data(HP)'!AD13)</f>
        <v>0.14444945848375451</v>
      </c>
      <c r="X36" s="36" t="str">
        <f>IF('INPUT-Data(HP)'!AE13=0,"",'INPUT-Data(HP)'!AE13)</f>
        <v/>
      </c>
      <c r="Y36" s="36">
        <f>IF('INPUT-Data(HP)'!AF13=0,"",'INPUT-Data(HP)'!AF13)</f>
        <v>0.14444945848375451</v>
      </c>
      <c r="Z36" s="36">
        <f>IF('INPUT-Data(HP)'!AG13=0,"",'INPUT-Data(HP)'!AG13)</f>
        <v>4.8149819494584842E-2</v>
      </c>
      <c r="AA36" s="30">
        <f>IF('INPUT-Data(HP)'!AH13=0,"",'INPUT-Data(HP)'!AH13)</f>
        <v>20</v>
      </c>
      <c r="AB36" s="30"/>
      <c r="AC36" s="30"/>
      <c r="AD36" s="30"/>
      <c r="AE36" s="30">
        <f>IF('INPUT-Data(HP)'!AI13=0,"",'INPUT-Data(HP)'!AI13)</f>
        <v>2023</v>
      </c>
      <c r="AF36" s="36">
        <v>31.536000000000001</v>
      </c>
      <c r="AG36"/>
    </row>
    <row r="37" spans="2:33">
      <c r="B37" s="54"/>
      <c r="C37" s="54"/>
      <c r="D37" s="17" t="s">
        <v>436</v>
      </c>
      <c r="E37" s="26"/>
      <c r="F37" s="18">
        <f>IF('INPUT-Data(HP)'!N13=0,"",'INPUT-Data(HP)'!N13)</f>
        <v>0.03</v>
      </c>
      <c r="G37" s="339">
        <f t="shared" si="16"/>
        <v>0.03</v>
      </c>
      <c r="H37" s="18">
        <f>IF('INPUT-Data(HP)'!P13=0,"",'INPUT-Data(HP)'!P13)</f>
        <v>0.03</v>
      </c>
      <c r="I37" s="18">
        <f>IF('INPUT-Data(HP)'!Q13=0,"",'INPUT-Data(HP)'!Q13)</f>
        <v>0.02</v>
      </c>
      <c r="J37" s="18"/>
      <c r="K37" s="18"/>
      <c r="L37" s="33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36"/>
      <c r="X37" s="36"/>
      <c r="Y37" s="36"/>
      <c r="Z37" s="36"/>
      <c r="AA37" s="30"/>
      <c r="AB37" s="30"/>
      <c r="AC37" s="30"/>
      <c r="AD37" s="30"/>
      <c r="AE37" s="30"/>
      <c r="AF37" s="36"/>
      <c r="AG37"/>
    </row>
    <row r="38" spans="2:33">
      <c r="B38" s="54"/>
      <c r="C38" s="54"/>
      <c r="D38" s="17"/>
      <c r="E38" s="50" t="s">
        <v>274</v>
      </c>
      <c r="J38" s="327"/>
      <c r="K38" s="18">
        <f>'INPUT-Data(HP)'!R13</f>
        <v>1</v>
      </c>
      <c r="L38" s="33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36"/>
      <c r="X38" s="36"/>
      <c r="Y38" s="36"/>
      <c r="Z38" s="36"/>
      <c r="AA38" s="30"/>
      <c r="AB38" s="30"/>
      <c r="AC38" s="30"/>
      <c r="AD38" s="30"/>
      <c r="AE38" s="30"/>
      <c r="AF38" s="36"/>
      <c r="AG38"/>
    </row>
    <row r="39" spans="2:33">
      <c r="B39" s="64" t="str">
        <f>B100</f>
        <v>SGASH2RCC01</v>
      </c>
      <c r="C39" s="64" t="str">
        <f>C100</f>
        <v>H2 Production-Methane Steam Reforming + Carbon Capture, large size, centralized</v>
      </c>
      <c r="D39" s="65" t="s">
        <v>439</v>
      </c>
      <c r="E39" s="70"/>
      <c r="F39" s="66">
        <f>IF('INPUT-Data(HP)'!J14=0,"",'INPUT-Data(HP)'!J14)</f>
        <v>1.52</v>
      </c>
      <c r="G39" s="339">
        <f t="shared" ref="G39:G46" si="18">F39</f>
        <v>1.52</v>
      </c>
      <c r="H39" s="66">
        <f>IF('INPUT-Data(HP)'!L14=0,"",'INPUT-Data(HP)'!L14)</f>
        <v>1.52</v>
      </c>
      <c r="I39" s="66">
        <f>IF('INPUT-Data(HP)'!M14=0,"",'INPUT-Data(HP)'!M14)</f>
        <v>1.4</v>
      </c>
      <c r="J39" s="66"/>
      <c r="K39" s="80"/>
      <c r="L39" s="67">
        <f>'INPUT-Data(HP)'!U14</f>
        <v>0.9</v>
      </c>
      <c r="M39" s="111">
        <f>IF('INPUT-Data(HP)'!V14=0,"",'INPUT-Data(HP)'!V14)</f>
        <v>284.70988267148022</v>
      </c>
      <c r="N39" s="111">
        <f>IF('INPUT-Data(HP)'!W14=0,"",'INPUT-Data(HP)'!W14)</f>
        <v>272.77484438989177</v>
      </c>
      <c r="O39" s="111">
        <f>IF('INPUT-Data(HP)'!X14=0,"",'INPUT-Data(HP)'!X14)</f>
        <v>272.77484438989177</v>
      </c>
      <c r="P39" s="111">
        <f>IF('INPUT-Data(HP)'!Y14=0,"",'INPUT-Data(HP)'!Y14)</f>
        <v>191.32504115523466</v>
      </c>
      <c r="Q39" s="111"/>
      <c r="R39" s="111">
        <f>IF('INPUT-Data(HP)'!Z14=0,"",'INPUT-Data(HP)'!Z14)</f>
        <v>14.212717342960291</v>
      </c>
      <c r="S39" s="338">
        <f t="shared" ref="S39" si="19">R39</f>
        <v>14.212717342960291</v>
      </c>
      <c r="T39" s="111">
        <f>IF('INPUT-Data(HP)'!AB14=0,"",'INPUT-Data(HP)'!AB14)</f>
        <v>14.212717342960291</v>
      </c>
      <c r="U39" s="111">
        <f>IF('INPUT-Data(HP)'!AC14=0,"",'INPUT-Data(HP)'!AC14)</f>
        <v>11.479502469314081</v>
      </c>
      <c r="V39" s="111"/>
      <c r="W39" s="68">
        <f>IF('INPUT-Data(HP)'!AD14=0,"",'INPUT-Data(HP)'!AD14)</f>
        <v>0.5296480144404333</v>
      </c>
      <c r="X39" s="68" t="str">
        <f>IF('INPUT-Data(HP)'!AE14=0,"",'INPUT-Data(HP)'!AE14)</f>
        <v/>
      </c>
      <c r="Y39" s="68">
        <f>IF('INPUT-Data(HP)'!AF14=0,"",'INPUT-Data(HP)'!AF14)</f>
        <v>0.5296480144404333</v>
      </c>
      <c r="Z39" s="68">
        <f>IF('INPUT-Data(HP)'!AG14=0,"",'INPUT-Data(HP)'!AG14)</f>
        <v>6.7409747292418776E-2</v>
      </c>
      <c r="AA39" s="69">
        <f>IF('INPUT-Data(HP)'!AH14=0,"",'INPUT-Data(HP)'!AH14)</f>
        <v>20</v>
      </c>
      <c r="AB39" s="69"/>
      <c r="AC39" s="69"/>
      <c r="AD39" s="69"/>
      <c r="AE39" s="69">
        <f>IF('INPUT-Data(HP)'!AI14=0,"",'INPUT-Data(HP)'!AI14)</f>
        <v>2023</v>
      </c>
      <c r="AF39" s="68">
        <v>31.536000000000001</v>
      </c>
      <c r="AG39"/>
    </row>
    <row r="40" spans="2:33">
      <c r="B40" s="64"/>
      <c r="C40" s="64"/>
      <c r="D40" s="65" t="s">
        <v>436</v>
      </c>
      <c r="E40" s="70"/>
      <c r="F40" s="66">
        <f>IF('INPUT-Data(HP)'!N14=0,"",'INPUT-Data(HP)'!N14)</f>
        <v>0.05</v>
      </c>
      <c r="G40" s="339">
        <f t="shared" si="18"/>
        <v>0.05</v>
      </c>
      <c r="H40" s="66">
        <f>IF('INPUT-Data(HP)'!P14=0,"",'INPUT-Data(HP)'!P14)</f>
        <v>0.05</v>
      </c>
      <c r="I40" s="66">
        <f>IF('INPUT-Data(HP)'!Q14=0,"",'INPUT-Data(HP)'!Q14)</f>
        <v>3.9E-2</v>
      </c>
      <c r="J40" s="66"/>
      <c r="K40" s="80"/>
      <c r="L40" s="67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68"/>
      <c r="X40" s="68"/>
      <c r="Y40" s="68"/>
      <c r="Z40" s="68"/>
      <c r="AA40" s="69"/>
      <c r="AB40" s="69"/>
      <c r="AC40" s="69"/>
      <c r="AD40" s="69"/>
      <c r="AE40" s="69"/>
      <c r="AF40" s="68"/>
      <c r="AG40"/>
    </row>
    <row r="41" spans="2:33">
      <c r="B41" s="64"/>
      <c r="C41" s="64"/>
      <c r="D41" s="65"/>
      <c r="E41" s="70" t="s">
        <v>271</v>
      </c>
      <c r="F41" s="80"/>
      <c r="G41" s="80"/>
      <c r="H41" s="80"/>
      <c r="I41" s="80"/>
      <c r="J41" s="80"/>
      <c r="K41" s="66">
        <f>'INPUT-Data(HP)'!R14</f>
        <v>1</v>
      </c>
      <c r="L41" s="67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68"/>
      <c r="X41" s="68"/>
      <c r="Y41" s="68"/>
      <c r="Z41" s="68"/>
      <c r="AA41" s="69"/>
      <c r="AB41" s="69"/>
      <c r="AC41" s="69"/>
      <c r="AD41" s="69"/>
      <c r="AE41" s="69"/>
      <c r="AF41" s="68"/>
      <c r="AG41"/>
    </row>
    <row r="42" spans="2:33">
      <c r="B42" s="54" t="str">
        <f>B101</f>
        <v>SGASH2RCC02</v>
      </c>
      <c r="C42" s="54" t="str">
        <f>C101</f>
        <v>H2 Production-Methane Steam Reforming + Carbon Capture, small size, centralized</v>
      </c>
      <c r="D42" s="17" t="s">
        <v>439</v>
      </c>
      <c r="E42" s="26"/>
      <c r="F42" s="18">
        <f>IF('INPUT-Data(HP)'!J15=0,"",'INPUT-Data(HP)'!J15)</f>
        <v>1.65</v>
      </c>
      <c r="G42" s="339">
        <f t="shared" si="18"/>
        <v>1.65</v>
      </c>
      <c r="H42" s="18">
        <f>IF('INPUT-Data(HP)'!L15=0,"",'INPUT-Data(HP)'!L15)</f>
        <v>1.65</v>
      </c>
      <c r="I42" s="18">
        <f>IF('INPUT-Data(HP)'!M15=0,"",'INPUT-Data(HP)'!M15)</f>
        <v>1.4</v>
      </c>
      <c r="J42" s="18"/>
      <c r="K42" s="18"/>
      <c r="L42" s="33">
        <f>'INPUT-Data(HP)'!U15</f>
        <v>0.9</v>
      </c>
      <c r="M42" s="97">
        <f>IF('INPUT-Data(HP)'!V15=0,"",'INPUT-Data(HP)'!V15)</f>
        <v>590.37441270758131</v>
      </c>
      <c r="N42" s="97">
        <f>IF('INPUT-Data(HP)'!W15=0,"",'INPUT-Data(HP)'!W15)</f>
        <v>565.22883587003616</v>
      </c>
      <c r="O42" s="97">
        <f>IF('INPUT-Data(HP)'!X15=0,"",'INPUT-Data(HP)'!X15)</f>
        <v>565.22883587003616</v>
      </c>
      <c r="P42" s="338">
        <f>O42*(P36/O36)</f>
        <v>450.7521096178769</v>
      </c>
      <c r="Q42" s="338"/>
      <c r="R42" s="97">
        <f>IF('INPUT-Data(HP)'!Z15=0,"",'INPUT-Data(HP)'!Z15)</f>
        <v>29.518720635379065</v>
      </c>
      <c r="S42" s="338">
        <f>R42</f>
        <v>29.518720635379065</v>
      </c>
      <c r="T42" s="97">
        <f>IF('INPUT-Data(HP)'!AB15=0,"",'INPUT-Data(HP)'!AB15)</f>
        <v>29.518720635379065</v>
      </c>
      <c r="U42" s="338">
        <f>T42*(U39/T39)</f>
        <v>23.84204359011386</v>
      </c>
      <c r="V42" s="338"/>
      <c r="W42" s="36">
        <f>IF('INPUT-Data(HP)'!AD15=0,"",'INPUT-Data(HP)'!AD15)</f>
        <v>0.20222924187725633</v>
      </c>
      <c r="X42" s="36" t="str">
        <f>IF('INPUT-Data(HP)'!AE15=0,"",'INPUT-Data(HP)'!AE15)</f>
        <v/>
      </c>
      <c r="Y42" s="36">
        <f>IF('INPUT-Data(HP)'!AF15=0,"",'INPUT-Data(HP)'!AF15)</f>
        <v>0.20222924187725633</v>
      </c>
      <c r="Z42" s="36">
        <f>IF('INPUT-Data(HP)'!AG15=0,"",'INPUT-Data(HP)'!AG15)</f>
        <v>6.7409747292418776E-2</v>
      </c>
      <c r="AA42" s="30">
        <f>IF('INPUT-Data(HP)'!AH15=0,"",'INPUT-Data(HP)'!AH15)</f>
        <v>20</v>
      </c>
      <c r="AB42" s="30"/>
      <c r="AC42" s="30"/>
      <c r="AD42" s="30"/>
      <c r="AE42" s="30">
        <f>IF('INPUT-Data(HP)'!AI15=0,"",'INPUT-Data(HP)'!AI15)</f>
        <v>2023</v>
      </c>
      <c r="AF42" s="36">
        <v>31.536000000000001</v>
      </c>
      <c r="AG42"/>
    </row>
    <row r="43" spans="2:33">
      <c r="B43" s="54"/>
      <c r="C43" s="54"/>
      <c r="D43" s="17" t="s">
        <v>436</v>
      </c>
      <c r="E43" s="26"/>
      <c r="F43" s="18">
        <f>IF('INPUT-Data(HP)'!N15=0,"",'INPUT-Data(HP)'!N15)</f>
        <v>6.7000000000000004E-2</v>
      </c>
      <c r="G43" s="339">
        <f t="shared" si="18"/>
        <v>6.7000000000000004E-2</v>
      </c>
      <c r="H43" s="18">
        <f>IF('INPUT-Data(HP)'!P15=0,"",'INPUT-Data(HP)'!P15)</f>
        <v>6.7000000000000004E-2</v>
      </c>
      <c r="I43" s="18">
        <f>IF('INPUT-Data(HP)'!Q15=0,"",'INPUT-Data(HP)'!Q15)</f>
        <v>3.9E-2</v>
      </c>
      <c r="J43" s="18"/>
      <c r="K43" s="18"/>
      <c r="L43" s="33"/>
      <c r="M43" s="97"/>
      <c r="N43" s="97"/>
      <c r="O43" s="97"/>
      <c r="P43" s="362"/>
      <c r="Q43" s="362"/>
      <c r="R43" s="97"/>
      <c r="S43" s="97"/>
      <c r="T43" s="97"/>
      <c r="U43" s="97"/>
      <c r="V43" s="97"/>
      <c r="W43" s="36"/>
      <c r="X43" s="36"/>
      <c r="Y43" s="36"/>
      <c r="Z43" s="36"/>
      <c r="AA43" s="30"/>
      <c r="AB43" s="30"/>
      <c r="AC43" s="30"/>
      <c r="AD43" s="30"/>
      <c r="AE43" s="30"/>
      <c r="AF43" s="36"/>
      <c r="AG43"/>
    </row>
    <row r="44" spans="2:33">
      <c r="B44" s="54"/>
      <c r="C44" s="54"/>
      <c r="D44" s="17"/>
      <c r="E44" s="50" t="s">
        <v>274</v>
      </c>
      <c r="J44" s="327"/>
      <c r="K44" s="18">
        <f>'INPUT-Data(HP)'!R15</f>
        <v>1</v>
      </c>
      <c r="L44" s="33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36"/>
      <c r="X44" s="36"/>
      <c r="Y44" s="36"/>
      <c r="Z44" s="36"/>
      <c r="AA44" s="30"/>
      <c r="AB44" s="30"/>
      <c r="AC44" s="30"/>
      <c r="AD44" s="30"/>
      <c r="AE44" s="30"/>
      <c r="AF44" s="36"/>
      <c r="AG44"/>
    </row>
    <row r="45" spans="2:33">
      <c r="B45" s="64" t="str">
        <f>B102</f>
        <v>SGASSH2RC01</v>
      </c>
      <c r="C45" s="64" t="str">
        <f>C102</f>
        <v>H2 Production-Solar Steam Reforming of Methane, centralized</v>
      </c>
      <c r="D45" s="65" t="s">
        <v>439</v>
      </c>
      <c r="E45" s="70"/>
      <c r="F45" s="66">
        <f>IF('INPUT-Data(HP)'!J16=0,"",'INPUT-Data(HP)'!J16)</f>
        <v>0.83</v>
      </c>
      <c r="G45" s="339">
        <f t="shared" si="18"/>
        <v>0.83</v>
      </c>
      <c r="H45" s="66" t="str">
        <f>IF('INPUT-Data(HP)'!L16=0,"",'INPUT-Data(HP)'!L16)</f>
        <v/>
      </c>
      <c r="I45" s="66" t="str">
        <f>IF('INPUT-Data(HP)'!M16=0,"",'INPUT-Data(HP)'!M16)</f>
        <v/>
      </c>
      <c r="J45" s="66"/>
      <c r="K45" s="80"/>
      <c r="L45" s="67">
        <f>'INPUT-Data(HP)'!U16</f>
        <v>0.87</v>
      </c>
      <c r="M45" s="111">
        <f>IF('INPUT-Data(HP)'!V16=0,"",'INPUT-Data(HP)'!V16)</f>
        <v>309.91923452274369</v>
      </c>
      <c r="N45" s="338">
        <f t="shared" ref="N45" si="20">M45</f>
        <v>309.91923452274369</v>
      </c>
      <c r="O45" s="111" t="str">
        <f>IF('INPUT-Data(HP)'!X16=0,"",'INPUT-Data(HP)'!X16)</f>
        <v/>
      </c>
      <c r="P45" s="111" t="str">
        <f>IF('INPUT-Data(HP)'!Y16=0,"",'INPUT-Data(HP)'!Y16)</f>
        <v/>
      </c>
      <c r="Q45" s="111"/>
      <c r="R45" s="111">
        <f>IF('INPUT-Data(HP)'!Z16=0,"",'INPUT-Data(HP)'!Z16)</f>
        <v>21.665283231768949</v>
      </c>
      <c r="S45" s="338">
        <f t="shared" ref="S45" si="21">R45</f>
        <v>21.665283231768949</v>
      </c>
      <c r="T45" s="111" t="str">
        <f>IF('INPUT-Data(HP)'!AB16=0,"",'INPUT-Data(HP)'!AB16)</f>
        <v/>
      </c>
      <c r="U45" s="111" t="str">
        <f>IF('INPUT-Data(HP)'!AC16=0,"",'INPUT-Data(HP)'!AC16)</f>
        <v/>
      </c>
      <c r="V45" s="111"/>
      <c r="W45" s="68">
        <f>IF('INPUT-Data(HP)'!AD16=0,"",'INPUT-Data(HP)'!AD16)</f>
        <v>0.10592960288808664</v>
      </c>
      <c r="X45" s="68" t="str">
        <f>IF('INPUT-Data(HP)'!AE16=0,"",'INPUT-Data(HP)'!AE16)</f>
        <v/>
      </c>
      <c r="Y45" s="68" t="str">
        <f>IF('INPUT-Data(HP)'!AF16=0,"",'INPUT-Data(HP)'!AF16)</f>
        <v/>
      </c>
      <c r="Z45" s="68" t="str">
        <f>IF('INPUT-Data(HP)'!AG16=0,"",'INPUT-Data(HP)'!AG16)</f>
        <v/>
      </c>
      <c r="AA45" s="69">
        <f>IF('INPUT-Data(HP)'!AH16=0,"",'INPUT-Data(HP)'!AH16)</f>
        <v>20</v>
      </c>
      <c r="AB45" s="69"/>
      <c r="AC45" s="69"/>
      <c r="AD45" s="69"/>
      <c r="AE45" s="69">
        <f>IF('INPUT-Data(HP)'!AI16=0,"",'INPUT-Data(HP)'!AI16)</f>
        <v>2023</v>
      </c>
      <c r="AF45" s="68">
        <v>31.536000000000001</v>
      </c>
      <c r="AG45"/>
    </row>
    <row r="46" spans="2:33">
      <c r="B46" s="64"/>
      <c r="C46" s="64"/>
      <c r="D46" s="65" t="s">
        <v>440</v>
      </c>
      <c r="E46" s="70"/>
      <c r="F46" s="66">
        <f>IF('INPUT-Data(HP)'!N16=0,"",'INPUT-Data(HP)'!N16)</f>
        <v>0.32</v>
      </c>
      <c r="G46" s="339">
        <f t="shared" si="18"/>
        <v>0.32</v>
      </c>
      <c r="H46" s="66" t="str">
        <f>IF('INPUT-Data(HP)'!P16=0,"",'INPUT-Data(HP)'!P16)</f>
        <v/>
      </c>
      <c r="I46" s="66" t="str">
        <f>IF('INPUT-Data(HP)'!Q16=0,"",'INPUT-Data(HP)'!Q16)</f>
        <v/>
      </c>
      <c r="J46" s="66"/>
      <c r="K46" s="80"/>
      <c r="L46" s="67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68"/>
      <c r="X46" s="68"/>
      <c r="Y46" s="68"/>
      <c r="Z46" s="68"/>
      <c r="AA46" s="69"/>
      <c r="AB46" s="69"/>
      <c r="AC46" s="69"/>
      <c r="AD46" s="69"/>
      <c r="AE46" s="69"/>
      <c r="AF46" s="68"/>
      <c r="AG46"/>
    </row>
    <row r="47" spans="2:33">
      <c r="B47" s="64"/>
      <c r="C47" s="64"/>
      <c r="D47" s="65"/>
      <c r="E47" s="159" t="s">
        <v>274</v>
      </c>
      <c r="F47" s="80"/>
      <c r="G47" s="80"/>
      <c r="H47" s="80"/>
      <c r="I47" s="80"/>
      <c r="J47" s="80"/>
      <c r="K47" s="66">
        <f>'INPUT-Data(HP)'!R16</f>
        <v>1</v>
      </c>
      <c r="L47" s="67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68"/>
      <c r="X47" s="68"/>
      <c r="Y47" s="68"/>
      <c r="Z47" s="68"/>
      <c r="AA47" s="69"/>
      <c r="AB47" s="69"/>
      <c r="AC47" s="69"/>
      <c r="AD47" s="69"/>
      <c r="AE47" s="69"/>
      <c r="AF47" s="68"/>
      <c r="AG47"/>
    </row>
    <row r="48" spans="2:33">
      <c r="B48" s="54" t="str">
        <f>B103</f>
        <v>SGASH2RD01</v>
      </c>
      <c r="C48" s="54" t="str">
        <f>C103</f>
        <v>H2 Production-Methane Steam Reforming, medium size, decentralized</v>
      </c>
      <c r="D48" s="17" t="s">
        <v>439</v>
      </c>
      <c r="E48" s="26"/>
      <c r="F48" s="18">
        <f>IF('INPUT-Data(HP)'!J17=0,"",'INPUT-Data(HP)'!J17)</f>
        <v>1.36</v>
      </c>
      <c r="G48" s="18">
        <f>IF('INPUT-Data(HP)'!K17=0,"",'INPUT-Data(HP)'!K17)</f>
        <v>1.36</v>
      </c>
      <c r="H48" s="18">
        <f>IF('INPUT-Data(HP)'!L17=0,"",'INPUT-Data(HP)'!L17)</f>
        <v>1.27</v>
      </c>
      <c r="I48" s="18" t="str">
        <f>IF('INPUT-Data(HP)'!M17=0,"",'INPUT-Data(HP)'!M17)</f>
        <v/>
      </c>
      <c r="J48" s="18"/>
      <c r="K48" s="18"/>
      <c r="L48" s="33">
        <f>'INPUT-Data(HP)'!U17</f>
        <v>0.86</v>
      </c>
      <c r="M48" s="97">
        <f>IF('INPUT-Data(HP)'!V17=0,"",'INPUT-Data(HP)'!V17)</f>
        <v>485.78339020938637</v>
      </c>
      <c r="N48" s="97">
        <f>IF('INPUT-Data(HP)'!W17=0,"",'INPUT-Data(HP)'!W17)</f>
        <v>485.78339020938637</v>
      </c>
      <c r="O48" s="97">
        <f>IF('INPUT-Data(HP)'!X17=0,"",'INPUT-Data(HP)'!X17)</f>
        <v>376.87388821083033</v>
      </c>
      <c r="P48" s="97" t="str">
        <f>IF('INPUT-Data(HP)'!Y17=0,"",'INPUT-Data(HP)'!Y17)</f>
        <v/>
      </c>
      <c r="Q48" s="97"/>
      <c r="R48" s="97">
        <f>IF('INPUT-Data(HP)'!Z17=0,"",'INPUT-Data(HP)'!Z17)</f>
        <v>28.206777496028881</v>
      </c>
      <c r="S48" s="97">
        <f>IF('INPUT-Data(HP)'!AA17=0,"",'INPUT-Data(HP)'!AA17)</f>
        <v>28.206777496028881</v>
      </c>
      <c r="T48" s="97">
        <f>IF('INPUT-Data(HP)'!AB17=0,"",'INPUT-Data(HP)'!AB17)</f>
        <v>41.787818512635383</v>
      </c>
      <c r="U48" s="97" t="str">
        <f>IF('INPUT-Data(HP)'!AC17=0,"",'INPUT-Data(HP)'!AC17)</f>
        <v/>
      </c>
      <c r="V48" s="97"/>
      <c r="W48" s="36">
        <f>IF('INPUT-Data(HP)'!AD17=0,"",'INPUT-Data(HP)'!AD17)</f>
        <v>4.4297833935018051E-2</v>
      </c>
      <c r="X48" s="36">
        <f>IF('INPUT-Data(HP)'!AE17=0,"",'INPUT-Data(HP)'!AE17)</f>
        <v>4.4297833935018051E-2</v>
      </c>
      <c r="Y48" s="36">
        <f>IF('INPUT-Data(HP)'!AF17=0,"",'INPUT-Data(HP)'!AF17)</f>
        <v>4.3334837545126355E-2</v>
      </c>
      <c r="Z48" s="36" t="str">
        <f>IF('INPUT-Data(HP)'!AG17=0,"",'INPUT-Data(HP)'!AG17)</f>
        <v/>
      </c>
      <c r="AA48" s="30">
        <f>IF('INPUT-Data(HP)'!AH17=0,"",'INPUT-Data(HP)'!AH17)</f>
        <v>20</v>
      </c>
      <c r="AB48" s="30"/>
      <c r="AC48" s="30"/>
      <c r="AD48" s="30"/>
      <c r="AE48" s="30">
        <f>IF('INPUT-Data(HP)'!AI17=0,"",'INPUT-Data(HP)'!AI17)</f>
        <v>2023</v>
      </c>
      <c r="AF48" s="36">
        <v>31.536000000000001</v>
      </c>
      <c r="AG48"/>
    </row>
    <row r="49" spans="2:33">
      <c r="B49" s="54"/>
      <c r="C49" s="54"/>
      <c r="D49" s="17" t="s">
        <v>516</v>
      </c>
      <c r="E49" s="26"/>
      <c r="F49" s="18">
        <f>IF('INPUT-Data(HP)'!N17=0,"",'INPUT-Data(HP)'!N17)</f>
        <v>0.25</v>
      </c>
      <c r="G49" s="18">
        <f>IF('INPUT-Data(HP)'!O17=0,"",'INPUT-Data(HP)'!O17)</f>
        <v>0.25</v>
      </c>
      <c r="H49" s="18">
        <f>IF('INPUT-Data(HP)'!P17=0,"",'INPUT-Data(HP)'!P17)</f>
        <v>6.7000000000000004E-2</v>
      </c>
      <c r="I49" s="18" t="str">
        <f>IF('INPUT-Data(HP)'!Q17=0,"",'INPUT-Data(HP)'!Q17)</f>
        <v/>
      </c>
      <c r="J49" s="18"/>
      <c r="K49" s="18"/>
      <c r="L49" s="33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36"/>
      <c r="X49" s="36"/>
      <c r="Y49" s="36"/>
      <c r="Z49" s="36"/>
      <c r="AA49" s="30"/>
      <c r="AB49" s="30"/>
      <c r="AC49" s="30"/>
      <c r="AD49" s="30"/>
      <c r="AE49" s="30"/>
      <c r="AF49" s="36"/>
      <c r="AG49"/>
    </row>
    <row r="50" spans="2:33">
      <c r="B50" s="54"/>
      <c r="C50" s="54"/>
      <c r="D50" s="17"/>
      <c r="E50" s="50" t="s">
        <v>272</v>
      </c>
      <c r="J50" s="327"/>
      <c r="K50" s="18">
        <f>'INPUT-Data(HP)'!R17</f>
        <v>1</v>
      </c>
      <c r="L50" s="33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36"/>
      <c r="X50" s="36"/>
      <c r="Y50" s="36"/>
      <c r="Z50" s="36"/>
      <c r="AA50" s="30"/>
      <c r="AB50" s="30"/>
      <c r="AC50" s="30"/>
      <c r="AD50" s="30"/>
      <c r="AE50" s="30"/>
      <c r="AF50" s="36"/>
      <c r="AG50"/>
    </row>
    <row r="51" spans="2:33">
      <c r="B51" s="64" t="str">
        <f>B104</f>
        <v>SGASH2RD02</v>
      </c>
      <c r="C51" s="64" t="str">
        <f>C104</f>
        <v>H2 Production-Methane Steam Reforming, small size, decentralized</v>
      </c>
      <c r="D51" s="65" t="s">
        <v>439</v>
      </c>
      <c r="E51" s="70"/>
      <c r="F51" s="66">
        <f>IF('INPUT-Data(HP)'!J18=0,"",'INPUT-Data(HP)'!J18)</f>
        <v>1.81</v>
      </c>
      <c r="G51" s="339">
        <f t="shared" ref="G51:G52" si="22">F51</f>
        <v>1.81</v>
      </c>
      <c r="H51" s="66">
        <f>IF('INPUT-Data(HP)'!L18=0,"",'INPUT-Data(HP)'!L18)</f>
        <v>1.81</v>
      </c>
      <c r="I51" s="66">
        <f>IF('INPUT-Data(HP)'!M18=0,"",'INPUT-Data(HP)'!M18)</f>
        <v>1.55</v>
      </c>
      <c r="J51" s="66"/>
      <c r="K51" s="80"/>
      <c r="L51" s="67">
        <f>'INPUT-Data(HP)'!U18</f>
        <v>0.9</v>
      </c>
      <c r="M51" s="111">
        <f>IF('INPUT-Data(HP)'!V18=0,"",'INPUT-Data(HP)'!V18)</f>
        <v>1847.6532545848377</v>
      </c>
      <c r="N51" s="111">
        <f>IF('INPUT-Data(HP)'!W18=0,"",'INPUT-Data(HP)'!W18)</f>
        <v>1642.9354605487365</v>
      </c>
      <c r="O51" s="111">
        <f>IF('INPUT-Data(HP)'!X18=0,"",'INPUT-Data(HP)'!X18)</f>
        <v>1642.9354605487365</v>
      </c>
      <c r="P51" s="111">
        <f>IF('INPUT-Data(HP)'!Y18=0,"",'INPUT-Data(HP)'!Y18)</f>
        <v>1157.7898204765343</v>
      </c>
      <c r="Q51" s="111"/>
      <c r="R51" s="111">
        <f>IF('INPUT-Data(HP)'!Z18=0,"",'INPUT-Data(HP)'!Z18)</f>
        <v>44.551402440433215</v>
      </c>
      <c r="S51" s="338">
        <f t="shared" ref="S51" si="23">R51</f>
        <v>44.551402440433215</v>
      </c>
      <c r="T51" s="111">
        <f>IF('INPUT-Data(HP)'!AB18=0,"",'INPUT-Data(HP)'!AB18)</f>
        <v>44.551402440433215</v>
      </c>
      <c r="U51" s="111">
        <f>IF('INPUT-Data(HP)'!AC18=0,"",'INPUT-Data(HP)'!AC18)</f>
        <v>22.959004938628162</v>
      </c>
      <c r="V51" s="111"/>
      <c r="W51" s="68">
        <f>IF('INPUT-Data(HP)'!AD18=0,"",'INPUT-Data(HP)'!AD18)</f>
        <v>0.64520758122743693</v>
      </c>
      <c r="X51" s="68" t="str">
        <f>IF('INPUT-Data(HP)'!AE18=0,"",'INPUT-Data(HP)'!AE18)</f>
        <v/>
      </c>
      <c r="Y51" s="68">
        <f>IF('INPUT-Data(HP)'!AF18=0,"",'INPUT-Data(HP)'!AF18)</f>
        <v>0.64520758122743693</v>
      </c>
      <c r="Z51" s="68">
        <f>IF('INPUT-Data(HP)'!AG18=0,"",'INPUT-Data(HP)'!AG18)</f>
        <v>0.40445848375451265</v>
      </c>
      <c r="AA51" s="69">
        <f>IF('INPUT-Data(HP)'!AH18=0,"",'INPUT-Data(HP)'!AH18)</f>
        <v>20</v>
      </c>
      <c r="AB51" s="69"/>
      <c r="AC51" s="69"/>
      <c r="AD51" s="69"/>
      <c r="AE51" s="69">
        <f>IF('INPUT-Data(HP)'!AI18=0,"",'INPUT-Data(HP)'!AI18)</f>
        <v>2023</v>
      </c>
      <c r="AF51" s="68">
        <v>31.536000000000001</v>
      </c>
      <c r="AG51"/>
    </row>
    <row r="52" spans="2:33">
      <c r="B52" s="64"/>
      <c r="C52" s="64"/>
      <c r="D52" s="65" t="s">
        <v>516</v>
      </c>
      <c r="E52" s="70"/>
      <c r="F52" s="66">
        <f>IF('INPUT-Data(HP)'!N18=0,"",'INPUT-Data(HP)'!N18)</f>
        <v>6.5000000000000002E-2</v>
      </c>
      <c r="G52" s="339">
        <f t="shared" si="22"/>
        <v>6.5000000000000002E-2</v>
      </c>
      <c r="H52" s="66">
        <f>IF('INPUT-Data(HP)'!P18=0,"",'INPUT-Data(HP)'!P18)</f>
        <v>6.5000000000000002E-2</v>
      </c>
      <c r="I52" s="66">
        <f>IF('INPUT-Data(HP)'!Q18=0,"",'INPUT-Data(HP)'!Q18)</f>
        <v>0.05</v>
      </c>
      <c r="J52" s="66"/>
      <c r="K52" s="80"/>
      <c r="L52" s="67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68"/>
      <c r="X52" s="68"/>
      <c r="Y52" s="68"/>
      <c r="Z52" s="68"/>
      <c r="AA52" s="69"/>
      <c r="AB52" s="69"/>
      <c r="AC52" s="69"/>
      <c r="AD52" s="69"/>
      <c r="AE52" s="69"/>
      <c r="AF52" s="68"/>
      <c r="AG52"/>
    </row>
    <row r="53" spans="2:33">
      <c r="B53" s="64"/>
      <c r="C53" s="64"/>
      <c r="D53" s="65"/>
      <c r="E53" s="159" t="s">
        <v>272</v>
      </c>
      <c r="F53" s="80"/>
      <c r="G53" s="80"/>
      <c r="H53" s="80"/>
      <c r="I53" s="80"/>
      <c r="J53" s="80"/>
      <c r="K53" s="66">
        <f>'INPUT-Data(HP)'!R18</f>
        <v>1</v>
      </c>
      <c r="L53" s="67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68"/>
      <c r="X53" s="68"/>
      <c r="Y53" s="68"/>
      <c r="Z53" s="68"/>
      <c r="AA53" s="69"/>
      <c r="AB53" s="69"/>
      <c r="AC53" s="69"/>
      <c r="AD53" s="69"/>
      <c r="AE53" s="69"/>
      <c r="AF53" s="68"/>
      <c r="AG53"/>
    </row>
    <row r="54" spans="2:33">
      <c r="B54" s="54" t="str">
        <f>B105</f>
        <v>SETHH2RD01</v>
      </c>
      <c r="C54" s="54" t="str">
        <f>C105</f>
        <v>H2 Production-Ethanol Steam Reforming, decentralized</v>
      </c>
      <c r="D54" s="17" t="s">
        <v>441</v>
      </c>
      <c r="E54" s="26"/>
      <c r="F54" s="36">
        <f>IF('INPUT-Data(HP)'!J19=0,"",'INPUT-Data(HP)'!J19)</f>
        <v>88.432835820895519</v>
      </c>
      <c r="G54" s="325">
        <f t="shared" ref="G54:G55" si="24">F54</f>
        <v>88.432835820895519</v>
      </c>
      <c r="H54" s="18" t="str">
        <f>IF('INPUT-Data(HP)'!L19=0,"",'INPUT-Data(HP)'!L19)</f>
        <v/>
      </c>
      <c r="I54" s="18" t="str">
        <f>IF('INPUT-Data(HP)'!M19=0,"",'INPUT-Data(HP)'!M19)</f>
        <v/>
      </c>
      <c r="J54" s="18"/>
      <c r="K54" s="18"/>
      <c r="L54" s="33">
        <f>'INPUT-Data(HP)'!U19</f>
        <v>0.9</v>
      </c>
      <c r="M54" s="97">
        <f>IF('INPUT-Data(HP)'!V19=0,"",'INPUT-Data(HP)'!V19)</f>
        <v>7379.6801588447661</v>
      </c>
      <c r="N54" s="338">
        <f t="shared" ref="N54" si="25">M54</f>
        <v>7379.6801588447661</v>
      </c>
      <c r="O54" s="97" t="str">
        <f>IF('INPUT-Data(HP)'!X19=0,"",'INPUT-Data(HP)'!X19)</f>
        <v/>
      </c>
      <c r="P54" s="97" t="str">
        <f>IF('INPUT-Data(HP)'!Y19=0,"",'INPUT-Data(HP)'!Y19)</f>
        <v/>
      </c>
      <c r="Q54" s="97"/>
      <c r="R54" s="97" t="str">
        <f>IF('INPUT-Data(HP)'!Z19=0,"",'INPUT-Data(HP)'!Z19)</f>
        <v/>
      </c>
      <c r="S54" s="97" t="str">
        <f>IF('INPUT-Data(HP)'!AA19=0,"",'INPUT-Data(HP)'!AA19)</f>
        <v/>
      </c>
      <c r="T54" s="97" t="str">
        <f>IF('INPUT-Data(HP)'!AB19=0,"",'INPUT-Data(HP)'!AB19)</f>
        <v/>
      </c>
      <c r="U54" s="97" t="str">
        <f>IF('INPUT-Data(HP)'!AC19=0,"",'INPUT-Data(HP)'!AC19)</f>
        <v/>
      </c>
      <c r="V54" s="97"/>
      <c r="W54" s="36">
        <f>IF('INPUT-Data(HP)'!AD19=0,"",'INPUT-Data(HP)'!AD19)</f>
        <v>19.645126353790612</v>
      </c>
      <c r="X54" s="36" t="str">
        <f>IF('INPUT-Data(HP)'!AE19=0,"",'INPUT-Data(HP)'!AE19)</f>
        <v/>
      </c>
      <c r="Y54" s="36" t="str">
        <f>IF('INPUT-Data(HP)'!AF19=0,"",'INPUT-Data(HP)'!AF19)</f>
        <v/>
      </c>
      <c r="Z54" s="36" t="str">
        <f>IF('INPUT-Data(HP)'!AG19=0,"",'INPUT-Data(HP)'!AG19)</f>
        <v/>
      </c>
      <c r="AA54" s="30">
        <f>IF('INPUT-Data(HP)'!AH19=0,"",'INPUT-Data(HP)'!AH19)</f>
        <v>10</v>
      </c>
      <c r="AB54" s="30"/>
      <c r="AC54" s="30"/>
      <c r="AD54" s="30"/>
      <c r="AE54" s="30">
        <f>IF('INPUT-Data(HP)'!AI19=0,"",'INPUT-Data(HP)'!AI19)</f>
        <v>2023</v>
      </c>
      <c r="AF54" s="36">
        <v>31.536000000000001</v>
      </c>
      <c r="AG54"/>
    </row>
    <row r="55" spans="2:33">
      <c r="B55" s="54"/>
      <c r="C55" s="54"/>
      <c r="D55" s="17" t="s">
        <v>516</v>
      </c>
      <c r="E55" s="26"/>
      <c r="F55" s="18">
        <f>IF('INPUT-Data(HP)'!N19=0,"",'INPUT-Data(HP)'!N19)</f>
        <v>0.17699999999999999</v>
      </c>
      <c r="G55" s="339">
        <f t="shared" si="24"/>
        <v>0.17699999999999999</v>
      </c>
      <c r="H55" s="18" t="str">
        <f>IF('INPUT-Data(HP)'!P19=0,"",'INPUT-Data(HP)'!P19)</f>
        <v/>
      </c>
      <c r="I55" s="18" t="str">
        <f>IF('INPUT-Data(HP)'!Q19=0,"",'INPUT-Data(HP)'!Q19)</f>
        <v/>
      </c>
      <c r="J55" s="18"/>
      <c r="K55" s="18"/>
      <c r="L55" s="33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36"/>
      <c r="X55" s="36"/>
      <c r="Y55" s="36"/>
      <c r="Z55" s="36"/>
      <c r="AA55" s="30"/>
      <c r="AB55" s="30"/>
      <c r="AC55" s="30"/>
      <c r="AD55" s="30"/>
      <c r="AE55" s="30"/>
      <c r="AF55" s="36"/>
      <c r="AG55"/>
    </row>
    <row r="56" spans="2:33">
      <c r="B56" s="54"/>
      <c r="C56" s="54"/>
      <c r="D56" s="17"/>
      <c r="E56" s="50" t="s">
        <v>272</v>
      </c>
      <c r="J56" s="327"/>
      <c r="K56" s="18">
        <f>'INPUT-Data(HP)'!R19</f>
        <v>1</v>
      </c>
      <c r="L56" s="33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36"/>
      <c r="X56" s="36"/>
      <c r="Y56" s="36"/>
      <c r="Z56" s="36"/>
      <c r="AA56" s="30"/>
      <c r="AB56" s="30"/>
      <c r="AC56" s="30"/>
      <c r="AD56" s="30"/>
      <c r="AE56" s="30"/>
      <c r="AF56" s="36"/>
      <c r="AG56"/>
    </row>
    <row r="57" spans="2:33">
      <c r="B57" s="64" t="str">
        <f>B106</f>
        <v>SGASSH2RD01</v>
      </c>
      <c r="C57" s="64" t="str">
        <f>C106</f>
        <v>H2 Production-Solar Steam Reforming of Methane, decentralized</v>
      </c>
      <c r="D57" s="65" t="s">
        <v>439</v>
      </c>
      <c r="E57" s="70"/>
      <c r="F57" s="66">
        <f>IF('INPUT-Data(HP)'!J20=0,"",'INPUT-Data(HP)'!J20)</f>
        <v>1.72</v>
      </c>
      <c r="G57" s="339">
        <f t="shared" ref="G57:G58" si="26">F57</f>
        <v>1.72</v>
      </c>
      <c r="H57" s="66" t="str">
        <f>IF('INPUT-Data(HP)'!L20=0,"",'INPUT-Data(HP)'!L20)</f>
        <v/>
      </c>
      <c r="I57" s="66" t="str">
        <f>IF('INPUT-Data(HP)'!M20=0,"",'INPUT-Data(HP)'!M20)</f>
        <v/>
      </c>
      <c r="J57" s="66"/>
      <c r="K57" s="80"/>
      <c r="L57" s="67">
        <f>'INPUT-Data(HP)'!U20</f>
        <v>0.33</v>
      </c>
      <c r="M57" s="111">
        <f>IF('INPUT-Data(HP)'!V20=0,"",'INPUT-Data(HP)'!V20)</f>
        <v>851.85196895306865</v>
      </c>
      <c r="N57" s="338">
        <f t="shared" ref="N57" si="27">M57</f>
        <v>851.85196895306865</v>
      </c>
      <c r="O57" s="111" t="str">
        <f>IF('INPUT-Data(HP)'!X20=0,"",'INPUT-Data(HP)'!X20)</f>
        <v/>
      </c>
      <c r="P57" s="111" t="str">
        <f>IF('INPUT-Data(HP)'!Y20=0,"",'INPUT-Data(HP)'!Y20)</f>
        <v/>
      </c>
      <c r="Q57" s="111"/>
      <c r="R57" s="111">
        <f>IF('INPUT-Data(HP)'!Z20=0,"",'INPUT-Data(HP)'!Z20)</f>
        <v>17.137257257761732</v>
      </c>
      <c r="S57" s="338">
        <f t="shared" ref="S57" si="28">R57</f>
        <v>17.137257257761732</v>
      </c>
      <c r="T57" s="111" t="str">
        <f>IF('INPUT-Data(HP)'!AB20=0,"",'INPUT-Data(HP)'!AB20)</f>
        <v/>
      </c>
      <c r="U57" s="111" t="str">
        <f>IF('INPUT-Data(HP)'!AC20=0,"",'INPUT-Data(HP)'!AC20)</f>
        <v/>
      </c>
      <c r="V57" s="111"/>
      <c r="W57" s="68" t="str">
        <f>IF('INPUT-Data(HP)'!AD20=0,"",'INPUT-Data(HP)'!AD20)</f>
        <v/>
      </c>
      <c r="X57" s="68" t="str">
        <f>IF('INPUT-Data(HP)'!AE20=0,"",'INPUT-Data(HP)'!AE20)</f>
        <v/>
      </c>
      <c r="Y57" s="68" t="str">
        <f>IF('INPUT-Data(HP)'!AF20=0,"",'INPUT-Data(HP)'!AF20)</f>
        <v/>
      </c>
      <c r="Z57" s="68" t="str">
        <f>IF('INPUT-Data(HP)'!AG20=0,"",'INPUT-Data(HP)'!AG20)</f>
        <v/>
      </c>
      <c r="AA57" s="69">
        <f>IF('INPUT-Data(HP)'!AH20=0,"",'INPUT-Data(HP)'!AH20)</f>
        <v>20</v>
      </c>
      <c r="AB57" s="69"/>
      <c r="AC57" s="69"/>
      <c r="AD57" s="69"/>
      <c r="AE57" s="69">
        <f>IF('INPUT-Data(HP)'!AI20=0,"",'INPUT-Data(HP)'!AI20)</f>
        <v>2023</v>
      </c>
      <c r="AF57" s="68">
        <v>31.536000000000001</v>
      </c>
      <c r="AG57"/>
    </row>
    <row r="58" spans="2:33">
      <c r="B58" s="64"/>
      <c r="C58" s="64"/>
      <c r="D58" s="65" t="s">
        <v>440</v>
      </c>
      <c r="E58" s="70"/>
      <c r="F58" s="66">
        <f>IF('INPUT-Data(HP)'!N20=0,"",'INPUT-Data(HP)'!N20)</f>
        <v>0.23400000000000001</v>
      </c>
      <c r="G58" s="339">
        <f t="shared" si="26"/>
        <v>0.23400000000000001</v>
      </c>
      <c r="H58" s="66" t="str">
        <f>IF('INPUT-Data(HP)'!P20=0,"",'INPUT-Data(HP)'!P20)</f>
        <v/>
      </c>
      <c r="I58" s="66" t="str">
        <f>IF('INPUT-Data(HP)'!Q20=0,"",'INPUT-Data(HP)'!Q20)</f>
        <v/>
      </c>
      <c r="J58" s="66"/>
      <c r="K58" s="80"/>
      <c r="L58" s="67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68"/>
      <c r="X58" s="68"/>
      <c r="Y58" s="68"/>
      <c r="Z58" s="68"/>
      <c r="AA58" s="69"/>
      <c r="AB58" s="69"/>
      <c r="AC58" s="69"/>
      <c r="AD58" s="69"/>
      <c r="AE58" s="69"/>
      <c r="AF58" s="68"/>
      <c r="AG58"/>
    </row>
    <row r="59" spans="2:33">
      <c r="B59" s="64"/>
      <c r="C59" s="64"/>
      <c r="D59" s="65"/>
      <c r="E59" s="159" t="s">
        <v>272</v>
      </c>
      <c r="F59" s="80"/>
      <c r="G59" s="80"/>
      <c r="H59" s="80"/>
      <c r="I59" s="80"/>
      <c r="J59" s="80"/>
      <c r="K59" s="66">
        <f>'INPUT-Data(HP)'!R20</f>
        <v>1</v>
      </c>
      <c r="L59" s="67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68"/>
      <c r="X59" s="68"/>
      <c r="Y59" s="68"/>
      <c r="Z59" s="68"/>
      <c r="AA59" s="69"/>
      <c r="AB59" s="69"/>
      <c r="AC59" s="69"/>
      <c r="AD59" s="69"/>
      <c r="AE59" s="69"/>
      <c r="AF59" s="68"/>
      <c r="AG59"/>
    </row>
    <row r="60" spans="2:33">
      <c r="B60" s="54" t="str">
        <f>B107</f>
        <v>SHFOH2POC01</v>
      </c>
      <c r="C60" s="54" t="str">
        <f>C107</f>
        <v>H2 Production-Central PO of Heavy Oil (CPO3)</v>
      </c>
      <c r="D60" s="17" t="s">
        <v>442</v>
      </c>
      <c r="E60" s="8"/>
      <c r="F60" s="18">
        <f>IF('INPUT-Data(HP)'!J21=0,"",'INPUT-Data(HP)'!J21)</f>
        <v>1.3</v>
      </c>
      <c r="G60" s="339">
        <f t="shared" ref="G60:G61" si="29">F60</f>
        <v>1.3</v>
      </c>
      <c r="H60" s="18" t="str">
        <f>IF('INPUT-Data(HP)'!L21=0,"",'INPUT-Data(HP)'!L21)</f>
        <v/>
      </c>
      <c r="I60" s="18" t="str">
        <f>IF('INPUT-Data(HP)'!M21=0,"",'INPUT-Data(HP)'!M21)</f>
        <v/>
      </c>
      <c r="J60" s="18"/>
      <c r="K60" s="8"/>
      <c r="L60" s="33">
        <f>'INPUT-Data(HP)'!U21</f>
        <v>0.9</v>
      </c>
      <c r="M60" s="97">
        <f>IF('INPUT-Data(HP)'!V21=0,"",'INPUT-Data(HP)'!V21)</f>
        <v>431.84795003610117</v>
      </c>
      <c r="N60" s="338">
        <f t="shared" ref="N60" si="30">M60</f>
        <v>431.84795003610117</v>
      </c>
      <c r="O60" s="97" t="str">
        <f>IF('INPUT-Data(HP)'!X21=0,"",'INPUT-Data(HP)'!X21)</f>
        <v/>
      </c>
      <c r="P60" s="97" t="str">
        <f>IF('INPUT-Data(HP)'!Y21=0,"",'INPUT-Data(HP)'!Y21)</f>
        <v/>
      </c>
      <c r="Q60" s="97"/>
      <c r="R60" s="97">
        <f>IF('INPUT-Data(HP)'!Z21=0,"",'INPUT-Data(HP)'!Z21)</f>
        <v>21.592397501805056</v>
      </c>
      <c r="S60" s="338">
        <f t="shared" ref="S60" si="31">R60</f>
        <v>21.592397501805056</v>
      </c>
      <c r="T60" s="97" t="str">
        <f>IF('INPUT-Data(HP)'!AB21=0,"",'INPUT-Data(HP)'!AB21)</f>
        <v/>
      </c>
      <c r="U60" s="97" t="str">
        <f>IF('INPUT-Data(HP)'!AC21=0,"",'INPUT-Data(HP)'!AC21)</f>
        <v/>
      </c>
      <c r="V60" s="97"/>
      <c r="W60" s="36">
        <f>IF('INPUT-Data(HP)'!AD21=0,"",'INPUT-Data(HP)'!AD21)</f>
        <v>0.14444945848375451</v>
      </c>
      <c r="X60" s="36" t="str">
        <f>IF('INPUT-Data(HP)'!AE21=0,"",'INPUT-Data(HP)'!AE21)</f>
        <v/>
      </c>
      <c r="Y60" s="36" t="str">
        <f>IF('INPUT-Data(HP)'!AF21=0,"",'INPUT-Data(HP)'!AF21)</f>
        <v/>
      </c>
      <c r="Z60" s="36" t="str">
        <f>IF('INPUT-Data(HP)'!AG21=0,"",'INPUT-Data(HP)'!AG21)</f>
        <v/>
      </c>
      <c r="AA60" s="30">
        <f>IF('INPUT-Data(HP)'!AH21=0,"",'INPUT-Data(HP)'!AH21)</f>
        <v>25</v>
      </c>
      <c r="AB60" s="30"/>
      <c r="AC60" s="30"/>
      <c r="AD60" s="30"/>
      <c r="AE60" s="30">
        <f>IF('INPUT-Data(HP)'!AI21=0,"",'INPUT-Data(HP)'!AI21)</f>
        <v>2023</v>
      </c>
      <c r="AF60" s="36">
        <v>31.536000000000001</v>
      </c>
      <c r="AG60"/>
    </row>
    <row r="61" spans="2:33">
      <c r="B61" s="54"/>
      <c r="C61" s="54"/>
      <c r="D61" s="17" t="s">
        <v>436</v>
      </c>
      <c r="E61" s="17"/>
      <c r="F61" s="18">
        <f>IF('INPUT-Data(HP)'!N21=0,"",'INPUT-Data(HP)'!N21)</f>
        <v>6.3E-2</v>
      </c>
      <c r="G61" s="339">
        <f t="shared" si="29"/>
        <v>6.3E-2</v>
      </c>
      <c r="H61" s="18" t="str">
        <f>IF('INPUT-Data(HP)'!P21=0,"",'INPUT-Data(HP)'!P21)</f>
        <v/>
      </c>
      <c r="I61" s="18" t="str">
        <f>IF('INPUT-Data(HP)'!Q21=0,"",'INPUT-Data(HP)'!Q21)</f>
        <v/>
      </c>
      <c r="J61" s="18"/>
      <c r="K61" s="17"/>
      <c r="L61" s="33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36"/>
      <c r="X61" s="36"/>
      <c r="Y61" s="36"/>
      <c r="Z61" s="36"/>
      <c r="AA61" s="30"/>
      <c r="AB61" s="30"/>
      <c r="AC61" s="30"/>
      <c r="AD61" s="30"/>
      <c r="AE61" s="30"/>
      <c r="AF61" s="36"/>
      <c r="AG61"/>
    </row>
    <row r="62" spans="2:33">
      <c r="B62" s="56"/>
      <c r="C62" s="56"/>
      <c r="D62" s="16"/>
      <c r="E62" s="55" t="s">
        <v>274</v>
      </c>
      <c r="F62" s="16"/>
      <c r="G62" s="16"/>
      <c r="H62" s="16"/>
      <c r="I62" s="16"/>
      <c r="J62" s="16"/>
      <c r="K62" s="22">
        <f>'INPUT-Data(HP)'!R21</f>
        <v>1</v>
      </c>
      <c r="L62" s="38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37"/>
      <c r="X62" s="37"/>
      <c r="Y62" s="37"/>
      <c r="Z62" s="37"/>
      <c r="AA62" s="23"/>
      <c r="AB62" s="23"/>
      <c r="AC62" s="23"/>
      <c r="AD62" s="23"/>
      <c r="AE62" s="23"/>
      <c r="AF62" s="37"/>
      <c r="AG62"/>
    </row>
    <row r="63" spans="2:33" s="327" customFormat="1" ht="15">
      <c r="B63" s="419" t="s">
        <v>574</v>
      </c>
      <c r="C63" s="420" t="s">
        <v>598</v>
      </c>
      <c r="D63" s="416" t="s">
        <v>436</v>
      </c>
      <c r="E63" s="417"/>
      <c r="F63" s="29">
        <f>1/0.65</f>
        <v>1.5384615384615383</v>
      </c>
      <c r="G63" s="29">
        <f>1/0.7</f>
        <v>1.4285714285714286</v>
      </c>
      <c r="H63" s="29"/>
      <c r="I63" s="29">
        <f>1/0.75</f>
        <v>1.3333333333333333</v>
      </c>
      <c r="J63" s="29">
        <f>1/0.8</f>
        <v>1.25</v>
      </c>
      <c r="K63" s="29"/>
      <c r="L63" s="34">
        <v>0.95</v>
      </c>
      <c r="M63" s="113">
        <v>1500</v>
      </c>
      <c r="N63" s="113">
        <v>1200</v>
      </c>
      <c r="O63" s="113"/>
      <c r="P63" s="113">
        <v>950</v>
      </c>
      <c r="Q63" s="113">
        <v>750</v>
      </c>
      <c r="R63" s="113">
        <f>M63*0.03</f>
        <v>45</v>
      </c>
      <c r="S63" s="113">
        <f>N63*0.03</f>
        <v>36</v>
      </c>
      <c r="T63" s="113"/>
      <c r="U63" s="113">
        <v>28.5</v>
      </c>
      <c r="V63" s="113">
        <f>Q63*0.03</f>
        <v>22.5</v>
      </c>
      <c r="W63" s="42"/>
      <c r="X63" s="42"/>
      <c r="Y63" s="42"/>
      <c r="Z63" s="42"/>
      <c r="AA63" s="31">
        <f>25000/8760</f>
        <v>2.8538812785388128</v>
      </c>
      <c r="AB63" s="31">
        <f>50000/8760</f>
        <v>5.7077625570776256</v>
      </c>
      <c r="AC63" s="31">
        <f>60000/8760</f>
        <v>6.8493150684931505</v>
      </c>
      <c r="AD63" s="31">
        <f>80000/8760</f>
        <v>9.1324200913242013</v>
      </c>
      <c r="AE63" s="31">
        <v>2015</v>
      </c>
      <c r="AF63" s="42">
        <v>31.536000000000001</v>
      </c>
      <c r="AG63" s="326"/>
    </row>
    <row r="64" spans="2:33" s="327" customFormat="1" ht="15">
      <c r="B64" s="416"/>
      <c r="C64" s="416"/>
      <c r="D64" s="416"/>
      <c r="E64" s="421" t="s">
        <v>271</v>
      </c>
      <c r="F64" s="29"/>
      <c r="G64" s="29"/>
      <c r="H64" s="29"/>
      <c r="I64" s="29"/>
      <c r="J64" s="29"/>
      <c r="K64" s="29">
        <v>1</v>
      </c>
      <c r="L64" s="34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42"/>
      <c r="X64" s="42"/>
      <c r="Y64" s="42"/>
      <c r="Z64" s="42"/>
      <c r="AA64" s="31"/>
      <c r="AB64" s="31"/>
      <c r="AC64" s="31"/>
      <c r="AD64" s="31"/>
      <c r="AE64" s="31"/>
      <c r="AF64" s="42"/>
      <c r="AG64" s="326"/>
    </row>
    <row r="65" spans="1:33">
      <c r="B65" s="59" t="str">
        <f>B108</f>
        <v>SELCH2EC01</v>
      </c>
      <c r="C65" s="59" t="str">
        <f>C108</f>
        <v>H2 Production-Alkaline Electrolyser, large size, centralized</v>
      </c>
      <c r="D65" s="28" t="s">
        <v>436</v>
      </c>
      <c r="E65" s="160"/>
      <c r="F65" s="29">
        <f>IF('INPUT-Data(HP)'!J22=0,"",'INPUT-Data(HP)'!J22)</f>
        <v>1.5</v>
      </c>
      <c r="G65" s="29">
        <f>IF('INPUT-Data(HP)'!K22=0,"",'INPUT-Data(HP)'!K22)</f>
        <v>1.5</v>
      </c>
      <c r="H65" s="29">
        <f>IF('INPUT-Data(HP)'!L22=0,"",'INPUT-Data(HP)'!L22)</f>
        <v>1.38</v>
      </c>
      <c r="I65" s="29" t="str">
        <f>IF('INPUT-Data(HP)'!M22=0,"",'INPUT-Data(HP)'!M22)</f>
        <v/>
      </c>
      <c r="J65" s="29"/>
      <c r="K65" s="29"/>
      <c r="L65" s="34">
        <f>'INPUT-Data(HP)'!U22</f>
        <v>0.9</v>
      </c>
      <c r="M65" s="113">
        <f>IF('INPUT-Data(HP)'!V22=0,"",'INPUT-Data(HP)'!V22)</f>
        <v>625.90620606498203</v>
      </c>
      <c r="N65" s="113">
        <f>IF('INPUT-Data(HP)'!W22=0,"",'INPUT-Data(HP)'!W22)</f>
        <v>625.90620606498203</v>
      </c>
      <c r="O65" s="113">
        <f>IF('INPUT-Data(HP)'!X22=0,"",'INPUT-Data(HP)'!X22)</f>
        <v>377.18365256317691</v>
      </c>
      <c r="P65" s="113">
        <v>377.2</v>
      </c>
      <c r="Q65" s="113"/>
      <c r="R65" s="113">
        <f>IF('INPUT-Data(HP)'!Z22=0,"",'INPUT-Data(HP)'!Z22)</f>
        <v>41.544866079422384</v>
      </c>
      <c r="S65" s="113">
        <f>IF('INPUT-Data(HP)'!AA22=0,"",'INPUT-Data(HP)'!AA22)</f>
        <v>40.007556053017765</v>
      </c>
      <c r="T65" s="113">
        <f>IF('INPUT-Data(HP)'!AB22=0,"",'INPUT-Data(HP)'!AB22)</f>
        <v>26.238862787003612</v>
      </c>
      <c r="U65" s="113">
        <f>U67</f>
        <v>10.386216519855596</v>
      </c>
      <c r="V65" s="113"/>
      <c r="W65" s="42">
        <f>IF('INPUT-Data(HP)'!AD22=0,"",'INPUT-Data(HP)'!AD22)</f>
        <v>0.1540794223826715</v>
      </c>
      <c r="X65" s="42">
        <f>IF('INPUT-Data(HP)'!AE22=0,"",'INPUT-Data(HP)'!AE22)</f>
        <v>0.1540794223826715</v>
      </c>
      <c r="Y65" s="42">
        <f>IF('INPUT-Data(HP)'!AF22=0,"",'INPUT-Data(HP)'!AF22)</f>
        <v>6.3557761732851992E-2</v>
      </c>
      <c r="Z65" s="42" t="str">
        <f>IF('INPUT-Data(HP)'!AG22=0,"",'INPUT-Data(HP)'!AG22)</f>
        <v/>
      </c>
      <c r="AA65" s="31">
        <f>IF('INPUT-Data(HP)'!AH22=0,"",'INPUT-Data(HP)'!AH22)</f>
        <v>40</v>
      </c>
      <c r="AB65" s="31"/>
      <c r="AC65" s="31"/>
      <c r="AD65" s="31"/>
      <c r="AE65" s="31">
        <f>IF('INPUT-Data(HP)'!AI22=0,"",'INPUT-Data(HP)'!AI22)</f>
        <v>2023</v>
      </c>
      <c r="AF65" s="42">
        <v>31.536000000000001</v>
      </c>
      <c r="AG65"/>
    </row>
    <row r="66" spans="1:33">
      <c r="B66" s="59"/>
      <c r="C66" s="59"/>
      <c r="D66" s="28"/>
      <c r="E66" s="160" t="s">
        <v>274</v>
      </c>
      <c r="F66" s="29"/>
      <c r="G66" s="29"/>
      <c r="H66" s="29"/>
      <c r="I66" s="29"/>
      <c r="J66" s="29"/>
      <c r="K66" s="29">
        <f>'INPUT-Data(HP)'!R22</f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1"/>
      <c r="AF66" s="42"/>
      <c r="AG66" s="43"/>
    </row>
    <row r="67" spans="1:33">
      <c r="B67" s="54" t="str">
        <f>B109</f>
        <v>SELCH2EC02</v>
      </c>
      <c r="C67" s="54" t="str">
        <f>C109</f>
        <v>H2 Production-Alkaline Electrolyser, medium size, centralized</v>
      </c>
      <c r="D67" s="17" t="s">
        <v>436</v>
      </c>
      <c r="E67" s="50"/>
      <c r="F67" s="18">
        <f>IF('INPUT-Data(HP)'!J23=0,"",'INPUT-Data(HP)'!J23)</f>
        <v>1.633</v>
      </c>
      <c r="G67" s="339">
        <f t="shared" ref="G67" si="32">F67</f>
        <v>1.633</v>
      </c>
      <c r="H67" s="18">
        <f>IF('INPUT-Data(HP)'!L23=0,"",'INPUT-Data(HP)'!L23)</f>
        <v>1.633</v>
      </c>
      <c r="I67" s="18">
        <f>IF('INPUT-Data(HP)'!M23=0,"",'INPUT-Data(HP)'!M23)</f>
        <v>1.4159999999999999</v>
      </c>
      <c r="J67" s="18"/>
      <c r="L67" s="33">
        <f>'INPUT-Data(HP)'!U23</f>
        <v>0.9</v>
      </c>
      <c r="M67" s="97">
        <f>IF('INPUT-Data(HP)'!V23=0,"",'INPUT-Data(HP)'!V23)</f>
        <v>1779.0495612563179</v>
      </c>
      <c r="N67" s="97">
        <f>IF('INPUT-Data(HP)'!W23=0,"",'INPUT-Data(HP)'!W23)</f>
        <v>497.71842849097476</v>
      </c>
      <c r="O67" s="97">
        <f>IF('INPUT-Data(HP)'!X23=0,"",'INPUT-Data(HP)'!X23)</f>
        <v>497.71842849097476</v>
      </c>
      <c r="P67" s="97">
        <v>444.9</v>
      </c>
      <c r="Q67" s="97"/>
      <c r="R67" s="97">
        <f>IF('INPUT-Data(HP)'!Z23=0,"",'INPUT-Data(HP)'!Z23)</f>
        <v>89.922769342960294</v>
      </c>
      <c r="S67" s="338">
        <f t="shared" ref="S67" si="33">R67</f>
        <v>89.922769342960294</v>
      </c>
      <c r="T67" s="97">
        <f>IF('INPUT-Data(HP)'!AB23=0,"",'INPUT-Data(HP)'!AB23)</f>
        <v>89.922769342960294</v>
      </c>
      <c r="U67" s="97">
        <f>IF('INPUT-Data(HP)'!AC23=0,"",'INPUT-Data(HP)'!AC23)</f>
        <v>10.386216519855596</v>
      </c>
      <c r="V67" s="97"/>
      <c r="W67" s="36">
        <f>IF('INPUT-Data(HP)'!AD23=0,"",'INPUT-Data(HP)'!AD23)</f>
        <v>5.7779783393501802E-2</v>
      </c>
      <c r="X67" s="36" t="str">
        <f>IF('INPUT-Data(HP)'!AE23=0,"",'INPUT-Data(HP)'!AE23)</f>
        <v/>
      </c>
      <c r="Y67" s="36">
        <f>IF('INPUT-Data(HP)'!AF23=0,"",'INPUT-Data(HP)'!AF23)</f>
        <v>5.7779783393501802E-2</v>
      </c>
      <c r="Z67" s="36"/>
      <c r="AA67" s="30">
        <f>IF('INPUT-Data(HP)'!AH23=0,"",'INPUT-Data(HP)'!AH23)</f>
        <v>20</v>
      </c>
      <c r="AB67" s="30"/>
      <c r="AC67" s="30"/>
      <c r="AD67" s="30"/>
      <c r="AE67" s="30">
        <f>IF('INPUT-Data(HP)'!AI23=0,"",'INPUT-Data(HP)'!AI23)</f>
        <v>2023</v>
      </c>
      <c r="AF67" s="36">
        <v>31.536000000000001</v>
      </c>
      <c r="AG67"/>
    </row>
    <row r="68" spans="1:33">
      <c r="B68" s="54"/>
      <c r="C68" s="54"/>
      <c r="D68" s="17"/>
      <c r="E68" s="50" t="s">
        <v>274</v>
      </c>
      <c r="F68" s="18"/>
      <c r="G68" s="18"/>
      <c r="H68" s="18"/>
      <c r="I68" s="18"/>
      <c r="J68" s="18"/>
      <c r="K68" s="18">
        <f>'INPUT-Data(HP)'!R23</f>
        <v>1</v>
      </c>
      <c r="L68" s="33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36"/>
      <c r="X68" s="36"/>
      <c r="Y68" s="36"/>
      <c r="Z68" s="36"/>
      <c r="AA68" s="30"/>
      <c r="AB68" s="30"/>
      <c r="AC68" s="30"/>
      <c r="AD68" s="30"/>
      <c r="AE68" s="30"/>
      <c r="AF68" s="36"/>
      <c r="AG68" s="43"/>
    </row>
    <row r="69" spans="1:33">
      <c r="B69" s="59" t="str">
        <f t="shared" ref="B69:C69" si="34">B110</f>
        <v>SELCH2ED01</v>
      </c>
      <c r="C69" s="59" t="str">
        <f t="shared" si="34"/>
        <v>H2 Production-Alkaline Electrolyser, small size, decentralized</v>
      </c>
      <c r="D69" s="28" t="s">
        <v>516</v>
      </c>
      <c r="E69" s="160"/>
      <c r="F69" s="29">
        <f>IF('INPUT-Data(HP)'!J24=0,"",'INPUT-Data(HP)'!J24)</f>
        <v>1.62</v>
      </c>
      <c r="G69" s="339">
        <f t="shared" ref="G69" si="35">F69</f>
        <v>1.62</v>
      </c>
      <c r="H69" s="29">
        <f>IF('INPUT-Data(HP)'!L24=0,"",'INPUT-Data(HP)'!L24)</f>
        <v>1.62</v>
      </c>
      <c r="I69" s="29">
        <f>IF('INPUT-Data(HP)'!M24=0,"",'INPUT-Data(HP)'!M24)</f>
        <v>1.41</v>
      </c>
      <c r="J69" s="29"/>
      <c r="K69" s="29"/>
      <c r="L69" s="34">
        <f>'INPUT-Data(HP)'!U24</f>
        <v>0.9</v>
      </c>
      <c r="M69" s="113">
        <f>IF('INPUT-Data(HP)'!V24=0,"",'INPUT-Data(HP)'!V24)</f>
        <v>1940.582560288809</v>
      </c>
      <c r="N69" s="113">
        <f>IF('INPUT-Data(HP)'!W24=0,"",'INPUT-Data(HP)'!W24)</f>
        <v>865.88247197111912</v>
      </c>
      <c r="O69" s="113">
        <f>IF('INPUT-Data(HP)'!X24=0,"",'INPUT-Data(HP)'!X24)</f>
        <v>865.88247197111912</v>
      </c>
      <c r="P69" s="113">
        <f>IF('INPUT-Data(HP)'!Y24=0,"",'INPUT-Data(HP)'!Y24)</f>
        <v>512.47778880866429</v>
      </c>
      <c r="Q69" s="113"/>
      <c r="R69" s="113">
        <f>IF('INPUT-Data(HP)'!Z24=0,"",'INPUT-Data(HP)'!Z24)</f>
        <v>136.66074368231048</v>
      </c>
      <c r="S69" s="338">
        <f>R69</f>
        <v>136.66074368231048</v>
      </c>
      <c r="T69" s="113">
        <f>IF('INPUT-Data(HP)'!AB24=0,"",'INPUT-Data(HP)'!AB24)</f>
        <v>136.66074368231048</v>
      </c>
      <c r="U69" s="113">
        <f>IF('INPUT-Data(HP)'!AC24=0,"",'INPUT-Data(HP)'!AC24)</f>
        <v>25.418898324909751</v>
      </c>
      <c r="V69" s="113"/>
      <c r="W69" s="42">
        <f>IF('INPUT-Data(HP)'!AD24=0,"",'INPUT-Data(HP)'!AD24)</f>
        <v>0.96299638989169678</v>
      </c>
      <c r="X69" s="42" t="str">
        <f>IF('INPUT-Data(HP)'!AE24=0,"",'INPUT-Data(HP)'!AE24)</f>
        <v/>
      </c>
      <c r="Y69" s="42">
        <f>IF('INPUT-Data(HP)'!AF24=0,"",'INPUT-Data(HP)'!AF24)</f>
        <v>0.96299638989169678</v>
      </c>
      <c r="Z69" s="42">
        <f>IF('INPUT-Data(HP)'!AG24=0,"",'INPUT-Data(HP)'!AG24)</f>
        <v>0.17333935018050542</v>
      </c>
      <c r="AA69" s="31">
        <f>IF('INPUT-Data(HP)'!AH24=0,"",'INPUT-Data(HP)'!AH24)</f>
        <v>20</v>
      </c>
      <c r="AB69" s="31"/>
      <c r="AC69" s="31"/>
      <c r="AD69" s="31"/>
      <c r="AE69" s="31">
        <f>IF('INPUT-Data(HP)'!AI24=0,"",'INPUT-Data(HP)'!AI24)</f>
        <v>2023</v>
      </c>
      <c r="AF69" s="42">
        <v>31.536000000000001</v>
      </c>
      <c r="AG69"/>
    </row>
    <row r="70" spans="1:33">
      <c r="B70" s="88"/>
      <c r="C70" s="88"/>
      <c r="D70" s="24"/>
      <c r="E70" s="92" t="s">
        <v>272</v>
      </c>
      <c r="F70" s="25"/>
      <c r="G70" s="25"/>
      <c r="H70" s="25"/>
      <c r="I70" s="25"/>
      <c r="J70" s="25"/>
      <c r="K70" s="25">
        <f>'INPUT-Data(HP)'!R24</f>
        <v>1</v>
      </c>
      <c r="L70" s="41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89"/>
      <c r="X70" s="89"/>
      <c r="Y70" s="89"/>
      <c r="Z70" s="89"/>
      <c r="AA70" s="32"/>
      <c r="AB70" s="32"/>
      <c r="AC70" s="32"/>
      <c r="AD70" s="32"/>
      <c r="AE70" s="32"/>
      <c r="AF70" s="89"/>
      <c r="AG70" s="43"/>
    </row>
    <row r="71" spans="1:33" s="327" customFormat="1">
      <c r="B71" s="59"/>
      <c r="C71" s="59"/>
      <c r="D71" s="28"/>
      <c r="E71" s="160"/>
      <c r="F71" s="29"/>
      <c r="G71" s="29"/>
      <c r="H71" s="29"/>
      <c r="I71" s="29"/>
      <c r="J71" s="29"/>
      <c r="K71" s="29"/>
      <c r="L71" s="34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42"/>
      <c r="X71" s="42"/>
      <c r="Y71" s="42"/>
      <c r="Z71" s="42"/>
      <c r="AA71" s="31"/>
      <c r="AB71" s="31"/>
      <c r="AC71" s="31"/>
      <c r="AD71" s="31"/>
      <c r="AE71" s="31"/>
      <c r="AF71" s="42"/>
      <c r="AG71" s="326"/>
    </row>
    <row r="72" spans="1:33" s="327" customFormat="1">
      <c r="B72" s="59"/>
      <c r="C72" s="59"/>
      <c r="D72" s="28"/>
      <c r="E72" s="160"/>
      <c r="F72" s="29"/>
      <c r="G72" s="29"/>
      <c r="H72" s="29"/>
      <c r="I72" s="29"/>
      <c r="J72" s="29"/>
      <c r="K72" s="29"/>
      <c r="L72" s="34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42"/>
      <c r="X72" s="42"/>
      <c r="Y72" s="42"/>
      <c r="Z72" s="42"/>
      <c r="AA72" s="31"/>
      <c r="AB72" s="31"/>
      <c r="AC72" s="31"/>
      <c r="AD72" s="31"/>
      <c r="AE72" s="31"/>
      <c r="AF72" s="42"/>
      <c r="AG72" s="326"/>
    </row>
    <row r="73" spans="1:33" s="327" customFormat="1">
      <c r="B73" s="59"/>
      <c r="C73" s="59"/>
      <c r="D73" s="28"/>
      <c r="E73" s="160"/>
      <c r="F73" s="29"/>
      <c r="G73" s="29"/>
      <c r="H73" s="29"/>
      <c r="I73" s="29"/>
      <c r="J73" s="29"/>
      <c r="K73" s="34"/>
      <c r="L73" s="113"/>
      <c r="M73" s="113"/>
      <c r="N73" s="113"/>
      <c r="O73" s="113"/>
      <c r="P73" s="113"/>
      <c r="Q73" s="113"/>
      <c r="R73" s="113"/>
      <c r="S73" s="113"/>
      <c r="T73" s="113"/>
      <c r="U73" s="42"/>
      <c r="V73" s="42"/>
      <c r="W73" s="42"/>
      <c r="X73" s="42"/>
      <c r="Y73" s="42"/>
      <c r="Z73" s="31"/>
      <c r="AA73" s="31"/>
      <c r="AB73" s="31"/>
      <c r="AC73" s="31"/>
      <c r="AD73" s="31"/>
      <c r="AE73" s="42"/>
      <c r="AF73" s="326"/>
    </row>
    <row r="74" spans="1:33">
      <c r="A74" s="8"/>
      <c r="B74" s="9"/>
      <c r="S74" s="21"/>
      <c r="T74" s="21"/>
    </row>
    <row r="75" spans="1:33">
      <c r="A75" s="8"/>
      <c r="B75" s="9"/>
      <c r="C75" s="9"/>
      <c r="D75" s="9"/>
      <c r="E75" s="10"/>
      <c r="F75" s="10"/>
      <c r="G75" s="10"/>
      <c r="H75" s="10"/>
      <c r="I75" s="10"/>
      <c r="J75" s="12"/>
      <c r="K75" s="11"/>
      <c r="L75" s="11"/>
      <c r="M75" s="11"/>
    </row>
    <row r="76" spans="1:33">
      <c r="A76" s="8"/>
      <c r="B76" s="44"/>
      <c r="C76" s="44"/>
      <c r="D76" s="45"/>
      <c r="E76" s="45" t="s">
        <v>283</v>
      </c>
      <c r="F76" s="45"/>
      <c r="G76" s="45"/>
      <c r="H76" s="45"/>
      <c r="I76" s="45"/>
      <c r="J76" s="44"/>
      <c r="K76" s="44"/>
      <c r="L76" s="45"/>
      <c r="M76" s="45"/>
      <c r="N76" s="45"/>
      <c r="O76" s="45"/>
      <c r="P76" s="45"/>
      <c r="R76" s="2"/>
      <c r="U76" s="43"/>
      <c r="X76" s="43"/>
      <c r="AA76" s="43"/>
    </row>
    <row r="77" spans="1:33">
      <c r="A77" s="8"/>
      <c r="B77" s="46" t="s">
        <v>0</v>
      </c>
      <c r="C77" s="46" t="s">
        <v>1</v>
      </c>
      <c r="D77" s="46" t="s">
        <v>2</v>
      </c>
      <c r="E77" s="46" t="s">
        <v>3</v>
      </c>
      <c r="F77" s="46" t="s">
        <v>286</v>
      </c>
      <c r="G77" s="46" t="s">
        <v>53</v>
      </c>
      <c r="H77" s="46" t="s">
        <v>111</v>
      </c>
      <c r="I77" s="46" t="s">
        <v>115</v>
      </c>
      <c r="J77" s="46" t="s">
        <v>118</v>
      </c>
      <c r="K77" s="46" t="s">
        <v>290</v>
      </c>
      <c r="L77" s="46" t="s">
        <v>291</v>
      </c>
      <c r="M77" s="46" t="s">
        <v>292</v>
      </c>
      <c r="N77" s="46" t="s">
        <v>287</v>
      </c>
      <c r="O77" s="46" t="s">
        <v>284</v>
      </c>
      <c r="P77" s="46" t="s">
        <v>285</v>
      </c>
      <c r="Q77" s="46" t="s">
        <v>46</v>
      </c>
      <c r="R77" s="46" t="s">
        <v>14</v>
      </c>
      <c r="S77" s="46" t="s">
        <v>288</v>
      </c>
      <c r="T77" s="46" t="s">
        <v>454</v>
      </c>
      <c r="U77" s="2"/>
      <c r="X77" s="43"/>
      <c r="AA77" s="43"/>
    </row>
    <row r="78" spans="1:33">
      <c r="A78" s="8"/>
      <c r="B78" s="162" t="str">
        <f>'INPUT-Data(HP)'!B25</f>
        <v>ENUCH2EC01</v>
      </c>
      <c r="C78" s="162" t="str">
        <f>'INPUT-Data(HP)'!C25</f>
        <v>H2 Production-Very High Temperature Reactor CHP, centralized</v>
      </c>
      <c r="D78" s="185" t="s">
        <v>294</v>
      </c>
      <c r="E78" s="163"/>
      <c r="F78" s="164">
        <v>0.5</v>
      </c>
      <c r="G78" s="164">
        <f>'INPUT-Data(HP)'!U25</f>
        <v>0.94</v>
      </c>
      <c r="H78" s="293">
        <f>'INPUT-Data(HP)'!Y25</f>
        <v>4687.3070894460816</v>
      </c>
      <c r="I78" s="310">
        <f>'INPUT-Data(HP)'!AC25</f>
        <v>304.67496081399531</v>
      </c>
      <c r="J78" s="310">
        <f>'INPUT-Data(HP)'!AG25</f>
        <v>2.6040594941367119</v>
      </c>
      <c r="K78" s="293">
        <f>'INPUT-Data(HP)'!Y29</f>
        <v>3937.3379551347089</v>
      </c>
      <c r="L78" s="295">
        <f>'INPUT-Data(HP)'!AC29</f>
        <v>255.9269670837561</v>
      </c>
      <c r="M78" s="295">
        <f>'INPUT-Data(HP)'!AG29</f>
        <v>2.6040594941367119</v>
      </c>
      <c r="N78" s="295">
        <v>0</v>
      </c>
      <c r="O78" s="294">
        <v>0.12</v>
      </c>
      <c r="P78" s="164">
        <v>0.9</v>
      </c>
      <c r="Q78" s="166">
        <f>'INPUT-Data(HP)'!AH25</f>
        <v>60</v>
      </c>
      <c r="R78" s="165">
        <f>'INPUT-Data(HP)'!AI25</f>
        <v>2030</v>
      </c>
      <c r="S78" s="167">
        <v>31.536000000000001</v>
      </c>
      <c r="T78" s="288">
        <v>5</v>
      </c>
      <c r="U78" s="43"/>
      <c r="W78" s="183">
        <f>G78*0.6*S78/F78</f>
        <v>35.572607999999995</v>
      </c>
      <c r="X78" s="184">
        <f>W78</f>
        <v>35.572607999999995</v>
      </c>
      <c r="AA78" s="43"/>
    </row>
    <row r="79" spans="1:33">
      <c r="A79" s="8"/>
      <c r="B79" s="168"/>
      <c r="C79" s="168"/>
      <c r="D79" s="168"/>
      <c r="E79" s="169" t="s">
        <v>436</v>
      </c>
      <c r="F79" s="170"/>
      <c r="G79" s="170"/>
      <c r="H79" s="296"/>
      <c r="I79" s="296"/>
      <c r="J79" s="297"/>
      <c r="K79" s="296"/>
      <c r="L79" s="296"/>
      <c r="M79" s="297"/>
      <c r="N79" s="298"/>
      <c r="O79" s="298"/>
      <c r="P79" s="171"/>
      <c r="Q79" s="172"/>
      <c r="R79" s="173"/>
      <c r="S79" s="173"/>
      <c r="T79" s="173"/>
      <c r="U79" s="43"/>
      <c r="W79" s="183">
        <f>W78*F78/(P78*O78+1)</f>
        <v>16.052620938628156</v>
      </c>
      <c r="X79" s="183">
        <f>X78*F78/(P78*N78+1)</f>
        <v>17.786303999999998</v>
      </c>
      <c r="AA79" s="182"/>
      <c r="AB79" s="182"/>
      <c r="AC79" s="182"/>
      <c r="AD79" s="182"/>
    </row>
    <row r="80" spans="1:33">
      <c r="A80" s="8"/>
      <c r="B80" s="174"/>
      <c r="C80" s="174"/>
      <c r="D80" s="174"/>
      <c r="E80" s="175" t="s">
        <v>274</v>
      </c>
      <c r="F80" s="176"/>
      <c r="G80" s="176"/>
      <c r="H80" s="299"/>
      <c r="I80" s="299"/>
      <c r="J80" s="300"/>
      <c r="K80" s="299"/>
      <c r="L80" s="299"/>
      <c r="M80" s="300"/>
      <c r="N80" s="301"/>
      <c r="O80" s="301"/>
      <c r="P80" s="177"/>
      <c r="Q80" s="178"/>
      <c r="R80" s="179"/>
      <c r="S80" s="179"/>
      <c r="T80" s="179"/>
      <c r="U80" s="43"/>
      <c r="W80" s="183">
        <f>W79*O78</f>
        <v>1.9263145126353787</v>
      </c>
      <c r="X80" s="184">
        <f>X79*N78</f>
        <v>0</v>
      </c>
      <c r="AA80" s="182"/>
      <c r="AB80" s="182"/>
      <c r="AC80" s="182"/>
      <c r="AD80" s="182"/>
    </row>
    <row r="81" spans="1:27">
      <c r="A81" s="8"/>
      <c r="B81" s="186" t="s">
        <v>295</v>
      </c>
      <c r="C81" s="186" t="s">
        <v>296</v>
      </c>
      <c r="D81" s="187" t="s">
        <v>443</v>
      </c>
      <c r="E81" s="187" t="s">
        <v>294</v>
      </c>
      <c r="F81" s="188">
        <f>1/'INPUT-Data(HP)'!M25/F78</f>
        <v>3</v>
      </c>
      <c r="G81" s="187">
        <v>1</v>
      </c>
      <c r="H81" s="302"/>
      <c r="I81" s="302"/>
      <c r="J81" s="302"/>
      <c r="K81" s="302"/>
      <c r="L81" s="302"/>
      <c r="M81" s="302"/>
      <c r="N81" s="302"/>
      <c r="O81" s="302"/>
      <c r="P81" s="187"/>
      <c r="Q81" s="187"/>
      <c r="R81" s="187">
        <f>R78</f>
        <v>2030</v>
      </c>
      <c r="S81" s="187">
        <v>1</v>
      </c>
      <c r="T81" s="187"/>
      <c r="U81" s="43"/>
      <c r="W81" s="183"/>
      <c r="X81" s="184"/>
      <c r="AA81" s="43"/>
    </row>
    <row r="82" spans="1:27">
      <c r="A82" s="8"/>
      <c r="B82" s="9"/>
      <c r="C82" s="9"/>
      <c r="D82" s="9"/>
      <c r="E82" s="10"/>
      <c r="F82" s="11"/>
      <c r="G82" s="10"/>
      <c r="H82" s="290"/>
      <c r="I82" s="290"/>
      <c r="J82" s="292"/>
      <c r="K82" s="291"/>
      <c r="L82" s="291"/>
      <c r="M82" s="291"/>
      <c r="N82" s="289"/>
      <c r="O82" s="289"/>
      <c r="R82" s="43"/>
      <c r="U82" s="43"/>
      <c r="W82" s="183">
        <f>W79/W78</f>
        <v>0.45126353790613716</v>
      </c>
      <c r="X82" s="183">
        <f>X79/X78</f>
        <v>0.5</v>
      </c>
      <c r="AA82" s="43"/>
    </row>
    <row r="83" spans="1:27">
      <c r="A83" s="8"/>
      <c r="B83" s="9"/>
      <c r="C83" s="9"/>
      <c r="D83" s="9"/>
      <c r="E83" s="10"/>
      <c r="F83" s="11"/>
      <c r="G83" s="10"/>
      <c r="H83" s="290"/>
      <c r="I83" s="290"/>
      <c r="J83" s="292"/>
      <c r="K83" s="291"/>
      <c r="L83" s="303"/>
      <c r="M83" s="291"/>
      <c r="N83" s="289"/>
      <c r="O83" s="289"/>
      <c r="R83" s="43"/>
      <c r="U83" s="43"/>
      <c r="X83" s="43"/>
      <c r="AA83" s="43"/>
    </row>
    <row r="84" spans="1:27">
      <c r="A84" s="8"/>
      <c r="B84" s="9"/>
      <c r="C84" s="9"/>
      <c r="D84" s="9"/>
      <c r="E84" s="10"/>
      <c r="F84" s="10"/>
      <c r="G84" s="10"/>
      <c r="H84" s="10"/>
      <c r="I84" s="10"/>
      <c r="J84" s="12"/>
      <c r="K84" s="11"/>
      <c r="L84" s="11"/>
      <c r="M84" s="11"/>
      <c r="N84" s="43"/>
      <c r="R84" s="43"/>
      <c r="U84" s="43"/>
      <c r="W84" s="145" t="s">
        <v>293</v>
      </c>
      <c r="X84" s="43"/>
      <c r="Z84" s="161"/>
      <c r="AA84" s="43"/>
    </row>
    <row r="85" spans="1:27">
      <c r="A85" s="8"/>
      <c r="B85" s="9"/>
      <c r="C85" s="9"/>
      <c r="D85" s="9"/>
      <c r="E85" s="10"/>
      <c r="F85" s="10"/>
      <c r="G85" s="10"/>
      <c r="H85" s="11"/>
      <c r="I85" s="10"/>
      <c r="J85" s="12"/>
      <c r="K85" s="11"/>
      <c r="L85" s="11"/>
      <c r="M85" s="11"/>
      <c r="N85" s="43"/>
      <c r="R85" s="43"/>
      <c r="U85" s="43"/>
      <c r="X85" s="43"/>
      <c r="Z85" s="161"/>
      <c r="AA85" s="43"/>
    </row>
    <row r="86" spans="1:27">
      <c r="A86" s="44" t="s">
        <v>16</v>
      </c>
      <c r="B86" s="44"/>
      <c r="C86" s="45"/>
      <c r="D86" s="45"/>
      <c r="E86" s="45"/>
      <c r="F86" s="45"/>
      <c r="G86" s="45"/>
      <c r="H86" s="45"/>
    </row>
    <row r="87" spans="1:27">
      <c r="A87" s="46" t="s">
        <v>15</v>
      </c>
      <c r="B87" s="46" t="s">
        <v>0</v>
      </c>
      <c r="C87" s="46" t="s">
        <v>1</v>
      </c>
      <c r="D87" s="46" t="s">
        <v>17</v>
      </c>
      <c r="E87" s="46" t="s">
        <v>18</v>
      </c>
      <c r="F87" s="46" t="s">
        <v>19</v>
      </c>
      <c r="G87" s="46" t="s">
        <v>20</v>
      </c>
      <c r="H87" s="46" t="s">
        <v>21</v>
      </c>
    </row>
    <row r="88" spans="1:27" ht="38.25">
      <c r="A88" s="91" t="s">
        <v>55</v>
      </c>
      <c r="B88" s="91" t="s">
        <v>28</v>
      </c>
      <c r="C88" s="91" t="s">
        <v>29</v>
      </c>
      <c r="D88" s="91" t="s">
        <v>30</v>
      </c>
      <c r="E88" s="91" t="s">
        <v>31</v>
      </c>
      <c r="F88" s="91" t="s">
        <v>41</v>
      </c>
      <c r="G88" s="91" t="s">
        <v>40</v>
      </c>
      <c r="H88" s="91" t="s">
        <v>32</v>
      </c>
      <c r="I88" s="17"/>
      <c r="J88" s="18"/>
    </row>
    <row r="89" spans="1:27">
      <c r="A89" s="47" t="s">
        <v>52</v>
      </c>
      <c r="B89" s="48" t="str">
        <f>'INPUT-Data(HP)'!B3</f>
        <v>SCOAH2GC01</v>
      </c>
      <c r="C89" s="47" t="str">
        <f>'INPUT-Data(HP)'!C3</f>
        <v>H2 Production-Coal Gasification, large size, centralized</v>
      </c>
      <c r="D89" s="49" t="s">
        <v>37</v>
      </c>
      <c r="E89" s="50" t="s">
        <v>44</v>
      </c>
      <c r="F89" s="49" t="s">
        <v>38</v>
      </c>
      <c r="G89" s="49"/>
      <c r="H89" s="49" t="s">
        <v>62</v>
      </c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</row>
    <row r="90" spans="1:27" ht="15">
      <c r="A90" s="47"/>
      <c r="B90" s="48" t="str">
        <f>'INPUT-Data(HP)'!B4</f>
        <v>SCOAH2GC02</v>
      </c>
      <c r="C90" s="47" t="str">
        <f>'INPUT-Data(HP)'!C4</f>
        <v>H2 Production-Coal Gasification, medium size, centralized</v>
      </c>
      <c r="D90" s="49" t="s">
        <v>37</v>
      </c>
      <c r="E90" s="50" t="s">
        <v>44</v>
      </c>
      <c r="F90" s="49" t="s">
        <v>38</v>
      </c>
      <c r="G90" s="49" t="str">
        <f>$B$118</f>
        <v>SYNH2CU</v>
      </c>
      <c r="H90" s="49" t="s">
        <v>62</v>
      </c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7"/>
    </row>
    <row r="91" spans="1:27" ht="15">
      <c r="A91" s="47"/>
      <c r="B91" s="48" t="str">
        <f>'INPUT-Data(HP)'!B5</f>
        <v>SCOAH2GCC01</v>
      </c>
      <c r="C91" s="47" t="str">
        <f>'INPUT-Data(HP)'!C5</f>
        <v>H2 Production-Coal Gasification + Carbon Capture, big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309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8"/>
    </row>
    <row r="92" spans="1:27">
      <c r="A92" s="47"/>
      <c r="B92" s="48" t="str">
        <f>'INPUT-Data(HP)'!B6</f>
        <v>SCOAH2GCC02</v>
      </c>
      <c r="C92" s="47" t="str">
        <f>'INPUT-Data(HP)'!C6</f>
        <v>H2 Production-Coal Gasification + Carbon Capture, medium size, centralized</v>
      </c>
      <c r="D92" s="49" t="s">
        <v>37</v>
      </c>
      <c r="E92" s="50" t="s">
        <v>44</v>
      </c>
      <c r="F92" s="49" t="s">
        <v>38</v>
      </c>
      <c r="G92" s="49" t="str">
        <f>$B$118</f>
        <v>SYNH2CU</v>
      </c>
      <c r="H92" s="49" t="s">
        <v>62</v>
      </c>
    </row>
    <row r="93" spans="1:27">
      <c r="A93" s="47"/>
      <c r="B93" s="48" t="str">
        <f>'INPUT-Data(HP)'!B7</f>
        <v>SBIOH2GD01</v>
      </c>
      <c r="C93" s="47" t="str">
        <f>'INPUT-Data(HP)'!C7</f>
        <v>H2 Production-Biomass Gasification, small size, decentralized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</row>
    <row r="94" spans="1:27">
      <c r="A94" s="47"/>
      <c r="B94" s="48" t="str">
        <f>'INPUT-Data(HP)'!B8</f>
        <v>SBIOH2GC01</v>
      </c>
      <c r="C94" s="47" t="str">
        <f>'INPUT-Data(HP)'!C8</f>
        <v>H2 Production-Biomass Gasification, medium size, centralized</v>
      </c>
      <c r="D94" s="49" t="s">
        <v>37</v>
      </c>
      <c r="E94" s="50" t="s">
        <v>44</v>
      </c>
      <c r="F94" s="49" t="s">
        <v>38</v>
      </c>
      <c r="G94" s="49"/>
      <c r="H94" s="49" t="s">
        <v>62</v>
      </c>
    </row>
    <row r="95" spans="1:27">
      <c r="A95" s="47"/>
      <c r="B95" s="48" t="str">
        <f>'INPUT-Data(HP)'!B9</f>
        <v>SBIOH2GCC01</v>
      </c>
      <c r="C95" s="47" t="str">
        <f>'INPUT-Data(HP)'!C9</f>
        <v>H2 Production-Biomass Gasification + Carbon Capture, medium size, 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27">
      <c r="A96" s="57"/>
      <c r="B96" s="55" t="str">
        <f>'INPUT-Data(HP)'!B10</f>
        <v>SGASH2KC01</v>
      </c>
      <c r="C96" s="57" t="str">
        <f>'INPUT-Data(HP)'!C10</f>
        <v>H2 Production-Kvaerner Process, centralized</v>
      </c>
      <c r="D96" s="56" t="s">
        <v>37</v>
      </c>
      <c r="E96" s="55" t="s">
        <v>44</v>
      </c>
      <c r="F96" s="56" t="s">
        <v>38</v>
      </c>
      <c r="G96" s="56"/>
      <c r="H96" s="56" t="s">
        <v>62</v>
      </c>
    </row>
    <row r="97" spans="1:30">
      <c r="A97" s="47"/>
      <c r="B97" s="48" t="str">
        <f>'INPUT-Data(HP)'!B11</f>
        <v>SBIOH2RC01</v>
      </c>
      <c r="C97" s="47" t="str">
        <f>'INPUT-Data(HP)'!C11</f>
        <v>H2 Production-Biomass Steam Reforming,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30">
      <c r="A98" s="47"/>
      <c r="B98" s="48" t="str">
        <f>'INPUT-Data(HP)'!B12</f>
        <v>SGASH2RC01</v>
      </c>
      <c r="C98" s="47" t="str">
        <f>'INPUT-Data(HP)'!C12</f>
        <v>H2 Production-Methane Steam Reforming, large size, centralized</v>
      </c>
      <c r="D98" s="49" t="s">
        <v>37</v>
      </c>
      <c r="E98" s="50" t="s">
        <v>44</v>
      </c>
      <c r="F98" s="49" t="s">
        <v>38</v>
      </c>
      <c r="G98" s="49"/>
      <c r="H98" s="49" t="s">
        <v>62</v>
      </c>
    </row>
    <row r="99" spans="1:30">
      <c r="A99" s="47"/>
      <c r="B99" s="48" t="str">
        <f>'INPUT-Data(HP)'!B13</f>
        <v>SGASH2RC02</v>
      </c>
      <c r="C99" s="47" t="str">
        <f>'INPUT-Data(HP)'!C13</f>
        <v>H2 Production-Methane Steam Reforming, small size,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30">
      <c r="A100" s="47"/>
      <c r="B100" s="48" t="str">
        <f>'INPUT-Data(HP)'!B14</f>
        <v>SGASH2RCC01</v>
      </c>
      <c r="C100" s="47" t="str">
        <f>'INPUT-Data(HP)'!C14</f>
        <v>H2 Production-Methane Steam Reforming + Carbon Capture,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30">
      <c r="A101" s="47"/>
      <c r="B101" s="48" t="str">
        <f>'INPUT-Data(HP)'!B15</f>
        <v>SGASH2RCC02</v>
      </c>
      <c r="C101" s="47" t="str">
        <f>'INPUT-Data(HP)'!C15</f>
        <v>H2 Production-Methane Steam Reforming + Carbon Capture,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30">
      <c r="A102" s="47"/>
      <c r="B102" s="48" t="str">
        <f>'INPUT-Data(HP)'!B16</f>
        <v>SGASSH2RC01</v>
      </c>
      <c r="C102" s="47" t="str">
        <f>'INPUT-Data(HP)'!C16</f>
        <v>H2 Production-Solar Steam Reforming of Methane,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30">
      <c r="A103" s="47"/>
      <c r="B103" s="48" t="str">
        <f>'INPUT-Data(HP)'!B17</f>
        <v>SGASH2RD01</v>
      </c>
      <c r="C103" s="47" t="str">
        <f>'INPUT-Data(HP)'!C17</f>
        <v>H2 Production-Methane Steam Reforming, medium size, decentralized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30">
      <c r="A104" s="47"/>
      <c r="B104" s="48" t="str">
        <f>'INPUT-Data(HP)'!B18</f>
        <v>SGASH2RD02</v>
      </c>
      <c r="C104" s="47" t="str">
        <f>'INPUT-Data(HP)'!C18</f>
        <v>H2 Production-Methane Steam Reforming, small size, decentralized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30">
      <c r="A105" s="47"/>
      <c r="B105" s="48" t="str">
        <f>'INPUT-Data(HP)'!B19</f>
        <v>SETHH2RD01</v>
      </c>
      <c r="C105" s="47" t="str">
        <f>'INPUT-Data(HP)'!C19</f>
        <v>H2 Production-Ethanol Steam Reforming,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30">
      <c r="A106" s="47"/>
      <c r="B106" s="48" t="str">
        <f>'INPUT-Data(HP)'!B20</f>
        <v>SGASSH2RD01</v>
      </c>
      <c r="C106" s="47" t="str">
        <f>'INPUT-Data(HP)'!C20</f>
        <v>H2 Production-Solar Steam Reforming of Methane,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30">
      <c r="A107" s="57"/>
      <c r="B107" s="55" t="str">
        <f>'INPUT-Data(HP)'!B21</f>
        <v>SHFOH2POC01</v>
      </c>
      <c r="C107" s="57" t="str">
        <f>'INPUT-Data(HP)'!C21</f>
        <v>H2 Production-Central PO of Heavy Oil (CPO3)</v>
      </c>
      <c r="D107" s="56" t="s">
        <v>37</v>
      </c>
      <c r="E107" s="55" t="s">
        <v>44</v>
      </c>
      <c r="F107" s="56" t="s">
        <v>38</v>
      </c>
      <c r="G107" s="56"/>
      <c r="H107" s="56" t="s">
        <v>62</v>
      </c>
    </row>
    <row r="108" spans="1:30">
      <c r="A108" s="47"/>
      <c r="B108" s="48" t="str">
        <f>'INPUT-Data(HP)'!B22</f>
        <v>SELCH2EC01</v>
      </c>
      <c r="C108" s="47" t="str">
        <f>'INPUT-Data(HP)'!C22</f>
        <v>H2 Production-Alkaline Electrolyser, large size, 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30">
      <c r="A109" s="47"/>
      <c r="B109" s="48" t="str">
        <f>'INPUT-Data(HP)'!B23</f>
        <v>SELCH2EC02</v>
      </c>
      <c r="C109" s="47" t="str">
        <f>'INPUT-Data(HP)'!C23</f>
        <v>H2 Production-Alkaline Electrolyser, medium size, centralized</v>
      </c>
      <c r="D109" s="49" t="s">
        <v>37</v>
      </c>
      <c r="E109" s="50" t="s">
        <v>44</v>
      </c>
      <c r="F109" s="49" t="s">
        <v>38</v>
      </c>
      <c r="G109" s="49"/>
      <c r="H109" s="49" t="s">
        <v>62</v>
      </c>
    </row>
    <row r="110" spans="1:30" ht="15">
      <c r="A110" s="57"/>
      <c r="B110" s="55" t="str">
        <f>'INPUT-Data(HP)'!B24</f>
        <v>SELCH2ED01</v>
      </c>
      <c r="C110" s="57" t="str">
        <f>'INPUT-Data(HP)'!C24</f>
        <v>H2 Production-Alkaline Electrolyser, small size, decentralized</v>
      </c>
      <c r="D110" s="56" t="s">
        <v>37</v>
      </c>
      <c r="E110" s="55" t="s">
        <v>44</v>
      </c>
      <c r="F110" s="56" t="s">
        <v>38</v>
      </c>
      <c r="G110" s="56"/>
      <c r="H110" s="56" t="s">
        <v>62</v>
      </c>
      <c r="I110" s="3"/>
      <c r="J110" s="3"/>
      <c r="K110" s="3"/>
      <c r="L110" s="3"/>
      <c r="M110" s="3"/>
      <c r="O110" s="3"/>
      <c r="P110" s="3"/>
      <c r="Q110" s="3"/>
    </row>
    <row r="111" spans="1:30" s="327" customFormat="1" ht="15">
      <c r="A111" s="47"/>
      <c r="B111" s="48" t="s">
        <v>574</v>
      </c>
      <c r="C111" s="47" t="s">
        <v>597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  <c r="I111" s="3"/>
      <c r="J111" s="3"/>
      <c r="K111" s="3"/>
      <c r="L111" s="3"/>
      <c r="M111" s="3"/>
      <c r="N111" s="326"/>
      <c r="O111" s="3"/>
      <c r="P111" s="3"/>
      <c r="Q111" s="3"/>
      <c r="R111" s="326"/>
      <c r="U111" s="326"/>
      <c r="X111" s="326"/>
      <c r="AA111" s="326"/>
      <c r="AB111" s="326"/>
      <c r="AC111" s="326"/>
      <c r="AD111" s="326"/>
    </row>
    <row r="112" spans="1:30" ht="15">
      <c r="A112" s="180" t="s">
        <v>289</v>
      </c>
      <c r="B112" s="180" t="str">
        <f>B78</f>
        <v>ENUCH2EC01</v>
      </c>
      <c r="C112" s="180" t="str">
        <f>C78</f>
        <v>H2 Production-Very High Temperature Reactor CHP, centralized</v>
      </c>
      <c r="D112" s="181" t="s">
        <v>37</v>
      </c>
      <c r="E112" s="180" t="s">
        <v>44</v>
      </c>
      <c r="F112" s="181" t="s">
        <v>38</v>
      </c>
      <c r="G112" s="181"/>
      <c r="H112" s="181" t="s">
        <v>62</v>
      </c>
      <c r="S112" s="3"/>
      <c r="T112" s="3"/>
    </row>
    <row r="113" spans="1:30" s="27" customFormat="1" ht="15">
      <c r="A113" s="180" t="s">
        <v>52</v>
      </c>
      <c r="B113" s="283" t="str">
        <f>B81</f>
        <v>ELCNUCTONUCH2</v>
      </c>
      <c r="C113" s="283" t="str">
        <f>C81</f>
        <v>NUC to VHT CHP H2</v>
      </c>
      <c r="D113" s="180" t="s">
        <v>37</v>
      </c>
      <c r="E113" s="180" t="s">
        <v>158</v>
      </c>
      <c r="F113" s="284"/>
      <c r="G113" s="181"/>
      <c r="H113" s="284"/>
      <c r="S113" s="62"/>
      <c r="T113" s="62"/>
      <c r="AA113"/>
      <c r="AB113" s="326"/>
      <c r="AC113" s="326"/>
      <c r="AD113" s="326"/>
    </row>
    <row r="114" spans="1:30" s="27" customFormat="1" ht="15">
      <c r="A114" s="20"/>
      <c r="B114" s="60"/>
      <c r="C114" s="61"/>
      <c r="D114" s="20"/>
      <c r="E114" s="20"/>
      <c r="F114" s="20"/>
      <c r="G114" s="17"/>
      <c r="H114" s="20"/>
      <c r="S114" s="62"/>
      <c r="T114" s="62"/>
      <c r="AA114" s="43"/>
      <c r="AB114" s="326"/>
      <c r="AC114" s="326"/>
      <c r="AD114" s="326"/>
    </row>
    <row r="115" spans="1:30" ht="15">
      <c r="A115" s="44" t="s">
        <v>6</v>
      </c>
      <c r="B115" s="51"/>
      <c r="C115" s="51"/>
      <c r="D115" s="51"/>
      <c r="E115" s="51"/>
      <c r="F115" s="51"/>
      <c r="G115" s="51"/>
      <c r="H115" s="51"/>
      <c r="S115" s="3"/>
      <c r="T115" s="3"/>
    </row>
    <row r="116" spans="1:30" ht="15">
      <c r="A116" s="52" t="s">
        <v>7</v>
      </c>
      <c r="B116" s="52" t="s">
        <v>5</v>
      </c>
      <c r="C116" s="52" t="s">
        <v>8</v>
      </c>
      <c r="D116" s="53" t="s">
        <v>9</v>
      </c>
      <c r="E116" s="53" t="s">
        <v>10</v>
      </c>
      <c r="F116" s="53" t="s">
        <v>11</v>
      </c>
      <c r="G116" s="53" t="s">
        <v>12</v>
      </c>
      <c r="H116" s="53" t="s">
        <v>13</v>
      </c>
      <c r="S116" s="3"/>
      <c r="T116" s="3"/>
    </row>
    <row r="117" spans="1:30" ht="38.25">
      <c r="A117" s="91" t="s">
        <v>54</v>
      </c>
      <c r="B117" s="91" t="s">
        <v>22</v>
      </c>
      <c r="C117" s="91" t="s">
        <v>23</v>
      </c>
      <c r="D117" s="91" t="s">
        <v>9</v>
      </c>
      <c r="E117" s="91" t="s">
        <v>24</v>
      </c>
      <c r="F117" s="91" t="s">
        <v>25</v>
      </c>
      <c r="G117" s="91" t="s">
        <v>26</v>
      </c>
      <c r="H117" s="91" t="s">
        <v>27</v>
      </c>
      <c r="I117" s="9"/>
      <c r="J117" s="19"/>
      <c r="K117" s="9"/>
      <c r="L117" s="9"/>
      <c r="M117" s="9"/>
      <c r="S117" s="3"/>
      <c r="T117" s="3"/>
    </row>
    <row r="118" spans="1:30" ht="15">
      <c r="A118" s="50" t="s">
        <v>50</v>
      </c>
      <c r="B118" s="50" t="s">
        <v>271</v>
      </c>
      <c r="C118" s="50" t="s">
        <v>273</v>
      </c>
      <c r="D118" s="50" t="s">
        <v>37</v>
      </c>
      <c r="E118" s="50" t="s">
        <v>364</v>
      </c>
      <c r="F118" s="90" t="s">
        <v>141</v>
      </c>
      <c r="G118" s="50"/>
      <c r="H118" s="50"/>
      <c r="I118" s="9"/>
      <c r="J118" s="19"/>
      <c r="K118" s="9"/>
      <c r="L118" s="9"/>
      <c r="M118" s="9"/>
      <c r="S118" s="3"/>
      <c r="T118" s="3"/>
    </row>
    <row r="119" spans="1:30" s="27" customFormat="1" ht="15">
      <c r="A119" s="58"/>
      <c r="B119" s="50" t="s">
        <v>274</v>
      </c>
      <c r="C119" s="50" t="s">
        <v>275</v>
      </c>
      <c r="D119" s="63" t="s">
        <v>37</v>
      </c>
      <c r="E119" s="50" t="s">
        <v>364</v>
      </c>
      <c r="F119" s="90" t="s">
        <v>141</v>
      </c>
      <c r="G119" s="63"/>
      <c r="H119" s="63"/>
      <c r="I119" s="62"/>
      <c r="J119" s="62"/>
      <c r="K119" s="62"/>
      <c r="L119" s="62"/>
      <c r="M119" s="62"/>
      <c r="AA119"/>
      <c r="AB119" s="326"/>
      <c r="AC119" s="326"/>
      <c r="AD119" s="326"/>
    </row>
    <row r="120" spans="1:30" ht="15">
      <c r="A120" s="45"/>
      <c r="B120" s="50" t="s">
        <v>272</v>
      </c>
      <c r="C120" s="50" t="s">
        <v>276</v>
      </c>
      <c r="D120" s="63" t="s">
        <v>37</v>
      </c>
      <c r="E120" s="50" t="s">
        <v>364</v>
      </c>
      <c r="F120" s="90" t="s">
        <v>141</v>
      </c>
      <c r="G120" s="45"/>
      <c r="H120" s="45"/>
      <c r="I120" s="3"/>
      <c r="J120" s="3"/>
      <c r="K120" s="3"/>
      <c r="L120" s="3"/>
      <c r="M120" s="3"/>
    </row>
    <row r="121" spans="1:30">
      <c r="A121" s="45"/>
      <c r="B121" s="45" t="str">
        <f>D78</f>
        <v>NUCH2</v>
      </c>
      <c r="C121" s="45" t="str">
        <f>B121</f>
        <v>NUCH2</v>
      </c>
      <c r="D121" s="63" t="s">
        <v>37</v>
      </c>
      <c r="E121" s="58"/>
      <c r="F121" s="45"/>
      <c r="G121" s="45"/>
      <c r="H121" s="45"/>
    </row>
    <row r="122" spans="1:30">
      <c r="A122" s="45"/>
      <c r="B122" s="45"/>
      <c r="C122" s="45"/>
      <c r="D122" s="45"/>
      <c r="E122" s="45"/>
      <c r="F122" s="45"/>
      <c r="G122" s="45"/>
      <c r="H122" s="45"/>
    </row>
    <row r="128" spans="1:30">
      <c r="O128" s="13"/>
      <c r="P128" s="13"/>
      <c r="Q128" s="13"/>
      <c r="S128" s="13"/>
      <c r="T128" s="13"/>
      <c r="V128" s="13"/>
      <c r="Y128" s="13"/>
    </row>
    <row r="129" spans="1:30">
      <c r="O129" s="14"/>
      <c r="P129" s="14"/>
      <c r="Q129" s="14"/>
      <c r="S129" s="14"/>
      <c r="T129" s="14"/>
      <c r="V129" s="14"/>
      <c r="Y129" s="14"/>
    </row>
    <row r="130" spans="1:30">
      <c r="O130" s="15"/>
      <c r="P130" s="15"/>
      <c r="Q130" s="15"/>
      <c r="S130" s="15"/>
      <c r="T130" s="15"/>
      <c r="V130" s="15"/>
      <c r="Y130" s="15"/>
    </row>
    <row r="131" spans="1:30">
      <c r="O131" s="15"/>
      <c r="P131" s="15"/>
      <c r="Q131" s="15"/>
      <c r="S131" s="15"/>
      <c r="T131" s="15"/>
      <c r="V131" s="15"/>
      <c r="Y131" s="15"/>
    </row>
    <row r="132" spans="1:30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spans="1:30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30">
      <c r="K134" s="13"/>
      <c r="L134" s="13"/>
      <c r="M134" s="13"/>
    </row>
    <row r="135" spans="1:30">
      <c r="K135" s="14"/>
      <c r="L135" s="14"/>
      <c r="M135" s="14"/>
    </row>
    <row r="136" spans="1:30">
      <c r="K136" s="15"/>
      <c r="L136" s="15"/>
      <c r="M136" s="15"/>
    </row>
    <row r="137" spans="1:30">
      <c r="K137" s="15"/>
      <c r="L137" s="15"/>
      <c r="M137" s="15"/>
    </row>
    <row r="140" spans="1:30" s="13" customForma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O140" s="2"/>
      <c r="P140" s="2"/>
      <c r="Q140" s="2"/>
      <c r="S140" s="2"/>
      <c r="T140" s="2"/>
      <c r="V140" s="2"/>
      <c r="Y140" s="2"/>
      <c r="AA140"/>
      <c r="AB140" s="326"/>
      <c r="AC140" s="326"/>
      <c r="AD140" s="326"/>
    </row>
    <row r="141" spans="1:30" s="14" customFormat="1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O141" s="2"/>
      <c r="P141" s="2"/>
      <c r="Q141" s="2"/>
      <c r="S141" s="2"/>
      <c r="T141" s="2"/>
      <c r="V141" s="2"/>
      <c r="Y141" s="2"/>
      <c r="AA141"/>
      <c r="AB141" s="326"/>
      <c r="AC141" s="326"/>
      <c r="AD141" s="326"/>
    </row>
    <row r="142" spans="1:30" s="15" customForma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O142" s="2"/>
      <c r="P142" s="2"/>
      <c r="Q142" s="2"/>
      <c r="S142" s="2"/>
      <c r="T142" s="2"/>
      <c r="V142" s="2"/>
      <c r="Y142" s="2"/>
      <c r="AA142"/>
      <c r="AB142" s="326"/>
      <c r="AC142" s="326"/>
      <c r="AD142" s="326"/>
    </row>
    <row r="143" spans="1:30" s="15" customForma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O143" s="2"/>
      <c r="P143" s="2"/>
      <c r="Q143" s="2"/>
      <c r="S143" s="2"/>
      <c r="T143" s="2"/>
      <c r="V143" s="2"/>
      <c r="Y143" s="2"/>
      <c r="AA143"/>
      <c r="AB143" s="326"/>
      <c r="AC143" s="326"/>
      <c r="AD143" s="326"/>
    </row>
    <row r="146" spans="1:10">
      <c r="I146" s="13"/>
      <c r="J146" s="13"/>
    </row>
    <row r="147" spans="1:10">
      <c r="I147" s="14"/>
      <c r="J147" s="14"/>
    </row>
    <row r="148" spans="1:10">
      <c r="I148" s="15"/>
      <c r="J148" s="15"/>
    </row>
    <row r="149" spans="1:10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W57"/>
  <sheetViews>
    <sheetView topLeftCell="A4" zoomScaleNormal="100" workbookViewId="0">
      <pane xSplit="2" ySplit="2" topLeftCell="J6" activePane="bottomRight" state="frozen"/>
      <selection activeCell="A4" sqref="A4"/>
      <selection pane="topRight" activeCell="C4" sqref="C4"/>
      <selection pane="bottomLeft" activeCell="A6" sqref="A6"/>
      <selection pane="bottomRight" activeCell="U7" sqref="U7"/>
    </sheetView>
  </sheetViews>
  <sheetFormatPr defaultColWidth="11.42578125" defaultRowHeight="12.75"/>
  <cols>
    <col min="1" max="1" width="12.140625" style="327" customWidth="1"/>
    <col min="2" max="2" width="24.28515625" style="327" customWidth="1"/>
    <col min="3" max="3" width="75.140625" style="327" bestFit="1" customWidth="1"/>
    <col min="4" max="7" width="11.42578125" style="327" customWidth="1"/>
    <col min="8" max="9" width="12" style="327" customWidth="1"/>
    <col min="10" max="10" width="9.28515625" style="327" customWidth="1"/>
    <col min="11" max="11" width="14.5703125" style="327" bestFit="1" customWidth="1"/>
    <col min="12" max="12" width="9.28515625" style="327" customWidth="1"/>
    <col min="13" max="13" width="9" style="327" customWidth="1"/>
    <col min="14" max="14" width="11.42578125" style="326"/>
    <col min="15" max="16" width="11.42578125" style="327"/>
    <col min="17" max="20" width="11.42578125" style="326"/>
    <col min="21" max="16384" width="11.42578125" style="327"/>
  </cols>
  <sheetData>
    <row r="1" spans="1:23" ht="23.25">
      <c r="A1" s="4" t="s">
        <v>156</v>
      </c>
    </row>
    <row r="2" spans="1:23" ht="15.75">
      <c r="A2" s="5"/>
    </row>
    <row r="3" spans="1:23">
      <c r="E3" s="7" t="s">
        <v>159</v>
      </c>
      <c r="G3" s="6"/>
      <c r="H3" s="6"/>
      <c r="I3" s="6"/>
      <c r="J3" s="6"/>
      <c r="K3" s="6"/>
      <c r="L3" s="6"/>
      <c r="M3" s="326"/>
      <c r="N3" s="327"/>
      <c r="P3" s="326"/>
    </row>
    <row r="4" spans="1:23" ht="25.5">
      <c r="B4" s="1" t="s">
        <v>0</v>
      </c>
      <c r="C4" s="46" t="s">
        <v>120</v>
      </c>
      <c r="D4" s="1" t="s">
        <v>2</v>
      </c>
      <c r="E4" s="1" t="s">
        <v>3</v>
      </c>
      <c r="F4" s="94" t="s">
        <v>42</v>
      </c>
      <c r="G4" s="94" t="s">
        <v>108</v>
      </c>
      <c r="H4" s="94" t="s">
        <v>109</v>
      </c>
      <c r="I4" s="94" t="s">
        <v>110</v>
      </c>
      <c r="J4" s="94" t="s">
        <v>575</v>
      </c>
      <c r="K4" s="94" t="s">
        <v>51</v>
      </c>
      <c r="L4" s="94" t="s">
        <v>53</v>
      </c>
      <c r="M4" s="94" t="s">
        <v>35</v>
      </c>
      <c r="N4" s="94" t="s">
        <v>116</v>
      </c>
      <c r="O4" s="94" t="s">
        <v>117</v>
      </c>
      <c r="P4" s="94" t="s">
        <v>118</v>
      </c>
      <c r="Q4" s="418" t="s">
        <v>46</v>
      </c>
      <c r="R4" s="94" t="s">
        <v>599</v>
      </c>
      <c r="S4" s="94" t="s">
        <v>600</v>
      </c>
      <c r="T4" s="94" t="s">
        <v>601</v>
      </c>
      <c r="U4" s="94" t="s">
        <v>119</v>
      </c>
      <c r="V4" s="94" t="s">
        <v>45</v>
      </c>
      <c r="W4" s="326"/>
    </row>
    <row r="5" spans="1:23" ht="25.5">
      <c r="B5" s="78" t="s">
        <v>39</v>
      </c>
      <c r="C5" s="78" t="s">
        <v>29</v>
      </c>
      <c r="D5" s="78" t="s">
        <v>33</v>
      </c>
      <c r="E5" s="78" t="s">
        <v>34</v>
      </c>
      <c r="F5" s="79"/>
      <c r="G5" s="79"/>
      <c r="H5" s="79"/>
      <c r="I5" s="79"/>
      <c r="J5" s="79"/>
      <c r="K5" s="79"/>
      <c r="L5" s="79"/>
      <c r="M5" s="79" t="s">
        <v>49</v>
      </c>
      <c r="N5" s="79" t="s">
        <v>49</v>
      </c>
      <c r="O5" s="79" t="s">
        <v>49</v>
      </c>
      <c r="P5" s="79" t="s">
        <v>49</v>
      </c>
      <c r="Q5" s="79" t="s">
        <v>48</v>
      </c>
      <c r="R5" s="79"/>
      <c r="S5" s="79"/>
      <c r="T5" s="79"/>
      <c r="U5" s="79"/>
      <c r="V5" s="79"/>
      <c r="W5" s="326"/>
    </row>
    <row r="6" spans="1:23" ht="15">
      <c r="B6" s="422" t="str">
        <f>B25</f>
        <v>SELCH2PEM01_LowAF</v>
      </c>
      <c r="C6" s="422" t="str">
        <f>C25</f>
        <v>PEM Electrolyzer - Proton Exchange Membrane - Pseudo with LowAF</v>
      </c>
      <c r="D6" s="416" t="s">
        <v>436</v>
      </c>
      <c r="E6" s="417"/>
      <c r="F6" s="42">
        <f>1/0.65</f>
        <v>1.5384615384615383</v>
      </c>
      <c r="G6" s="42">
        <f>1/0.7</f>
        <v>1.4285714285714286</v>
      </c>
      <c r="H6" s="42"/>
      <c r="I6" s="42">
        <f>1/0.75</f>
        <v>1.3333333333333333</v>
      </c>
      <c r="J6" s="29">
        <f>1/0.8</f>
        <v>1.25</v>
      </c>
      <c r="K6" s="29"/>
      <c r="L6" s="34">
        <v>0.25</v>
      </c>
      <c r="M6" s="42"/>
      <c r="N6" s="42"/>
      <c r="O6" s="42"/>
      <c r="P6" s="42"/>
      <c r="Q6" s="31">
        <f>25000/8760</f>
        <v>2.8538812785388128</v>
      </c>
      <c r="R6" s="31">
        <f>50000/8760</f>
        <v>5.7077625570776256</v>
      </c>
      <c r="S6" s="31">
        <f>60000/8760</f>
        <v>6.8493150684931505</v>
      </c>
      <c r="T6" s="31">
        <f>80000/8760</f>
        <v>9.1324200913242013</v>
      </c>
      <c r="U6" s="31">
        <f>U8</f>
        <v>2023</v>
      </c>
      <c r="V6" s="42">
        <v>31.536000000000001</v>
      </c>
      <c r="W6" s="326"/>
    </row>
    <row r="7" spans="1:23" ht="15">
      <c r="B7" s="416"/>
      <c r="C7" s="416"/>
      <c r="D7" s="416"/>
      <c r="E7" s="421" t="s">
        <v>271</v>
      </c>
      <c r="F7" s="42"/>
      <c r="G7" s="42"/>
      <c r="H7" s="42"/>
      <c r="I7" s="42"/>
      <c r="J7" s="29"/>
      <c r="K7" s="29">
        <v>1</v>
      </c>
      <c r="L7" s="34"/>
      <c r="M7" s="42"/>
      <c r="N7" s="42"/>
      <c r="O7" s="42"/>
      <c r="P7" s="42"/>
      <c r="Q7" s="31"/>
      <c r="R7" s="31"/>
      <c r="S7" s="31"/>
      <c r="T7" s="31"/>
      <c r="U7" s="31"/>
      <c r="V7" s="42"/>
      <c r="W7" s="326"/>
    </row>
    <row r="8" spans="1:23">
      <c r="B8" s="59" t="str">
        <f>B26</f>
        <v>SELCH2EC01_LowAF</v>
      </c>
      <c r="C8" s="59" t="str">
        <f>C26</f>
        <v>H2 Production-Alkaline Electrolyser, large size, centralized - Pseudo with LowAF</v>
      </c>
      <c r="D8" s="28" t="s">
        <v>436</v>
      </c>
      <c r="E8" s="160"/>
      <c r="F8" s="42">
        <f>IF('INPUT-Data(HP)'!J22=0,"",'INPUT-Data(HP)'!J22)</f>
        <v>1.5</v>
      </c>
      <c r="G8" s="42">
        <f>IF('INPUT-Data(HP)'!K22=0,"",'INPUT-Data(HP)'!K22)</f>
        <v>1.5</v>
      </c>
      <c r="H8" s="42">
        <f>IF('INPUT-Data(HP)'!L22=0,"",'INPUT-Data(HP)'!L22)</f>
        <v>1.38</v>
      </c>
      <c r="I8" s="42" t="str">
        <f>IF('INPUT-Data(HP)'!M22=0,"",'INPUT-Data(HP)'!M22)</f>
        <v/>
      </c>
      <c r="J8" s="29"/>
      <c r="K8" s="29"/>
      <c r="L8" s="34">
        <v>0.25</v>
      </c>
      <c r="M8" s="42">
        <f>IF('INPUT-Data(HP)'!AD22=0,"",'INPUT-Data(HP)'!AD22)</f>
        <v>0.1540794223826715</v>
      </c>
      <c r="N8" s="42">
        <f>IF('INPUT-Data(HP)'!AE22=0,"",'INPUT-Data(HP)'!AE22)</f>
        <v>0.1540794223826715</v>
      </c>
      <c r="O8" s="42">
        <f>IF('INPUT-Data(HP)'!AF22=0,"",'INPUT-Data(HP)'!AF22)</f>
        <v>6.3557761732851992E-2</v>
      </c>
      <c r="P8" s="42" t="str">
        <f>IF('INPUT-Data(HP)'!AG22=0,"",'INPUT-Data(HP)'!AG22)</f>
        <v/>
      </c>
      <c r="Q8" s="31">
        <f>IF('INPUT-Data(HP)'!AH22=0,"",'INPUT-Data(HP)'!AH22)</f>
        <v>40</v>
      </c>
      <c r="R8" s="31"/>
      <c r="S8" s="31"/>
      <c r="T8" s="31"/>
      <c r="U8" s="31">
        <f>IF('INPUT-Data(HP)'!AI22=0,"",'INPUT-Data(HP)'!AI22)</f>
        <v>2023</v>
      </c>
      <c r="V8" s="42">
        <v>31.536000000000001</v>
      </c>
      <c r="W8" s="326"/>
    </row>
    <row r="9" spans="1:23">
      <c r="B9" s="59"/>
      <c r="C9" s="59"/>
      <c r="D9" s="28"/>
      <c r="E9" s="160" t="s">
        <v>274</v>
      </c>
      <c r="F9" s="42"/>
      <c r="G9" s="42"/>
      <c r="H9" s="42"/>
      <c r="I9" s="42"/>
      <c r="J9" s="29"/>
      <c r="K9" s="29">
        <f>'INPUT-Data(HP)'!R22</f>
        <v>1</v>
      </c>
      <c r="L9" s="34"/>
      <c r="M9" s="42"/>
      <c r="N9" s="42"/>
      <c r="O9" s="42"/>
      <c r="P9" s="42"/>
      <c r="Q9" s="31"/>
      <c r="R9" s="31"/>
      <c r="S9" s="31"/>
      <c r="T9" s="31"/>
      <c r="U9" s="31"/>
      <c r="V9" s="42"/>
      <c r="W9" s="326"/>
    </row>
    <row r="10" spans="1:23">
      <c r="B10" s="54" t="str">
        <f>B27</f>
        <v>SELCH2EC02_LowAF</v>
      </c>
      <c r="C10" s="54" t="str">
        <f>C27</f>
        <v>H2 Production-Alkaline Electrolyser, medium size, centralized - Pseudo with LowAF</v>
      </c>
      <c r="D10" s="17" t="s">
        <v>436</v>
      </c>
      <c r="E10" s="50"/>
      <c r="F10" s="36">
        <f>IF('INPUT-Data(HP)'!J23=0,"",'INPUT-Data(HP)'!J23)</f>
        <v>1.633</v>
      </c>
      <c r="G10" s="325">
        <f t="shared" ref="G10" si="0">F10</f>
        <v>1.633</v>
      </c>
      <c r="H10" s="36">
        <f>IF('INPUT-Data(HP)'!L23=0,"",'INPUT-Data(HP)'!L23)</f>
        <v>1.633</v>
      </c>
      <c r="I10" s="36">
        <f>IF('INPUT-Data(HP)'!M23=0,"",'INPUT-Data(HP)'!M23)</f>
        <v>1.4159999999999999</v>
      </c>
      <c r="J10" s="18"/>
      <c r="L10" s="34">
        <v>0.25</v>
      </c>
      <c r="M10" s="36">
        <f>IF('INPUT-Data(HP)'!AD23=0,"",'INPUT-Data(HP)'!AD23)</f>
        <v>5.7779783393501802E-2</v>
      </c>
      <c r="N10" s="36" t="str">
        <f>IF('INPUT-Data(HP)'!AE23=0,"",'INPUT-Data(HP)'!AE23)</f>
        <v/>
      </c>
      <c r="O10" s="36">
        <f>IF('INPUT-Data(HP)'!AF23=0,"",'INPUT-Data(HP)'!AF23)</f>
        <v>5.7779783393501802E-2</v>
      </c>
      <c r="P10" s="36"/>
      <c r="Q10" s="30">
        <f>IF('INPUT-Data(HP)'!AH23=0,"",'INPUT-Data(HP)'!AH23)</f>
        <v>20</v>
      </c>
      <c r="R10" s="30"/>
      <c r="S10" s="30"/>
      <c r="T10" s="30"/>
      <c r="U10" s="30">
        <f>IF('INPUT-Data(HP)'!AI23=0,"",'INPUT-Data(HP)'!AI23)</f>
        <v>2023</v>
      </c>
      <c r="V10" s="36">
        <v>31.536000000000001</v>
      </c>
      <c r="W10" s="326"/>
    </row>
    <row r="11" spans="1:23">
      <c r="B11" s="54"/>
      <c r="C11" s="54"/>
      <c r="D11" s="17"/>
      <c r="E11" s="50" t="s">
        <v>274</v>
      </c>
      <c r="F11" s="36"/>
      <c r="G11" s="36"/>
      <c r="H11" s="36"/>
      <c r="I11" s="36"/>
      <c r="J11" s="18"/>
      <c r="K11" s="18">
        <f>'INPUT-Data(HP)'!R23</f>
        <v>1</v>
      </c>
      <c r="L11" s="33"/>
      <c r="M11" s="36"/>
      <c r="N11" s="36"/>
      <c r="O11" s="36"/>
      <c r="P11" s="36"/>
      <c r="Q11" s="30"/>
      <c r="R11" s="30"/>
      <c r="S11" s="30"/>
      <c r="T11" s="30"/>
      <c r="U11" s="30"/>
      <c r="V11" s="36"/>
      <c r="W11" s="326"/>
    </row>
    <row r="12" spans="1:23">
      <c r="B12" s="59" t="str">
        <f t="shared" ref="B12:C12" si="1">B28</f>
        <v>SELCH2ED01_LowAF</v>
      </c>
      <c r="C12" s="59" t="str">
        <f t="shared" si="1"/>
        <v>H2 Production-Alkaline Electrolyser, small size, decentralized - Pseudo with LowAF</v>
      </c>
      <c r="D12" s="28" t="s">
        <v>516</v>
      </c>
      <c r="E12" s="160"/>
      <c r="F12" s="42">
        <f>IF('INPUT-Data(HP)'!J24=0,"",'INPUT-Data(HP)'!J24)</f>
        <v>1.62</v>
      </c>
      <c r="G12" s="325">
        <f t="shared" ref="G12" si="2">F12</f>
        <v>1.62</v>
      </c>
      <c r="H12" s="42">
        <f>IF('INPUT-Data(HP)'!L24=0,"",'INPUT-Data(HP)'!L24)</f>
        <v>1.62</v>
      </c>
      <c r="I12" s="42">
        <f>IF('INPUT-Data(HP)'!M24=0,"",'INPUT-Data(HP)'!M24)</f>
        <v>1.41</v>
      </c>
      <c r="J12" s="29"/>
      <c r="K12" s="29"/>
      <c r="L12" s="34">
        <v>0.25</v>
      </c>
      <c r="M12" s="42">
        <f>IF('INPUT-Data(HP)'!AD24=0,"",'INPUT-Data(HP)'!AD24)</f>
        <v>0.96299638989169678</v>
      </c>
      <c r="N12" s="42" t="str">
        <f>IF('INPUT-Data(HP)'!AE24=0,"",'INPUT-Data(HP)'!AE24)</f>
        <v/>
      </c>
      <c r="O12" s="42">
        <f>IF('INPUT-Data(HP)'!AF24=0,"",'INPUT-Data(HP)'!AF24)</f>
        <v>0.96299638989169678</v>
      </c>
      <c r="P12" s="42">
        <f>IF('INPUT-Data(HP)'!AG24=0,"",'INPUT-Data(HP)'!AG24)</f>
        <v>0.17333935018050542</v>
      </c>
      <c r="Q12" s="31">
        <f>IF('INPUT-Data(HP)'!AH24=0,"",'INPUT-Data(HP)'!AH24)</f>
        <v>20</v>
      </c>
      <c r="R12" s="31"/>
      <c r="S12" s="31"/>
      <c r="T12" s="31"/>
      <c r="U12" s="31">
        <f>IF('INPUT-Data(HP)'!AI24=0,"",'INPUT-Data(HP)'!AI24)</f>
        <v>2023</v>
      </c>
      <c r="V12" s="42">
        <v>31.536000000000001</v>
      </c>
      <c r="W12" s="326"/>
    </row>
    <row r="13" spans="1:23">
      <c r="B13" s="88"/>
      <c r="C13" s="88"/>
      <c r="D13" s="24"/>
      <c r="E13" s="92" t="s">
        <v>272</v>
      </c>
      <c r="F13" s="25"/>
      <c r="G13" s="25"/>
      <c r="H13" s="25"/>
      <c r="I13" s="25"/>
      <c r="J13" s="25"/>
      <c r="K13" s="25">
        <f>'INPUT-Data(HP)'!R24</f>
        <v>1</v>
      </c>
      <c r="L13" s="41"/>
      <c r="M13" s="89"/>
      <c r="N13" s="89"/>
      <c r="O13" s="89"/>
      <c r="P13" s="89"/>
      <c r="Q13" s="32"/>
      <c r="R13" s="32"/>
      <c r="S13" s="32"/>
      <c r="T13" s="32"/>
      <c r="U13" s="32"/>
      <c r="V13" s="89"/>
      <c r="W13" s="326"/>
    </row>
    <row r="14" spans="1:23">
      <c r="B14" s="59"/>
      <c r="C14" s="59"/>
      <c r="D14" s="28"/>
      <c r="E14" s="160"/>
      <c r="F14" s="29"/>
      <c r="G14" s="29"/>
      <c r="H14" s="29"/>
      <c r="I14" s="29"/>
      <c r="J14" s="29"/>
      <c r="K14" s="29"/>
      <c r="L14" s="34"/>
      <c r="M14" s="42"/>
      <c r="N14" s="42"/>
      <c r="O14" s="42"/>
      <c r="P14" s="42"/>
      <c r="Q14" s="31"/>
      <c r="R14" s="31"/>
      <c r="S14" s="31"/>
      <c r="T14" s="31"/>
      <c r="U14" s="31"/>
      <c r="V14" s="42"/>
      <c r="W14" s="326"/>
    </row>
    <row r="15" spans="1:23">
      <c r="B15" s="59"/>
      <c r="C15" s="59"/>
      <c r="D15" s="28"/>
      <c r="E15" s="160"/>
      <c r="F15" s="29"/>
      <c r="G15" s="29"/>
      <c r="H15" s="29"/>
      <c r="I15" s="29"/>
      <c r="J15" s="29"/>
      <c r="K15" s="29"/>
      <c r="L15" s="34"/>
      <c r="M15" s="42"/>
      <c r="N15" s="42"/>
      <c r="O15" s="42"/>
      <c r="P15" s="42"/>
      <c r="Q15" s="31"/>
      <c r="R15" s="31"/>
      <c r="S15" s="31"/>
      <c r="T15" s="31"/>
      <c r="U15" s="31"/>
      <c r="V15" s="42"/>
      <c r="W15" s="326"/>
    </row>
    <row r="16" spans="1:23">
      <c r="B16" s="59"/>
      <c r="C16" s="59"/>
      <c r="D16" s="28"/>
      <c r="E16" s="160"/>
      <c r="F16" s="29"/>
      <c r="G16" s="29"/>
      <c r="H16" s="29"/>
      <c r="I16" s="29"/>
      <c r="J16" s="29"/>
      <c r="K16" s="34"/>
      <c r="L16" s="113"/>
      <c r="M16" s="42"/>
      <c r="N16" s="42"/>
      <c r="O16" s="42"/>
      <c r="P16" s="31"/>
      <c r="Q16" s="31"/>
      <c r="R16" s="31"/>
      <c r="S16" s="31"/>
      <c r="T16" s="31"/>
      <c r="U16" s="42"/>
      <c r="V16" s="326"/>
    </row>
    <row r="17" spans="1:23">
      <c r="A17" s="8"/>
      <c r="B17" s="9"/>
    </row>
    <row r="18" spans="1:23">
      <c r="A18" s="8"/>
      <c r="B18" s="9"/>
      <c r="C18" s="9"/>
      <c r="D18" s="9"/>
      <c r="E18" s="10"/>
      <c r="F18" s="10"/>
      <c r="G18" s="10"/>
      <c r="H18" s="10"/>
      <c r="I18" s="10"/>
      <c r="J18" s="12"/>
      <c r="K18" s="11"/>
      <c r="L18" s="11"/>
    </row>
    <row r="19" spans="1:23" s="326" customFormat="1">
      <c r="A19" s="8"/>
      <c r="B19" s="9"/>
      <c r="C19" s="9"/>
      <c r="D19" s="9"/>
      <c r="E19" s="10"/>
      <c r="F19" s="11"/>
      <c r="G19" s="10"/>
      <c r="H19" s="290"/>
      <c r="I19" s="290"/>
      <c r="J19" s="292"/>
      <c r="K19" s="291"/>
      <c r="L19" s="303"/>
      <c r="M19" s="327"/>
      <c r="O19" s="327"/>
      <c r="P19" s="327"/>
      <c r="U19" s="327"/>
      <c r="V19" s="327"/>
      <c r="W19" s="327"/>
    </row>
    <row r="20" spans="1:23" s="326" customFormat="1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  <c r="M20" s="145"/>
      <c r="O20" s="327"/>
      <c r="P20" s="161"/>
      <c r="U20" s="327"/>
      <c r="V20" s="327"/>
      <c r="W20" s="327"/>
    </row>
    <row r="21" spans="1:23" s="326" customFormat="1">
      <c r="A21" s="8"/>
      <c r="B21" s="9"/>
      <c r="C21" s="9"/>
      <c r="D21" s="9"/>
      <c r="E21" s="10"/>
      <c r="F21" s="10"/>
      <c r="G21" s="10"/>
      <c r="H21" s="11"/>
      <c r="I21" s="10"/>
      <c r="J21" s="12"/>
      <c r="K21" s="11"/>
      <c r="L21" s="11"/>
      <c r="M21" s="327"/>
      <c r="O21" s="327"/>
      <c r="P21" s="161"/>
      <c r="U21" s="327"/>
      <c r="V21" s="327"/>
      <c r="W21" s="327"/>
    </row>
    <row r="22" spans="1:23" s="326" customFormat="1">
      <c r="A22" s="44" t="s">
        <v>16</v>
      </c>
      <c r="B22" s="44"/>
      <c r="C22" s="45"/>
      <c r="D22" s="45"/>
      <c r="E22" s="45"/>
      <c r="F22" s="45"/>
      <c r="G22" s="45"/>
      <c r="H22" s="45"/>
      <c r="I22" s="327"/>
      <c r="J22" s="327"/>
      <c r="K22" s="327"/>
      <c r="L22" s="327"/>
      <c r="M22" s="327"/>
      <c r="O22" s="327"/>
      <c r="P22" s="327"/>
      <c r="U22" s="327"/>
      <c r="V22" s="327"/>
      <c r="W22" s="327"/>
    </row>
    <row r="23" spans="1:23" s="326" customFormat="1">
      <c r="A23" s="46" t="s">
        <v>15</v>
      </c>
      <c r="B23" s="46" t="s">
        <v>0</v>
      </c>
      <c r="C23" s="46" t="s">
        <v>1</v>
      </c>
      <c r="D23" s="46" t="s">
        <v>17</v>
      </c>
      <c r="E23" s="46" t="s">
        <v>18</v>
      </c>
      <c r="F23" s="46" t="s">
        <v>19</v>
      </c>
      <c r="G23" s="46" t="s">
        <v>20</v>
      </c>
      <c r="H23" s="46" t="s">
        <v>21</v>
      </c>
      <c r="I23" s="327"/>
      <c r="J23" s="327"/>
      <c r="K23" s="327"/>
      <c r="L23" s="327"/>
      <c r="M23" s="327"/>
      <c r="O23" s="327"/>
      <c r="P23" s="327"/>
      <c r="U23" s="327"/>
      <c r="V23" s="327"/>
      <c r="W23" s="327"/>
    </row>
    <row r="24" spans="1:23" s="326" customFormat="1" ht="38.25">
      <c r="A24" s="91" t="s">
        <v>55</v>
      </c>
      <c r="B24" s="91" t="s">
        <v>28</v>
      </c>
      <c r="C24" s="91" t="s">
        <v>29</v>
      </c>
      <c r="D24" s="91" t="s">
        <v>30</v>
      </c>
      <c r="E24" s="91" t="s">
        <v>31</v>
      </c>
      <c r="F24" s="91" t="s">
        <v>41</v>
      </c>
      <c r="G24" s="91" t="s">
        <v>40</v>
      </c>
      <c r="H24" s="91" t="s">
        <v>32</v>
      </c>
      <c r="I24" s="17"/>
      <c r="J24" s="18"/>
      <c r="K24" s="327"/>
      <c r="L24" s="327"/>
      <c r="M24" s="327"/>
      <c r="O24" s="327"/>
      <c r="P24" s="327"/>
      <c r="U24" s="327"/>
      <c r="V24" s="327"/>
      <c r="W24" s="327"/>
    </row>
    <row r="25" spans="1:23" ht="15">
      <c r="A25" s="47" t="s">
        <v>52</v>
      </c>
      <c r="B25" s="48" t="s">
        <v>602</v>
      </c>
      <c r="C25" s="47" t="s">
        <v>606</v>
      </c>
      <c r="D25" s="49" t="s">
        <v>37</v>
      </c>
      <c r="E25" s="50" t="s">
        <v>44</v>
      </c>
      <c r="F25" s="49" t="s">
        <v>38</v>
      </c>
      <c r="G25" s="49"/>
      <c r="H25" s="49" t="s">
        <v>62</v>
      </c>
      <c r="I25" s="3"/>
      <c r="J25" s="3"/>
      <c r="K25" s="3"/>
      <c r="L25" s="3"/>
    </row>
    <row r="26" spans="1:23">
      <c r="B26" s="48" t="s">
        <v>603</v>
      </c>
      <c r="C26" s="47" t="s">
        <v>607</v>
      </c>
      <c r="D26" s="49" t="s">
        <v>37</v>
      </c>
      <c r="E26" s="50" t="s">
        <v>44</v>
      </c>
      <c r="F26" s="49" t="s">
        <v>38</v>
      </c>
      <c r="G26" s="49"/>
      <c r="H26" s="49" t="s">
        <v>62</v>
      </c>
    </row>
    <row r="27" spans="1:23">
      <c r="A27" s="47"/>
      <c r="B27" s="48" t="s">
        <v>604</v>
      </c>
      <c r="C27" s="47" t="s">
        <v>608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</row>
    <row r="28" spans="1:23" ht="15">
      <c r="A28" s="57"/>
      <c r="B28" s="55" t="s">
        <v>605</v>
      </c>
      <c r="C28" s="57" t="s">
        <v>609</v>
      </c>
      <c r="D28" s="56" t="s">
        <v>37</v>
      </c>
      <c r="E28" s="55" t="s">
        <v>44</v>
      </c>
      <c r="F28" s="56" t="s">
        <v>38</v>
      </c>
      <c r="G28" s="56"/>
      <c r="H28" s="56" t="s">
        <v>62</v>
      </c>
      <c r="I28" s="3"/>
      <c r="J28" s="3"/>
      <c r="K28" s="3"/>
      <c r="L28" s="3"/>
    </row>
    <row r="29" spans="1:23" s="27" customFormat="1">
      <c r="A29" s="20"/>
      <c r="B29" s="60"/>
      <c r="C29" s="61"/>
      <c r="D29" s="20"/>
      <c r="E29" s="20"/>
      <c r="F29" s="20"/>
      <c r="G29" s="17"/>
      <c r="H29" s="20"/>
      <c r="Q29" s="326"/>
      <c r="R29" s="326"/>
      <c r="S29" s="326"/>
      <c r="T29" s="326"/>
    </row>
    <row r="30" spans="1:23">
      <c r="A30" s="45"/>
      <c r="B30" s="45"/>
      <c r="C30" s="45"/>
      <c r="D30" s="45"/>
      <c r="E30" s="45"/>
      <c r="F30" s="45"/>
      <c r="G30" s="45"/>
      <c r="H30" s="45"/>
    </row>
    <row r="36" spans="1:20">
      <c r="O36" s="13"/>
    </row>
    <row r="37" spans="1:20">
      <c r="O37" s="14"/>
    </row>
    <row r="38" spans="1:20">
      <c r="O38" s="15"/>
    </row>
    <row r="39" spans="1:20">
      <c r="O39" s="15"/>
    </row>
    <row r="40" spans="1:2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 spans="1:20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20">
      <c r="K42" s="13"/>
      <c r="L42" s="13"/>
    </row>
    <row r="43" spans="1:20">
      <c r="K43" s="14"/>
      <c r="L43" s="14"/>
    </row>
    <row r="44" spans="1:20">
      <c r="K44" s="15"/>
      <c r="L44" s="15"/>
    </row>
    <row r="45" spans="1:20">
      <c r="K45" s="15"/>
      <c r="L45" s="15"/>
    </row>
    <row r="48" spans="1:20" s="13" customFormat="1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O48" s="327"/>
      <c r="Q48" s="326"/>
      <c r="R48" s="326"/>
      <c r="S48" s="326"/>
      <c r="T48" s="326"/>
    </row>
    <row r="49" spans="1:20" s="14" customFormat="1" ht="15" customHeight="1">
      <c r="A49" s="327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O49" s="327"/>
      <c r="Q49" s="326"/>
      <c r="R49" s="326"/>
      <c r="S49" s="326"/>
      <c r="T49" s="326"/>
    </row>
    <row r="50" spans="1:20" s="15" customFormat="1">
      <c r="A50" s="327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O50" s="327"/>
      <c r="Q50" s="326"/>
      <c r="R50" s="326"/>
      <c r="S50" s="326"/>
      <c r="T50" s="326"/>
    </row>
    <row r="51" spans="1:20" s="15" customFormat="1">
      <c r="A51" s="327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O51" s="327"/>
      <c r="Q51" s="326"/>
      <c r="R51" s="326"/>
      <c r="S51" s="326"/>
      <c r="T51" s="326"/>
    </row>
    <row r="54" spans="1:20">
      <c r="I54" s="13"/>
      <c r="J54" s="13"/>
    </row>
    <row r="55" spans="1:20">
      <c r="I55" s="14"/>
      <c r="J55" s="14"/>
    </row>
    <row r="56" spans="1:20">
      <c r="I56" s="15"/>
      <c r="J56" s="15"/>
    </row>
    <row r="57" spans="1:20">
      <c r="A57" s="15"/>
      <c r="B57" s="15"/>
      <c r="C57" s="15"/>
      <c r="D57" s="15"/>
      <c r="E57" s="15"/>
      <c r="F57" s="15"/>
      <c r="G57" s="15"/>
      <c r="H57" s="15"/>
      <c r="I57" s="15"/>
      <c r="J57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36"/>
  <sheetViews>
    <sheetView zoomScaleNormal="100" workbookViewId="0">
      <selection activeCell="J6" sqref="J6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326" customWidth="1"/>
    <col min="12" max="12" width="13" bestFit="1" customWidth="1"/>
    <col min="13" max="13" width="13" style="326" customWidth="1"/>
    <col min="14" max="14" width="13" bestFit="1" customWidth="1"/>
    <col min="15" max="15" width="13" style="326" customWidth="1"/>
    <col min="16" max="16" width="8.5703125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327"/>
      <c r="L1" s="2"/>
      <c r="M1" s="327"/>
      <c r="N1" s="2"/>
      <c r="O1" s="32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327"/>
      <c r="L2" s="2"/>
      <c r="M2" s="327"/>
      <c r="N2" s="2"/>
      <c r="O2" s="32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7" t="s">
        <v>512</v>
      </c>
      <c r="E3" s="2"/>
      <c r="F3" s="6"/>
      <c r="G3" s="6"/>
      <c r="H3" s="6"/>
      <c r="I3" s="6"/>
      <c r="J3" s="2"/>
      <c r="K3" s="327"/>
      <c r="L3" s="2"/>
      <c r="M3" s="327"/>
      <c r="N3" s="2"/>
      <c r="O3" s="327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/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356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335" t="s">
        <v>566</v>
      </c>
      <c r="K5" s="335" t="s">
        <v>566</v>
      </c>
      <c r="L5" s="335" t="s">
        <v>566</v>
      </c>
      <c r="M5" s="335" t="s">
        <v>566</v>
      </c>
      <c r="N5" s="335" t="s">
        <v>566</v>
      </c>
      <c r="O5" s="335" t="s">
        <v>566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SUP_HP!B118</f>
        <v>SYNH2CU</v>
      </c>
      <c r="D6" s="19" t="str">
        <f>B6</f>
        <v>SYNH2CU</v>
      </c>
      <c r="E6" s="149">
        <v>2015</v>
      </c>
      <c r="F6" s="149">
        <v>30</v>
      </c>
      <c r="G6" s="150">
        <v>1</v>
      </c>
      <c r="H6" s="149"/>
      <c r="I6" s="149"/>
      <c r="J6" s="324">
        <f>'INPUT-Data(HS)'!S9</f>
        <v>3.5260105546847997</v>
      </c>
      <c r="K6" s="324">
        <f>'INPUT-Data(HS)'!T9</f>
        <v>2.7115810613200484</v>
      </c>
      <c r="L6" s="324">
        <f>'INPUT-Data(HS)'!U9</f>
        <v>0.30252753279839995</v>
      </c>
      <c r="M6" s="324">
        <f>'INPUT-Data(HS)'!V9</f>
        <v>0.23265044608958996</v>
      </c>
      <c r="N6" s="330"/>
      <c r="O6" s="330"/>
      <c r="P6" s="36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95" t="s">
        <v>357</v>
      </c>
      <c r="D7" s="19"/>
      <c r="E7" s="149"/>
      <c r="F7" s="149"/>
      <c r="G7" s="150"/>
      <c r="H7" s="149">
        <v>1</v>
      </c>
      <c r="I7" s="149"/>
      <c r="J7" s="123"/>
      <c r="K7" s="330"/>
      <c r="L7" s="151"/>
      <c r="M7" s="337"/>
      <c r="N7" s="149"/>
      <c r="O7" s="33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SUP_HP!B119</f>
        <v>SYNH2CT</v>
      </c>
      <c r="D8" s="19" t="str">
        <f>B8</f>
        <v>SYNH2CT</v>
      </c>
      <c r="E8" s="149">
        <v>2015</v>
      </c>
      <c r="F8" s="149">
        <f>'INPUT-Data(HS)'!I18</f>
        <v>22</v>
      </c>
      <c r="G8" s="150">
        <v>1</v>
      </c>
      <c r="H8" s="149"/>
      <c r="I8" s="149"/>
      <c r="J8" s="324">
        <f>'INPUT-Data(HS)'!S10</f>
        <v>16.58101473312772</v>
      </c>
      <c r="K8" s="324">
        <f>'INPUT-Data(HS)'!T10</f>
        <v>12.973253888792026</v>
      </c>
      <c r="L8" s="324">
        <f>'INPUT-Data(HS)'!U10</f>
        <v>0.76272667772387526</v>
      </c>
      <c r="M8" s="324">
        <f>'INPUT-Data(HS)'!V10</f>
        <v>0.59676967888443322</v>
      </c>
      <c r="N8" s="149"/>
      <c r="O8" s="336"/>
      <c r="P8" s="36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95" t="s">
        <v>369</v>
      </c>
      <c r="D9" s="19"/>
      <c r="E9" s="149"/>
      <c r="F9" s="149"/>
      <c r="G9" s="150"/>
      <c r="H9" s="149">
        <v>1</v>
      </c>
      <c r="I9" s="149"/>
      <c r="K9" s="326"/>
      <c r="L9" s="326"/>
      <c r="M9" s="326"/>
      <c r="N9" s="149"/>
      <c r="O9" s="33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SUP_HP!B120</f>
        <v>SYNH2DT</v>
      </c>
      <c r="D10" s="19" t="str">
        <f>B10</f>
        <v>SYNH2DT</v>
      </c>
      <c r="E10" s="149">
        <v>2015</v>
      </c>
      <c r="F10" s="149">
        <f>'INPUT-Data(HS)'!I19</f>
        <v>22</v>
      </c>
      <c r="G10" s="150">
        <v>1</v>
      </c>
      <c r="H10" s="153"/>
      <c r="I10" s="153"/>
      <c r="J10" s="324">
        <f>'INPUT-Data(HS)'!S11</f>
        <v>9.5452740830205478</v>
      </c>
      <c r="K10" s="324">
        <f>'INPUT-Data(HS)'!T11</f>
        <v>7.4683767013198397</v>
      </c>
      <c r="L10" s="324">
        <f>'INPUT-Data(HS)'!U11</f>
        <v>0.4390826078189452</v>
      </c>
      <c r="M10" s="324">
        <f>'INPUT-Data(HS)'!V11</f>
        <v>0.34354532826071266</v>
      </c>
      <c r="N10" s="43"/>
      <c r="P10" s="36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95" t="s">
        <v>358</v>
      </c>
      <c r="D11" s="19"/>
      <c r="E11" s="149"/>
      <c r="F11" s="149"/>
      <c r="G11" s="150"/>
      <c r="H11" s="196">
        <v>1</v>
      </c>
      <c r="I11" s="153"/>
      <c r="K11" s="326"/>
      <c r="M11" s="326"/>
      <c r="O11" s="32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359</v>
      </c>
      <c r="B12" s="19" t="s">
        <v>355</v>
      </c>
      <c r="D12" s="195" t="s">
        <v>357</v>
      </c>
      <c r="E12" s="43">
        <f>E6</f>
        <v>2015</v>
      </c>
      <c r="F12" s="43">
        <f>F6</f>
        <v>30</v>
      </c>
      <c r="G12" s="150"/>
      <c r="H12" s="153"/>
      <c r="I12" s="153"/>
      <c r="K12" s="326"/>
      <c r="M12" s="326"/>
      <c r="O12" s="326"/>
      <c r="P12" s="117">
        <v>1</v>
      </c>
      <c r="R12" s="35"/>
      <c r="S12" s="43">
        <v>1</v>
      </c>
      <c r="T12" s="2"/>
      <c r="U12" s="2"/>
      <c r="V12" s="2"/>
      <c r="W12" s="2"/>
      <c r="X12" s="2"/>
    </row>
    <row r="13" spans="1:24" s="43" customFormat="1">
      <c r="A13" s="19" t="s">
        <v>368</v>
      </c>
      <c r="B13" s="19" t="s">
        <v>355</v>
      </c>
      <c r="D13" s="195" t="s">
        <v>369</v>
      </c>
      <c r="E13" s="43">
        <f>E8</f>
        <v>2015</v>
      </c>
      <c r="F13" s="43">
        <f>F8</f>
        <v>22</v>
      </c>
      <c r="G13" s="150"/>
      <c r="H13" s="153"/>
      <c r="I13" s="153"/>
      <c r="K13" s="326"/>
      <c r="M13" s="326"/>
      <c r="O13" s="326"/>
      <c r="P13" s="117">
        <v>1</v>
      </c>
      <c r="R13" s="35"/>
      <c r="S13" s="43">
        <v>1</v>
      </c>
      <c r="T13" s="2"/>
      <c r="U13" s="2"/>
      <c r="V13" s="2"/>
      <c r="W13" s="2"/>
      <c r="X13" s="2"/>
    </row>
    <row r="14" spans="1:24" s="43" customFormat="1">
      <c r="A14" s="19" t="s">
        <v>360</v>
      </c>
      <c r="B14" s="19" t="s">
        <v>355</v>
      </c>
      <c r="D14" s="195" t="s">
        <v>358</v>
      </c>
      <c r="E14" s="43">
        <f>E10</f>
        <v>2015</v>
      </c>
      <c r="F14" s="43">
        <f>F10</f>
        <v>22</v>
      </c>
      <c r="G14" s="150"/>
      <c r="H14" s="153"/>
      <c r="I14" s="153"/>
      <c r="K14" s="326"/>
      <c r="M14" s="326"/>
      <c r="O14" s="326"/>
      <c r="P14" s="117">
        <v>1</v>
      </c>
      <c r="R14" s="35"/>
      <c r="S14" s="43">
        <v>1</v>
      </c>
      <c r="T14" s="2"/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326"/>
      <c r="M15" s="326"/>
      <c r="O15" s="32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326"/>
      <c r="M16" s="326"/>
      <c r="O16" s="32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326"/>
      <c r="M17" s="326"/>
      <c r="O17" s="32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327"/>
      <c r="L18" s="2"/>
      <c r="M18" s="327"/>
      <c r="N18" s="2"/>
      <c r="O18" s="32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327"/>
      <c r="L19" s="2"/>
      <c r="M19" s="327"/>
      <c r="N19" s="2"/>
      <c r="O19" s="32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85" t="s">
        <v>55</v>
      </c>
      <c r="B20" s="285" t="s">
        <v>28</v>
      </c>
      <c r="C20" s="285" t="s">
        <v>29</v>
      </c>
      <c r="D20" s="285" t="s">
        <v>30</v>
      </c>
      <c r="E20" s="285" t="s">
        <v>31</v>
      </c>
      <c r="F20" s="285" t="s">
        <v>41</v>
      </c>
      <c r="G20" s="285" t="s">
        <v>40</v>
      </c>
      <c r="H20" s="285" t="s">
        <v>32</v>
      </c>
      <c r="I20" s="2"/>
      <c r="J20" s="2"/>
      <c r="K20" s="327"/>
      <c r="L20" s="2"/>
      <c r="M20" s="327"/>
      <c r="N20" s="2"/>
      <c r="O20" s="32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513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327"/>
      <c r="L21" s="2"/>
      <c r="M21" s="327"/>
      <c r="N21" s="2"/>
      <c r="O21" s="32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514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327"/>
      <c r="L22" s="2"/>
      <c r="M22" s="327"/>
      <c r="N22" s="2"/>
      <c r="O22" s="32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515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327"/>
      <c r="L23" s="2"/>
      <c r="M23" s="327"/>
      <c r="N23" s="2"/>
      <c r="O23" s="32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361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327"/>
      <c r="L24" s="2"/>
      <c r="M24" s="327"/>
      <c r="N24" s="2"/>
      <c r="O24" s="32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362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327"/>
      <c r="L25" s="2"/>
      <c r="M25" s="327"/>
      <c r="N25" s="2"/>
      <c r="O25" s="32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363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327"/>
      <c r="L26" s="2"/>
      <c r="M26" s="327"/>
      <c r="N26" s="2"/>
      <c r="O26" s="32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327"/>
      <c r="L27" s="2"/>
      <c r="M27" s="327"/>
      <c r="N27" s="2"/>
      <c r="O27" s="32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327"/>
      <c r="L28" s="2"/>
      <c r="M28" s="327"/>
      <c r="N28" s="2"/>
      <c r="O28" s="32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327"/>
      <c r="L29" s="2"/>
      <c r="M29" s="327"/>
      <c r="N29" s="2"/>
      <c r="O29" s="32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86"/>
      <c r="C30" s="286"/>
      <c r="D30" s="286"/>
      <c r="E30" s="286"/>
      <c r="F30" s="286"/>
      <c r="G30" s="286"/>
      <c r="H30" s="286"/>
      <c r="I30" s="2"/>
      <c r="J30" s="2"/>
      <c r="K30" s="327"/>
      <c r="L30" s="2"/>
      <c r="M30" s="327"/>
      <c r="N30" s="2"/>
      <c r="O30" s="32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87" t="s">
        <v>54</v>
      </c>
      <c r="B32" s="287" t="s">
        <v>22</v>
      </c>
      <c r="C32" s="287" t="s">
        <v>23</v>
      </c>
      <c r="D32" s="287" t="s">
        <v>9</v>
      </c>
      <c r="E32" s="287" t="s">
        <v>24</v>
      </c>
      <c r="F32" s="287" t="s">
        <v>25</v>
      </c>
      <c r="G32" s="287" t="s">
        <v>26</v>
      </c>
      <c r="H32" s="287" t="s">
        <v>27</v>
      </c>
    </row>
    <row r="33" spans="1:8">
      <c r="A33" s="48" t="s">
        <v>50</v>
      </c>
      <c r="B33" s="50" t="str">
        <f>D12</f>
        <v>AUX_STH2SUG</v>
      </c>
      <c r="C33" s="50" t="s">
        <v>365</v>
      </c>
      <c r="D33" s="96" t="s">
        <v>37</v>
      </c>
      <c r="E33" s="95" t="s">
        <v>364</v>
      </c>
      <c r="F33" s="96" t="s">
        <v>141</v>
      </c>
      <c r="G33" s="96"/>
      <c r="H33" s="96"/>
    </row>
    <row r="34" spans="1:8">
      <c r="A34" s="48" t="s">
        <v>50</v>
      </c>
      <c r="B34" s="50" t="str">
        <f>D13</f>
        <v>AUX_STH2SGT</v>
      </c>
      <c r="C34" s="50" t="s">
        <v>366</v>
      </c>
      <c r="D34" s="96" t="s">
        <v>37</v>
      </c>
      <c r="E34" s="95" t="s">
        <v>364</v>
      </c>
      <c r="F34" s="96" t="s">
        <v>141</v>
      </c>
      <c r="G34" s="96"/>
      <c r="H34" s="96"/>
    </row>
    <row r="35" spans="1:8">
      <c r="A35" s="48" t="s">
        <v>50</v>
      </c>
      <c r="B35" s="50" t="str">
        <f>D14</f>
        <v>AUX_STH2SDT</v>
      </c>
      <c r="C35" s="50" t="s">
        <v>367</v>
      </c>
      <c r="D35" s="96" t="s">
        <v>37</v>
      </c>
      <c r="E35" s="95" t="s">
        <v>364</v>
      </c>
      <c r="F35" s="96" t="s">
        <v>141</v>
      </c>
      <c r="G35" s="96"/>
      <c r="H35" s="96"/>
    </row>
    <row r="36" spans="1:8">
      <c r="A36" s="48" t="s">
        <v>50</v>
      </c>
      <c r="B36" s="96" t="str">
        <f>B14</f>
        <v>DUMSTOR</v>
      </c>
      <c r="C36" s="96" t="s">
        <v>370</v>
      </c>
      <c r="D36" s="96" t="s">
        <v>37</v>
      </c>
      <c r="E36" s="95"/>
      <c r="F36" s="96" t="s">
        <v>141</v>
      </c>
      <c r="G36" s="96"/>
      <c r="H36" s="9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tabSelected="1" topLeftCell="A99" zoomScale="85" zoomScaleNormal="85" workbookViewId="0">
      <pane xSplit="2" topLeftCell="C1" activePane="topRight" state="frozen"/>
      <selection pane="topRight" activeCell="A111" sqref="A111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326"/>
    <col min="14" max="15" width="9.140625" style="326"/>
    <col min="17" max="18" width="9.140625" style="326"/>
  </cols>
  <sheetData>
    <row r="1" spans="1:23" ht="23.25">
      <c r="A1" s="4" t="s">
        <v>157</v>
      </c>
      <c r="D1" s="4" t="s">
        <v>507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7" t="s">
        <v>512</v>
      </c>
      <c r="G4" s="2"/>
      <c r="H4" s="6"/>
      <c r="I4" s="6"/>
      <c r="J4" s="2"/>
      <c r="K4" s="327"/>
      <c r="L4" s="32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505</v>
      </c>
      <c r="K6" s="79" t="s">
        <v>505</v>
      </c>
      <c r="L6" s="79" t="s">
        <v>505</v>
      </c>
      <c r="M6" s="79" t="s">
        <v>505</v>
      </c>
      <c r="N6" s="79" t="s">
        <v>505</v>
      </c>
      <c r="O6" s="79" t="s">
        <v>505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329">
        <f>J7-(3*(J7-L7)/4)</f>
        <v>30.223040297716398</v>
      </c>
      <c r="L7" s="329">
        <f>'INPUT-Data(HD)'!P3</f>
        <v>27.393052082187037</v>
      </c>
      <c r="M7" s="118">
        <f>'INPUT-Data(HD)'!Q3</f>
        <v>2.0239811939759296</v>
      </c>
      <c r="N7" s="329">
        <f>M7-(3*(M7-O7)/4)</f>
        <v>1.5748013912037933</v>
      </c>
      <c r="O7" s="329">
        <f>'INPUT-Data(HD)'!R3</f>
        <v>1.4250747902797478</v>
      </c>
      <c r="P7" s="118">
        <f>'INPUT-Data(HD)'!S3</f>
        <v>0.94744099083161371</v>
      </c>
      <c r="Q7" s="329">
        <f>P7-(3*(P7-R7)/4)</f>
        <v>0.72597963858904802</v>
      </c>
      <c r="R7" s="329">
        <f>'INPUT-Data(HD)'!T3</f>
        <v>0.65215918784152604</v>
      </c>
      <c r="S7" s="120">
        <f>'INPUT-Data(HD)'!U3</f>
        <v>20</v>
      </c>
      <c r="T7" s="120">
        <f>'INPUT-Data(HD)'!V3</f>
        <v>2023</v>
      </c>
      <c r="U7" s="117">
        <v>1</v>
      </c>
      <c r="W7" t="s">
        <v>508</v>
      </c>
    </row>
    <row r="8" spans="1:23" s="43" customFormat="1">
      <c r="B8" s="95"/>
      <c r="C8" s="96"/>
      <c r="D8" s="96" t="s">
        <v>436</v>
      </c>
      <c r="E8" s="96"/>
      <c r="F8" s="96"/>
      <c r="G8" s="119">
        <f>'INPUT-Data(HD)'!K3</f>
        <v>0.23599999999999999</v>
      </c>
      <c r="H8" s="117"/>
      <c r="I8" s="122"/>
      <c r="J8" s="118"/>
      <c r="K8" s="329"/>
      <c r="L8" s="329"/>
      <c r="M8" s="118"/>
      <c r="N8" s="329"/>
      <c r="O8" s="329"/>
      <c r="P8" s="118"/>
      <c r="Q8" s="329"/>
      <c r="R8" s="329"/>
      <c r="S8" s="120"/>
      <c r="T8" s="120"/>
    </row>
    <row r="9" spans="1:23" s="43" customFormat="1">
      <c r="B9" s="95"/>
      <c r="C9" s="96"/>
      <c r="D9" s="96" t="s">
        <v>444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329"/>
      <c r="L9" s="329"/>
      <c r="M9" s="118"/>
      <c r="N9" s="329"/>
      <c r="O9" s="329"/>
      <c r="P9" s="118"/>
      <c r="Q9" s="329"/>
      <c r="R9" s="329"/>
      <c r="S9" s="120"/>
      <c r="T9" s="120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329"/>
      <c r="L10" s="329"/>
      <c r="M10" s="118"/>
      <c r="N10" s="329"/>
      <c r="O10" s="329"/>
      <c r="P10" s="118"/>
      <c r="Q10" s="329"/>
      <c r="R10" s="329"/>
      <c r="S10" s="120"/>
      <c r="T10" s="120"/>
    </row>
    <row r="11" spans="1:23">
      <c r="B11" s="197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331">
        <f>J11-(3*(J11-L11)/4)</f>
        <v>50.767753099683304</v>
      </c>
      <c r="L11" s="331">
        <f>'INPUT-Data(HD)'!P4</f>
        <v>45.793825667989502</v>
      </c>
      <c r="M11" s="126">
        <f>'INPUT-Data(HD)'!Q4</f>
        <v>2.7239784265807616</v>
      </c>
      <c r="N11" s="331">
        <f>M11-(3*(M11-O11)/4)</f>
        <v>2.1079033826718083</v>
      </c>
      <c r="O11" s="331">
        <f>'INPUT-Data(HD)'!R4</f>
        <v>1.9025450347021571</v>
      </c>
      <c r="P11" s="126">
        <f>'INPUT-Data(HD)'!S4</f>
        <v>0.34333450625300077</v>
      </c>
      <c r="Q11" s="331">
        <f>P11-(3*(P11-R11)/4)</f>
        <v>0.26590586259826976</v>
      </c>
      <c r="R11" s="331">
        <f>'INPUT-Data(HD)'!T4</f>
        <v>0.24009631471335946</v>
      </c>
      <c r="S11" s="129">
        <f>'INPUT-Data(HD)'!U4</f>
        <v>20</v>
      </c>
      <c r="T11" s="129">
        <f>'INPUT-Data(HD)'!V4</f>
        <v>2023</v>
      </c>
      <c r="U11" s="130">
        <v>1</v>
      </c>
      <c r="W11" s="326" t="s">
        <v>508</v>
      </c>
    </row>
    <row r="12" spans="1:23" s="43" customFormat="1">
      <c r="B12" s="197"/>
      <c r="C12" s="124"/>
      <c r="D12" s="124" t="s">
        <v>436</v>
      </c>
      <c r="E12" s="124"/>
      <c r="F12" s="124"/>
      <c r="G12" s="131">
        <f>'INPUT-Data(HD)'!K4</f>
        <v>0.26019999999999999</v>
      </c>
      <c r="H12" s="127"/>
      <c r="I12" s="128"/>
      <c r="J12" s="126"/>
      <c r="K12" s="331"/>
      <c r="L12" s="331"/>
      <c r="M12" s="126"/>
      <c r="N12" s="331"/>
      <c r="O12" s="331"/>
      <c r="P12" s="126"/>
      <c r="Q12" s="331"/>
      <c r="R12" s="331"/>
      <c r="S12" s="129"/>
      <c r="T12" s="129"/>
      <c r="U12" s="125"/>
    </row>
    <row r="13" spans="1:23" s="43" customFormat="1">
      <c r="B13" s="197"/>
      <c r="C13" s="124"/>
      <c r="D13" s="124" t="s">
        <v>444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331"/>
      <c r="L13" s="331"/>
      <c r="M13" s="126"/>
      <c r="N13" s="331"/>
      <c r="O13" s="331"/>
      <c r="P13" s="126"/>
      <c r="Q13" s="331"/>
      <c r="R13" s="331"/>
      <c r="S13" s="129"/>
      <c r="T13" s="129"/>
      <c r="U13" s="125"/>
    </row>
    <row r="14" spans="1:23" s="43" customFormat="1">
      <c r="B14" s="197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331"/>
      <c r="L14" s="331"/>
      <c r="M14" s="126"/>
      <c r="N14" s="331"/>
      <c r="O14" s="331"/>
      <c r="P14" s="126"/>
      <c r="Q14" s="331"/>
      <c r="R14" s="331"/>
      <c r="S14" s="129"/>
      <c r="T14" s="129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329">
        <f>J15-(3*(J15-L15)/4)</f>
        <v>30.223040297716398</v>
      </c>
      <c r="L15" s="329">
        <f>'INPUT-Data(HD)'!P5</f>
        <v>27.393052082187037</v>
      </c>
      <c r="M15" s="118">
        <f>'INPUT-Data(HD)'!Q5</f>
        <v>2.0239811939759296</v>
      </c>
      <c r="N15" s="329">
        <f>M15-(3*(M15-O15)/4)</f>
        <v>1.5748013912037933</v>
      </c>
      <c r="O15" s="329">
        <f>'INPUT-Data(HD)'!R5</f>
        <v>1.4250747902797478</v>
      </c>
      <c r="P15" s="118">
        <f>'INPUT-Data(HD)'!S5</f>
        <v>0.94744099083161371</v>
      </c>
      <c r="Q15" s="329">
        <f>P15-(3*(P15-R15)/4)</f>
        <v>0.72597963858904802</v>
      </c>
      <c r="R15" s="329">
        <f>'INPUT-Data(HD)'!T5</f>
        <v>0.65215918784152604</v>
      </c>
      <c r="S15" s="120">
        <f>'INPUT-Data(HD)'!U5</f>
        <v>20</v>
      </c>
      <c r="T15" s="120">
        <f>'INPUT-Data(HD)'!V5</f>
        <v>2023</v>
      </c>
      <c r="U15" s="117">
        <v>1</v>
      </c>
      <c r="W15" s="326" t="s">
        <v>509</v>
      </c>
    </row>
    <row r="16" spans="1:23" s="43" customFormat="1">
      <c r="B16" s="96"/>
      <c r="C16" s="96"/>
      <c r="D16" s="96" t="s">
        <v>436</v>
      </c>
      <c r="E16" s="96"/>
      <c r="F16" s="96"/>
      <c r="G16" s="119">
        <f>'INPUT-Data(HD)'!K5</f>
        <v>0.23599999999999999</v>
      </c>
      <c r="H16" s="116"/>
      <c r="I16" s="122"/>
      <c r="J16" s="118"/>
      <c r="K16" s="329"/>
      <c r="L16" s="329"/>
      <c r="M16" s="118"/>
      <c r="N16" s="329"/>
      <c r="O16" s="329"/>
      <c r="P16" s="118"/>
      <c r="Q16" s="329"/>
      <c r="R16" s="329"/>
      <c r="S16" s="120"/>
      <c r="T16" s="120"/>
    </row>
    <row r="17" spans="2:23" s="43" customFormat="1">
      <c r="B17" s="96"/>
      <c r="C17" s="96"/>
      <c r="D17" s="96" t="s">
        <v>444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329"/>
      <c r="L17" s="329"/>
      <c r="M17" s="118"/>
      <c r="N17" s="329"/>
      <c r="O17" s="329"/>
      <c r="P17" s="118"/>
      <c r="Q17" s="329"/>
      <c r="R17" s="329"/>
      <c r="S17" s="120"/>
      <c r="T17" s="120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329"/>
      <c r="L18" s="329"/>
      <c r="M18" s="118"/>
      <c r="N18" s="329"/>
      <c r="O18" s="329"/>
      <c r="P18" s="118"/>
      <c r="Q18" s="329"/>
      <c r="R18" s="329"/>
      <c r="S18" s="120"/>
      <c r="T18" s="120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331">
        <f>J19-(3*(J19-L19)/4)</f>
        <v>50.767753099683304</v>
      </c>
      <c r="L19" s="331">
        <f>'INPUT-Data(HD)'!P6</f>
        <v>45.793825667989502</v>
      </c>
      <c r="M19" s="126">
        <f>'INPUT-Data(HD)'!Q6</f>
        <v>2.7239784265807616</v>
      </c>
      <c r="N19" s="331">
        <f>M19-(3*(M19-O19)/4)</f>
        <v>2.1079033826718083</v>
      </c>
      <c r="O19" s="331">
        <f>'INPUT-Data(HD)'!R6</f>
        <v>1.9025450347021571</v>
      </c>
      <c r="P19" s="126">
        <f>'INPUT-Data(HD)'!S6</f>
        <v>0.34333450625300077</v>
      </c>
      <c r="Q19" s="331">
        <f>P19-(3*(P19-R19)/4)</f>
        <v>0.26590586259826976</v>
      </c>
      <c r="R19" s="331">
        <f>'INPUT-Data(HD)'!T6</f>
        <v>0.24009631471335946</v>
      </c>
      <c r="S19" s="129">
        <f>'INPUT-Data(HD)'!U6</f>
        <v>20</v>
      </c>
      <c r="T19" s="129">
        <f>'INPUT-Data(HD)'!V6</f>
        <v>2023</v>
      </c>
      <c r="U19" s="130">
        <v>1</v>
      </c>
      <c r="W19" s="326" t="s">
        <v>509</v>
      </c>
    </row>
    <row r="20" spans="2:23" s="43" customFormat="1">
      <c r="B20" s="124"/>
      <c r="C20" s="124"/>
      <c r="D20" s="124" t="s">
        <v>436</v>
      </c>
      <c r="E20" s="124"/>
      <c r="F20" s="124"/>
      <c r="G20" s="131">
        <f>'INPUT-Data(HD)'!K6</f>
        <v>0.26019999999999999</v>
      </c>
      <c r="H20" s="127"/>
      <c r="I20" s="128"/>
      <c r="J20" s="126"/>
      <c r="K20" s="331"/>
      <c r="L20" s="331"/>
      <c r="M20" s="126"/>
      <c r="N20" s="331"/>
      <c r="O20" s="331"/>
      <c r="P20" s="126"/>
      <c r="Q20" s="331"/>
      <c r="R20" s="331"/>
      <c r="S20" s="129"/>
      <c r="T20" s="129"/>
      <c r="U20" s="125"/>
    </row>
    <row r="21" spans="2:23" s="43" customFormat="1">
      <c r="B21" s="124"/>
      <c r="C21" s="124"/>
      <c r="D21" s="124" t="s">
        <v>444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331"/>
      <c r="L21" s="331"/>
      <c r="M21" s="126"/>
      <c r="N21" s="331"/>
      <c r="O21" s="331"/>
      <c r="P21" s="126"/>
      <c r="Q21" s="331"/>
      <c r="R21" s="331"/>
      <c r="S21" s="129"/>
      <c r="T21" s="129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331"/>
      <c r="L22" s="331"/>
      <c r="M22" s="126"/>
      <c r="N22" s="331"/>
      <c r="O22" s="331"/>
      <c r="P22" s="126"/>
      <c r="Q22" s="331"/>
      <c r="R22" s="331"/>
      <c r="S22" s="129"/>
      <c r="T22" s="129"/>
      <c r="U22" s="125"/>
    </row>
    <row r="23" spans="2:23" s="31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329">
        <f>J23-(3*(J23-L23)/4)</f>
        <v>31.227567968112915</v>
      </c>
      <c r="L23" s="329">
        <f>'INPUT-Data(HD)'!P7</f>
        <v>30.290610336975277</v>
      </c>
      <c r="M23" s="118">
        <f>'INPUT-Data(HD)'!Q7</f>
        <v>1.7813517001413752</v>
      </c>
      <c r="N23" s="329">
        <f>M23-(3*(M23-O23)/4)</f>
        <v>1.6203234109044049</v>
      </c>
      <c r="O23" s="329">
        <f>'INPUT-Data(HD)'!R7</f>
        <v>1.5666473144920814</v>
      </c>
      <c r="P23" s="118">
        <f>'INPUT-Data(HD)'!S7</f>
        <v>0.36000002022939581</v>
      </c>
      <c r="Q23" s="329">
        <f>P23-(3*(P23-R23)/4)</f>
        <v>0.32643760420853962</v>
      </c>
      <c r="R23" s="329">
        <f>'INPUT-Data(HD)'!T7</f>
        <v>0.31525013220158754</v>
      </c>
      <c r="S23" s="120">
        <f>'INPUT-Data(HD)'!U7</f>
        <v>20</v>
      </c>
      <c r="T23" s="120">
        <f>'INPUT-Data(HD)'!V7</f>
        <v>2023</v>
      </c>
      <c r="U23" s="117">
        <v>1</v>
      </c>
      <c r="W23" s="326" t="s">
        <v>506</v>
      </c>
    </row>
    <row r="24" spans="2:23" s="314" customFormat="1">
      <c r="B24" s="96"/>
      <c r="C24" s="96"/>
      <c r="D24" s="96" t="s">
        <v>436</v>
      </c>
      <c r="E24" s="96"/>
      <c r="F24" s="96"/>
      <c r="G24" s="119">
        <f>'INPUT-Data(HD)'!K7</f>
        <v>6.6000000000000003E-2</v>
      </c>
      <c r="H24" s="116"/>
      <c r="I24" s="122"/>
      <c r="J24" s="118"/>
      <c r="K24" s="329"/>
      <c r="L24" s="329"/>
      <c r="M24" s="118"/>
      <c r="N24" s="329"/>
      <c r="O24" s="329"/>
      <c r="P24" s="118"/>
      <c r="Q24" s="329"/>
      <c r="R24" s="329"/>
      <c r="S24" s="120"/>
      <c r="T24" s="120"/>
    </row>
    <row r="25" spans="2:23" s="314" customFormat="1">
      <c r="B25" s="96"/>
      <c r="C25" s="96"/>
      <c r="D25" s="96"/>
      <c r="E25" s="96"/>
      <c r="F25" s="96" t="s">
        <v>475</v>
      </c>
      <c r="G25" s="118"/>
      <c r="H25" s="116">
        <f>'INPUT-Data(HD)'!M4</f>
        <v>1</v>
      </c>
      <c r="I25" s="122"/>
      <c r="J25" s="118"/>
      <c r="K25" s="329"/>
      <c r="L25" s="329"/>
      <c r="M25" s="118"/>
      <c r="N25" s="329"/>
      <c r="O25" s="329"/>
      <c r="P25" s="118"/>
      <c r="Q25" s="329"/>
      <c r="R25" s="329"/>
      <c r="S25" s="120"/>
      <c r="T25" s="120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329">
        <f>J26-(3*(J26-L26)/4)</f>
        <v>31.227567968112915</v>
      </c>
      <c r="L26" s="329">
        <f>'INPUT-Data(HD)'!P8</f>
        <v>30.290610336975277</v>
      </c>
      <c r="M26" s="118">
        <f>'INPUT-Data(HD)'!Q8</f>
        <v>1.7813517001413752</v>
      </c>
      <c r="N26" s="329">
        <f>M26-(3*(M26-O26)/4)</f>
        <v>1.6203234109044049</v>
      </c>
      <c r="O26" s="329">
        <f>'INPUT-Data(HD)'!R8</f>
        <v>1.5666473144920814</v>
      </c>
      <c r="P26" s="118">
        <f>'INPUT-Data(HD)'!S8</f>
        <v>0.36000002022939581</v>
      </c>
      <c r="Q26" s="329">
        <f>P26-(3*(P26-R26)/4)</f>
        <v>0.32643760420853962</v>
      </c>
      <c r="R26" s="329">
        <f>'INPUT-Data(HD)'!T8</f>
        <v>0.31525013220158754</v>
      </c>
      <c r="S26" s="120">
        <f>'INPUT-Data(HD)'!U8</f>
        <v>20</v>
      </c>
      <c r="T26" s="120">
        <f>'INPUT-Data(HD)'!V8</f>
        <v>2023</v>
      </c>
      <c r="U26" s="117">
        <v>1</v>
      </c>
      <c r="W26" s="326" t="s">
        <v>506</v>
      </c>
    </row>
    <row r="27" spans="2:23" s="43" customFormat="1">
      <c r="B27" s="96"/>
      <c r="C27" s="96"/>
      <c r="D27" s="96" t="s">
        <v>436</v>
      </c>
      <c r="E27" s="96"/>
      <c r="F27" s="96"/>
      <c r="G27" s="119">
        <f>'INPUT-Data(HD)'!K8</f>
        <v>6.6000000000000003E-2</v>
      </c>
      <c r="H27" s="116"/>
      <c r="I27" s="122"/>
      <c r="J27" s="118"/>
      <c r="K27" s="329"/>
      <c r="L27" s="329"/>
      <c r="M27" s="118"/>
      <c r="N27" s="329"/>
      <c r="O27" s="329"/>
      <c r="P27" s="118"/>
      <c r="Q27" s="329"/>
      <c r="R27" s="329"/>
      <c r="S27" s="120"/>
      <c r="T27" s="120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329"/>
      <c r="L28" s="329"/>
      <c r="M28" s="118"/>
      <c r="N28" s="329"/>
      <c r="O28" s="329"/>
      <c r="P28" s="118"/>
      <c r="Q28" s="329"/>
      <c r="R28" s="329"/>
      <c r="S28" s="120"/>
      <c r="T28" s="120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331">
        <f>J29-(3*(J29-L29)/4)</f>
        <v>66.648430691659186</v>
      </c>
      <c r="L29" s="331">
        <f>'INPUT-Data(HD)'!P9</f>
        <v>62.015136324379981</v>
      </c>
      <c r="M29" s="126">
        <f>'INPUT-Data(HD)'!Q9</f>
        <v>5.782849630734642</v>
      </c>
      <c r="N29" s="331">
        <f>M29-(3*(M29-O29)/4)</f>
        <v>4.667773338265282</v>
      </c>
      <c r="O29" s="331">
        <f>'INPUT-Data(HD)'!R9</f>
        <v>4.2960812407754956</v>
      </c>
      <c r="P29" s="126">
        <f>'INPUT-Data(HD)'!S9</f>
        <v>0.54931712081500184</v>
      </c>
      <c r="Q29" s="331">
        <f>P29-(3*(P29-R29)/4)</f>
        <v>0.47061720755578917</v>
      </c>
      <c r="R29" s="331">
        <f>'INPUT-Data(HD)'!T9</f>
        <v>0.44438390313605158</v>
      </c>
      <c r="S29" s="129">
        <f>'INPUT-Data(HD)'!U9</f>
        <v>20</v>
      </c>
      <c r="T29" s="129">
        <f>'INPUT-Data(HD)'!V9</f>
        <v>2023</v>
      </c>
      <c r="U29" s="130">
        <v>1</v>
      </c>
      <c r="W29" s="326" t="s">
        <v>506</v>
      </c>
    </row>
    <row r="30" spans="2:23" s="43" customFormat="1">
      <c r="B30" s="124"/>
      <c r="C30" s="124"/>
      <c r="D30" s="124" t="s">
        <v>436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331"/>
      <c r="L30" s="331"/>
      <c r="M30" s="126"/>
      <c r="N30" s="331"/>
      <c r="O30" s="331"/>
      <c r="P30" s="126"/>
      <c r="Q30" s="331"/>
      <c r="R30" s="331"/>
      <c r="S30" s="129"/>
      <c r="T30" s="129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331"/>
      <c r="L31" s="331"/>
      <c r="M31" s="126"/>
      <c r="N31" s="331"/>
      <c r="O31" s="331"/>
      <c r="P31" s="126"/>
      <c r="Q31" s="331"/>
      <c r="R31" s="331"/>
      <c r="S31" s="129"/>
      <c r="T31" s="129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329">
        <f>J32-(3*(J32-L32)/4)</f>
        <v>51.869820696456337</v>
      </c>
      <c r="L32" s="329">
        <f>'INPUT-Data(HD)'!P10</f>
        <v>47.160472355656445</v>
      </c>
      <c r="M32" s="118">
        <f>'INPUT-Data(HD)'!Q10</f>
        <v>5.0204103161860161</v>
      </c>
      <c r="N32" s="329">
        <f>M32-(3*(M32-O32)/4)</f>
        <v>3.9017632228385164</v>
      </c>
      <c r="O32" s="329">
        <f>'INPUT-Data(HD)'!R10</f>
        <v>3.5288808583893498</v>
      </c>
      <c r="P32" s="118">
        <f>'INPUT-Data(HD)'!S10</f>
        <v>0.27005228535586917</v>
      </c>
      <c r="Q32" s="329">
        <f>P32-(3*(P32-R32)/4)</f>
        <v>0.21211952703965922</v>
      </c>
      <c r="R32" s="329">
        <f>'INPUT-Data(HD)'!T10</f>
        <v>0.19280860760092258</v>
      </c>
      <c r="S32" s="120">
        <f>'INPUT-Data(HD)'!U10</f>
        <v>20</v>
      </c>
      <c r="T32" s="120">
        <f>'INPUT-Data(HD)'!V10</f>
        <v>2023</v>
      </c>
      <c r="U32" s="117">
        <v>1</v>
      </c>
      <c r="W32" s="326" t="s">
        <v>510</v>
      </c>
    </row>
    <row r="33" spans="2:23" s="43" customFormat="1">
      <c r="B33" s="96"/>
      <c r="C33" s="96"/>
      <c r="D33" s="96" t="s">
        <v>436</v>
      </c>
      <c r="E33" s="96"/>
      <c r="F33" s="96"/>
      <c r="G33" s="119">
        <f>'INPUT-Data(HD)'!K10</f>
        <v>7.3319999999999996E-2</v>
      </c>
      <c r="H33" s="116"/>
      <c r="I33" s="122"/>
      <c r="J33" s="118"/>
      <c r="K33" s="329"/>
      <c r="L33" s="329"/>
      <c r="M33" s="118"/>
      <c r="N33" s="329"/>
      <c r="O33" s="329"/>
      <c r="P33" s="118"/>
      <c r="Q33" s="329"/>
      <c r="R33" s="329"/>
      <c r="S33" s="120"/>
      <c r="T33" s="120"/>
    </row>
    <row r="34" spans="2:23" s="43" customFormat="1">
      <c r="B34" s="96"/>
      <c r="C34" s="96"/>
      <c r="D34" s="96" t="s">
        <v>444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329"/>
      <c r="L34" s="329"/>
      <c r="M34" s="118"/>
      <c r="N34" s="329"/>
      <c r="O34" s="329"/>
      <c r="P34" s="118"/>
      <c r="Q34" s="329"/>
      <c r="R34" s="329"/>
      <c r="S34" s="120"/>
      <c r="T34" s="120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329"/>
      <c r="L35" s="329"/>
      <c r="M35" s="118"/>
      <c r="N35" s="329"/>
      <c r="O35" s="329"/>
      <c r="P35" s="118"/>
      <c r="Q35" s="329"/>
      <c r="R35" s="329"/>
      <c r="S35" s="120"/>
      <c r="T35" s="120"/>
    </row>
    <row r="36" spans="2:23" s="43" customFormat="1">
      <c r="B36" s="197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331">
        <f>J36-(3*(J36-L36)/4)</f>
        <v>31.227567968112915</v>
      </c>
      <c r="L36" s="331">
        <f>'INPUT-Data(HD)'!P11</f>
        <v>30.290610336975277</v>
      </c>
      <c r="M36" s="126">
        <f>'INPUT-Data(HD)'!Q11</f>
        <v>1.7813517001413752</v>
      </c>
      <c r="N36" s="331">
        <f>M36-(3*(M36-O36)/4)</f>
        <v>1.6203234109044049</v>
      </c>
      <c r="O36" s="331">
        <f>'INPUT-Data(HD)'!R11</f>
        <v>1.5666473144920814</v>
      </c>
      <c r="P36" s="126">
        <f>'INPUT-Data(HD)'!S11</f>
        <v>0.36000002022939581</v>
      </c>
      <c r="Q36" s="331">
        <f>P36-(3*(P36-R36)/4)</f>
        <v>0.32643760420853962</v>
      </c>
      <c r="R36" s="331">
        <f>'INPUT-Data(HD)'!T11</f>
        <v>0.31525013220158754</v>
      </c>
      <c r="S36" s="129">
        <f>'INPUT-Data(HD)'!U11</f>
        <v>20</v>
      </c>
      <c r="T36" s="129">
        <f>'INPUT-Data(HD)'!V11</f>
        <v>2023</v>
      </c>
      <c r="U36" s="130">
        <v>1</v>
      </c>
      <c r="W36" s="326" t="s">
        <v>506</v>
      </c>
    </row>
    <row r="37" spans="2:23" s="43" customFormat="1">
      <c r="B37" s="197"/>
      <c r="C37" s="124"/>
      <c r="D37" s="124" t="s">
        <v>436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331"/>
      <c r="L37" s="331"/>
      <c r="M37" s="126"/>
      <c r="N37" s="331"/>
      <c r="O37" s="331"/>
      <c r="P37" s="126"/>
      <c r="Q37" s="331"/>
      <c r="R37" s="331"/>
      <c r="S37" s="129"/>
      <c r="T37" s="129"/>
      <c r="U37" s="125"/>
    </row>
    <row r="38" spans="2:23" s="43" customFormat="1">
      <c r="B38" s="197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331"/>
      <c r="L38" s="331"/>
      <c r="M38" s="126"/>
      <c r="N38" s="331"/>
      <c r="O38" s="331"/>
      <c r="P38" s="126"/>
      <c r="Q38" s="331"/>
      <c r="R38" s="331"/>
      <c r="S38" s="129"/>
      <c r="T38" s="129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329">
        <f>J39-(3*(J39-L39)/4)</f>
        <v>66.648430691659186</v>
      </c>
      <c r="L39" s="329">
        <f>'INPUT-Data(HD)'!P12</f>
        <v>62.015136324379981</v>
      </c>
      <c r="M39" s="118">
        <f>'INPUT-Data(HD)'!Q12</f>
        <v>5.782849630734642</v>
      </c>
      <c r="N39" s="329">
        <f>M39-(3*(M39-O39)/4)</f>
        <v>4.667773338265282</v>
      </c>
      <c r="O39" s="329">
        <f>'INPUT-Data(HD)'!R12</f>
        <v>4.2960812407754956</v>
      </c>
      <c r="P39" s="118">
        <f>'INPUT-Data(HD)'!S12</f>
        <v>0.54931712081500184</v>
      </c>
      <c r="Q39" s="329">
        <f>P39-(3*(P39-R39)/4)</f>
        <v>0.47061720755578917</v>
      </c>
      <c r="R39" s="329">
        <f>'INPUT-Data(HD)'!T12</f>
        <v>0.44438390313605158</v>
      </c>
      <c r="S39" s="120">
        <f>'INPUT-Data(HD)'!U12</f>
        <v>20</v>
      </c>
      <c r="T39" s="120">
        <f>'INPUT-Data(HD)'!V12</f>
        <v>2023</v>
      </c>
      <c r="U39" s="117">
        <v>1</v>
      </c>
      <c r="W39" s="326" t="s">
        <v>506</v>
      </c>
    </row>
    <row r="40" spans="2:23" s="43" customFormat="1">
      <c r="B40" s="95"/>
      <c r="C40" s="96"/>
      <c r="D40" s="96" t="s">
        <v>436</v>
      </c>
      <c r="E40" s="96"/>
      <c r="F40" s="96"/>
      <c r="G40" s="119">
        <f>'INPUT-Data(HD)'!K12</f>
        <v>9.0200000000000002E-2</v>
      </c>
      <c r="H40" s="116"/>
      <c r="I40" s="122"/>
      <c r="J40" s="118"/>
      <c r="K40" s="329"/>
      <c r="L40" s="329"/>
      <c r="M40" s="118"/>
      <c r="N40" s="329"/>
      <c r="O40" s="329"/>
      <c r="P40" s="118"/>
      <c r="Q40" s="329"/>
      <c r="R40" s="329"/>
      <c r="S40" s="120"/>
      <c r="T40" s="120"/>
    </row>
    <row r="41" spans="2:23" s="43" customFormat="1">
      <c r="B41" s="198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334"/>
      <c r="L41" s="334"/>
      <c r="M41" s="140"/>
      <c r="N41" s="334"/>
      <c r="O41" s="334"/>
      <c r="P41" s="140"/>
      <c r="Q41" s="334"/>
      <c r="R41" s="334"/>
      <c r="S41" s="144"/>
      <c r="T41" s="144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439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331">
        <f>J42-(3*(J42-L42)/4)</f>
        <v>5.158027807169411</v>
      </c>
      <c r="L42" s="331">
        <f>'INPUT-Data(HD)'!P13</f>
        <v>4.9191940157172702</v>
      </c>
      <c r="M42" s="126">
        <f>'INPUT-Data(HD)'!Q13</f>
        <v>0.373156116141375</v>
      </c>
      <c r="N42" s="331">
        <f>M42-(3*(M42-O42)/4)</f>
        <v>0.31684640285722943</v>
      </c>
      <c r="O42" s="331">
        <f>'INPUT-Data(HD)'!R13</f>
        <v>0.29807649842918088</v>
      </c>
      <c r="P42" s="126">
        <f>'INPUT-Data(HD)'!S13</f>
        <v>7.836090342939582E-2</v>
      </c>
      <c r="Q42" s="331">
        <f>P42-(3*(P42-R42)/4)</f>
        <v>6.5742202599104571E-2</v>
      </c>
      <c r="R42" s="331">
        <f>'INPUT-Data(HD)'!T13</f>
        <v>6.1535968989007483E-2</v>
      </c>
      <c r="S42" s="129">
        <f>'INPUT-Data(HD)'!U13</f>
        <v>20</v>
      </c>
      <c r="T42" s="129">
        <f>'INPUT-Data(HD)'!V13</f>
        <v>2023</v>
      </c>
      <c r="U42" s="130">
        <v>1</v>
      </c>
      <c r="W42" s="326" t="s">
        <v>506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331"/>
      <c r="L43" s="331"/>
      <c r="M43" s="126"/>
      <c r="N43" s="331"/>
      <c r="O43" s="331"/>
      <c r="P43" s="126"/>
      <c r="Q43" s="331"/>
      <c r="R43" s="331"/>
      <c r="S43" s="129"/>
      <c r="T43" s="129"/>
      <c r="U43" s="125"/>
    </row>
    <row r="44" spans="2:23" s="43" customFormat="1">
      <c r="B44" s="124"/>
      <c r="C44" s="124"/>
      <c r="D44" s="124"/>
      <c r="E44" s="124" t="s">
        <v>436</v>
      </c>
      <c r="F44" s="124"/>
      <c r="G44" s="126">
        <f>'INPUT-Data(HD)'!L13</f>
        <v>9.0200000000000002E-2</v>
      </c>
      <c r="H44" s="127"/>
      <c r="I44" s="128"/>
      <c r="J44" s="126"/>
      <c r="K44" s="331"/>
      <c r="L44" s="331"/>
      <c r="M44" s="126"/>
      <c r="N44" s="331"/>
      <c r="O44" s="331"/>
      <c r="P44" s="126"/>
      <c r="Q44" s="331"/>
      <c r="R44" s="331"/>
      <c r="S44" s="129"/>
      <c r="T44" s="129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445</v>
      </c>
      <c r="G45" s="126"/>
      <c r="H45" s="127">
        <v>1</v>
      </c>
      <c r="I45" s="128"/>
      <c r="J45" s="126"/>
      <c r="K45" s="331"/>
      <c r="L45" s="331"/>
      <c r="M45" s="126"/>
      <c r="N45" s="331"/>
      <c r="O45" s="331"/>
      <c r="P45" s="126"/>
      <c r="Q45" s="331"/>
      <c r="R45" s="331"/>
      <c r="S45" s="129"/>
      <c r="T45" s="129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439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329">
        <f>J46-(3*(J46-L46)/4)</f>
        <v>5.158027807169411</v>
      </c>
      <c r="L46" s="329">
        <f>'INPUT-Data(HD)'!P14</f>
        <v>4.9191940157172702</v>
      </c>
      <c r="M46" s="118">
        <f>'INPUT-Data(HD)'!Q14</f>
        <v>0.373156116141375</v>
      </c>
      <c r="N46" s="329">
        <f>M46-(3*(M46-O46)/4)</f>
        <v>0.31684640285722943</v>
      </c>
      <c r="O46" s="329">
        <f>'INPUT-Data(HD)'!R14</f>
        <v>0.29807649842918088</v>
      </c>
      <c r="P46" s="118">
        <f>'INPUT-Data(HD)'!S14</f>
        <v>7.836090342939582E-2</v>
      </c>
      <c r="Q46" s="329">
        <f>P46-(3*(P46-R46)/4)</f>
        <v>6.5742202599104571E-2</v>
      </c>
      <c r="R46" s="329">
        <f>'INPUT-Data(HD)'!T14</f>
        <v>6.1535968989007483E-2</v>
      </c>
      <c r="S46" s="120">
        <f>'INPUT-Data(HD)'!U14</f>
        <v>20</v>
      </c>
      <c r="T46" s="120">
        <f>'INPUT-Data(HD)'!V14</f>
        <v>2023</v>
      </c>
      <c r="U46" s="117">
        <v>1</v>
      </c>
      <c r="W46" s="326" t="s">
        <v>506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329"/>
      <c r="L47" s="329"/>
      <c r="M47" s="118"/>
      <c r="N47" s="329"/>
      <c r="O47" s="329"/>
      <c r="P47" s="118"/>
      <c r="Q47" s="329"/>
      <c r="R47" s="329"/>
      <c r="S47" s="120"/>
      <c r="T47" s="120"/>
    </row>
    <row r="48" spans="2:23" s="43" customFormat="1">
      <c r="B48" s="96"/>
      <c r="C48" s="96"/>
      <c r="E48" s="96" t="s">
        <v>436</v>
      </c>
      <c r="F48" s="96"/>
      <c r="G48" s="118">
        <f>'INPUT-Data(HD)'!L14</f>
        <v>9.0200000000000002E-2</v>
      </c>
      <c r="I48" s="122"/>
      <c r="J48" s="118"/>
      <c r="K48" s="329"/>
      <c r="L48" s="329"/>
      <c r="M48" s="118"/>
      <c r="N48" s="329"/>
      <c r="O48" s="329"/>
      <c r="P48" s="118"/>
      <c r="Q48" s="329"/>
      <c r="R48" s="329"/>
      <c r="S48" s="120"/>
      <c r="T48" s="120"/>
      <c r="W48" s="39" t="s">
        <v>260</v>
      </c>
    </row>
    <row r="49" spans="2:23" s="43" customFormat="1">
      <c r="B49" s="96"/>
      <c r="C49" s="96"/>
      <c r="D49" s="96"/>
      <c r="E49" s="96"/>
      <c r="F49" s="96" t="s">
        <v>446</v>
      </c>
      <c r="G49" s="118"/>
      <c r="H49" s="116">
        <v>1</v>
      </c>
      <c r="I49" s="122"/>
      <c r="J49" s="118"/>
      <c r="K49" s="329"/>
      <c r="L49" s="329"/>
      <c r="M49" s="118"/>
      <c r="N49" s="329"/>
      <c r="O49" s="329"/>
      <c r="P49" s="118"/>
      <c r="Q49" s="329"/>
      <c r="R49" s="329"/>
      <c r="S49" s="120"/>
      <c r="T49" s="120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439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331">
        <f>J50-(3*(J50-L50)/4)</f>
        <v>5.158027807169411</v>
      </c>
      <c r="L50" s="331">
        <f>'INPUT-Data(HD)'!P15</f>
        <v>4.9191940157172702</v>
      </c>
      <c r="M50" s="126">
        <f>'INPUT-Data(HD)'!Q15</f>
        <v>0.373156116141375</v>
      </c>
      <c r="N50" s="331">
        <f>M50-(3*(M50-O50)/4)</f>
        <v>0.31684640285722943</v>
      </c>
      <c r="O50" s="331">
        <f>'INPUT-Data(HD)'!R15</f>
        <v>0.29807649842918088</v>
      </c>
      <c r="P50" s="126">
        <f>'INPUT-Data(HD)'!S15</f>
        <v>7.836090342939582E-2</v>
      </c>
      <c r="Q50" s="331">
        <f>P50-(3*(P50-R50)/4)</f>
        <v>6.5742202599104571E-2</v>
      </c>
      <c r="R50" s="331">
        <f>'INPUT-Data(HD)'!T15</f>
        <v>6.1535968989007483E-2</v>
      </c>
      <c r="S50" s="129">
        <f>'INPUT-Data(HD)'!U15</f>
        <v>20</v>
      </c>
      <c r="T50" s="129">
        <f>'INPUT-Data(HD)'!V15</f>
        <v>2023</v>
      </c>
      <c r="U50" s="130">
        <v>1</v>
      </c>
      <c r="W50" s="326" t="s">
        <v>506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331"/>
      <c r="L51" s="331"/>
      <c r="M51" s="126"/>
      <c r="N51" s="331"/>
      <c r="O51" s="331"/>
      <c r="P51" s="126"/>
      <c r="Q51" s="331"/>
      <c r="R51" s="331"/>
      <c r="S51" s="129"/>
      <c r="T51" s="129"/>
      <c r="U51" s="125"/>
    </row>
    <row r="52" spans="2:23" s="43" customFormat="1">
      <c r="B52" s="124"/>
      <c r="C52" s="124"/>
      <c r="D52" s="124"/>
      <c r="E52" s="124" t="s">
        <v>436</v>
      </c>
      <c r="F52" s="124"/>
      <c r="G52" s="126">
        <f>'INPUT-Data(HD)'!L15</f>
        <v>9.0200000000000002E-2</v>
      </c>
      <c r="H52" s="127"/>
      <c r="I52" s="128"/>
      <c r="J52" s="126"/>
      <c r="K52" s="331"/>
      <c r="L52" s="331"/>
      <c r="M52" s="126"/>
      <c r="N52" s="331"/>
      <c r="O52" s="331"/>
      <c r="P52" s="126"/>
      <c r="Q52" s="331"/>
      <c r="R52" s="331"/>
      <c r="S52" s="129"/>
      <c r="T52" s="129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447</v>
      </c>
      <c r="G53" s="126"/>
      <c r="H53" s="127">
        <v>1</v>
      </c>
      <c r="I53" s="128"/>
      <c r="J53" s="126"/>
      <c r="K53" s="331"/>
      <c r="L53" s="331"/>
      <c r="M53" s="126"/>
      <c r="N53" s="331"/>
      <c r="O53" s="331"/>
      <c r="P53" s="126"/>
      <c r="Q53" s="331"/>
      <c r="R53" s="331"/>
      <c r="S53" s="129"/>
      <c r="T53" s="129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439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329">
        <f>J54-(3*(J54-L54)/4)</f>
        <v>5.158027807169411</v>
      </c>
      <c r="L54" s="329">
        <f>'INPUT-Data(HD)'!P16</f>
        <v>4.9191940157172702</v>
      </c>
      <c r="M54" s="118">
        <f>'INPUT-Data(HD)'!Q16</f>
        <v>0.373156116141375</v>
      </c>
      <c r="N54" s="329">
        <f>M54-(3*(M54-O54)/4)</f>
        <v>0.31684640285722943</v>
      </c>
      <c r="O54" s="329">
        <f>'INPUT-Data(HD)'!R16</f>
        <v>0.29807649842918088</v>
      </c>
      <c r="P54" s="118">
        <f>'INPUT-Data(HD)'!S16</f>
        <v>7.836090342939582E-2</v>
      </c>
      <c r="Q54" s="329">
        <f>P54-(3*(P54-R54)/4)</f>
        <v>6.5742202599104571E-2</v>
      </c>
      <c r="R54" s="329">
        <f>'INPUT-Data(HD)'!T16</f>
        <v>6.1535968989007483E-2</v>
      </c>
      <c r="S54" s="120">
        <f>'INPUT-Data(HD)'!U16</f>
        <v>20</v>
      </c>
      <c r="T54" s="120">
        <f>'INPUT-Data(HD)'!V16</f>
        <v>2023</v>
      </c>
      <c r="U54" s="117">
        <v>1</v>
      </c>
      <c r="W54" s="326" t="s">
        <v>506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329"/>
      <c r="L55" s="329"/>
      <c r="M55" s="118"/>
      <c r="N55" s="329"/>
      <c r="O55" s="329"/>
      <c r="P55" s="118"/>
      <c r="Q55" s="329"/>
      <c r="R55" s="329"/>
      <c r="S55" s="120"/>
      <c r="T55" s="120"/>
    </row>
    <row r="56" spans="2:23" s="43" customFormat="1">
      <c r="B56" s="96"/>
      <c r="C56" s="96"/>
      <c r="E56" s="96" t="s">
        <v>436</v>
      </c>
      <c r="F56" s="96"/>
      <c r="G56" s="118">
        <f>'INPUT-Data(HD)'!L16</f>
        <v>9.0200000000000002E-2</v>
      </c>
      <c r="I56" s="122"/>
      <c r="J56" s="118"/>
      <c r="K56" s="329"/>
      <c r="L56" s="329"/>
      <c r="M56" s="118"/>
      <c r="N56" s="329"/>
      <c r="O56" s="329"/>
      <c r="P56" s="118"/>
      <c r="Q56" s="329"/>
      <c r="R56" s="329"/>
      <c r="S56" s="120"/>
      <c r="T56" s="120"/>
      <c r="W56" s="39" t="s">
        <v>260</v>
      </c>
    </row>
    <row r="57" spans="2:23" s="43" customFormat="1">
      <c r="B57" s="96"/>
      <c r="C57" s="96"/>
      <c r="D57" s="96"/>
      <c r="E57" s="96"/>
      <c r="F57" s="96" t="s">
        <v>448</v>
      </c>
      <c r="G57" s="118"/>
      <c r="H57" s="116">
        <v>1</v>
      </c>
      <c r="I57" s="122"/>
      <c r="J57" s="118"/>
      <c r="K57" s="329"/>
      <c r="L57" s="329"/>
      <c r="M57" s="118"/>
      <c r="N57" s="329"/>
      <c r="O57" s="329"/>
      <c r="P57" s="118"/>
      <c r="Q57" s="329"/>
      <c r="R57" s="329"/>
      <c r="S57" s="120"/>
      <c r="T57" s="120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439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331">
        <f>J58-(3*(J58-L58)/4)</f>
        <v>5.158027807169411</v>
      </c>
      <c r="L58" s="331">
        <f>'INPUT-Data(HD)'!P17</f>
        <v>4.9191940157172702</v>
      </c>
      <c r="M58" s="126">
        <f>'INPUT-Data(HD)'!Q17</f>
        <v>0.373156116141375</v>
      </c>
      <c r="N58" s="331">
        <f>M58-(3*(M58-O58)/4)</f>
        <v>0.31684640285722943</v>
      </c>
      <c r="O58" s="331">
        <f>'INPUT-Data(HD)'!R17</f>
        <v>0.29807649842918088</v>
      </c>
      <c r="P58" s="126">
        <f>'INPUT-Data(HD)'!S17</f>
        <v>7.836090342939582E-2</v>
      </c>
      <c r="Q58" s="331">
        <f>P58-(3*(P58-R58)/4)</f>
        <v>6.5742202599104571E-2</v>
      </c>
      <c r="R58" s="331">
        <f>'INPUT-Data(HD)'!T17</f>
        <v>6.1535968989007483E-2</v>
      </c>
      <c r="S58" s="129">
        <f>'INPUT-Data(HD)'!U17</f>
        <v>20</v>
      </c>
      <c r="T58" s="129">
        <f>'INPUT-Data(HD)'!V17</f>
        <v>2023</v>
      </c>
      <c r="U58" s="130">
        <v>1</v>
      </c>
      <c r="W58" s="326" t="s">
        <v>506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331"/>
      <c r="L59" s="331"/>
      <c r="M59" s="126"/>
      <c r="N59" s="331"/>
      <c r="O59" s="331"/>
      <c r="P59" s="126"/>
      <c r="Q59" s="331"/>
      <c r="R59" s="331"/>
      <c r="S59" s="129"/>
      <c r="T59" s="129"/>
      <c r="U59" s="125"/>
    </row>
    <row r="60" spans="2:23" s="43" customFormat="1">
      <c r="B60" s="124"/>
      <c r="C60" s="124"/>
      <c r="D60" s="124"/>
      <c r="E60" s="124" t="s">
        <v>436</v>
      </c>
      <c r="F60" s="124"/>
      <c r="G60" s="126">
        <f>'INPUT-Data(HD)'!L17</f>
        <v>9.0200000000000002E-2</v>
      </c>
      <c r="H60" s="127"/>
      <c r="I60" s="128"/>
      <c r="J60" s="126"/>
      <c r="K60" s="331"/>
      <c r="L60" s="331"/>
      <c r="M60" s="126"/>
      <c r="N60" s="331"/>
      <c r="O60" s="331"/>
      <c r="P60" s="126"/>
      <c r="Q60" s="331"/>
      <c r="R60" s="331"/>
      <c r="S60" s="129"/>
      <c r="T60" s="129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449</v>
      </c>
      <c r="G61" s="126"/>
      <c r="H61" s="127">
        <v>1</v>
      </c>
      <c r="I61" s="128"/>
      <c r="J61" s="126"/>
      <c r="K61" s="331"/>
      <c r="L61" s="331"/>
      <c r="M61" s="126"/>
      <c r="N61" s="331"/>
      <c r="O61" s="331"/>
      <c r="P61" s="126"/>
      <c r="Q61" s="331"/>
      <c r="R61" s="331"/>
      <c r="S61" s="129"/>
      <c r="T61" s="129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439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329">
        <f>J62-(3*(J62-L62)/4)</f>
        <v>5.158027807169411</v>
      </c>
      <c r="L62" s="329">
        <f>'INPUT-Data(HD)'!P18</f>
        <v>4.9191940157172702</v>
      </c>
      <c r="M62" s="118">
        <f>'INPUT-Data(HD)'!Q18</f>
        <v>0.373156116141375</v>
      </c>
      <c r="N62" s="329">
        <f>M62-(3*(M62-O62)/4)</f>
        <v>0.31684640285722943</v>
      </c>
      <c r="O62" s="329">
        <f>'INPUT-Data(HD)'!R18</f>
        <v>0.29807649842918088</v>
      </c>
      <c r="P62" s="118">
        <f>'INPUT-Data(HD)'!S18</f>
        <v>7.836090342939582E-2</v>
      </c>
      <c r="Q62" s="329">
        <f>P62-(3*(P62-R62)/4)</f>
        <v>6.5742202599104571E-2</v>
      </c>
      <c r="R62" s="329">
        <f>'INPUT-Data(HD)'!T18</f>
        <v>6.1535968989007483E-2</v>
      </c>
      <c r="S62" s="120">
        <f>'INPUT-Data(HD)'!U18</f>
        <v>20</v>
      </c>
      <c r="T62" s="120">
        <f>'INPUT-Data(HD)'!V18</f>
        <v>2023</v>
      </c>
      <c r="U62" s="117">
        <v>1</v>
      </c>
      <c r="W62" s="326" t="s">
        <v>506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329"/>
      <c r="L63" s="329"/>
      <c r="M63" s="118"/>
      <c r="N63" s="329"/>
      <c r="O63" s="329"/>
      <c r="P63" s="118"/>
      <c r="Q63" s="329"/>
      <c r="R63" s="329"/>
      <c r="S63" s="120"/>
      <c r="T63" s="120"/>
    </row>
    <row r="64" spans="2:23" s="43" customFormat="1">
      <c r="B64" s="96"/>
      <c r="C64" s="96"/>
      <c r="E64" s="96" t="s">
        <v>436</v>
      </c>
      <c r="F64" s="96"/>
      <c r="G64" s="118">
        <f>'INPUT-Data(HD)'!L18</f>
        <v>9.0200000000000002E-2</v>
      </c>
      <c r="I64" s="122"/>
      <c r="J64" s="118"/>
      <c r="K64" s="329"/>
      <c r="L64" s="329"/>
      <c r="M64" s="118"/>
      <c r="N64" s="329"/>
      <c r="O64" s="329"/>
      <c r="P64" s="118"/>
      <c r="Q64" s="329"/>
      <c r="R64" s="329"/>
      <c r="S64" s="120"/>
      <c r="T64" s="120"/>
      <c r="W64" s="39" t="s">
        <v>260</v>
      </c>
    </row>
    <row r="65" spans="2:23" s="43" customFormat="1">
      <c r="B65" s="96"/>
      <c r="C65" s="96"/>
      <c r="D65" s="96"/>
      <c r="E65" s="96"/>
      <c r="F65" s="96" t="s">
        <v>450</v>
      </c>
      <c r="G65" s="118"/>
      <c r="H65" s="116">
        <v>1</v>
      </c>
      <c r="I65" s="122"/>
      <c r="J65" s="118"/>
      <c r="K65" s="329"/>
      <c r="L65" s="329"/>
      <c r="M65" s="118"/>
      <c r="N65" s="329"/>
      <c r="O65" s="329"/>
      <c r="P65" s="118"/>
      <c r="Q65" s="329"/>
      <c r="R65" s="329"/>
      <c r="S65" s="120"/>
      <c r="T65" s="120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439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331">
        <f>J66-(3*(J66-L66)/4)</f>
        <v>5.158027807169411</v>
      </c>
      <c r="L66" s="331">
        <f>'INPUT-Data(HD)'!P19</f>
        <v>4.9191940157172702</v>
      </c>
      <c r="M66" s="126">
        <f>'INPUT-Data(HD)'!Q19</f>
        <v>0.373156116141375</v>
      </c>
      <c r="N66" s="331">
        <f>M66-(3*(M66-O66)/4)</f>
        <v>0.31684640285722943</v>
      </c>
      <c r="O66" s="331">
        <f>'INPUT-Data(HD)'!R19</f>
        <v>0.29807649842918088</v>
      </c>
      <c r="P66" s="126">
        <f>'INPUT-Data(HD)'!S19</f>
        <v>7.836090342939582E-2</v>
      </c>
      <c r="Q66" s="331">
        <f>P66-(3*(P66-R66)/4)</f>
        <v>6.5742202599104571E-2</v>
      </c>
      <c r="R66" s="331">
        <f>'INPUT-Data(HD)'!T19</f>
        <v>6.1535968989007483E-2</v>
      </c>
      <c r="S66" s="129">
        <f>'INPUT-Data(HD)'!U19</f>
        <v>20</v>
      </c>
      <c r="T66" s="129">
        <f>'INPUT-Data(HD)'!V19</f>
        <v>2023</v>
      </c>
      <c r="U66" s="130">
        <v>1</v>
      </c>
      <c r="W66" s="326" t="s">
        <v>506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331"/>
      <c r="L67" s="331"/>
      <c r="M67" s="126"/>
      <c r="N67" s="331"/>
      <c r="O67" s="331"/>
      <c r="P67" s="126"/>
      <c r="Q67" s="331"/>
      <c r="R67" s="331"/>
      <c r="S67" s="129"/>
      <c r="T67" s="129"/>
      <c r="U67" s="125"/>
    </row>
    <row r="68" spans="2:23" s="43" customFormat="1">
      <c r="B68" s="124"/>
      <c r="C68" s="124"/>
      <c r="D68" s="124"/>
      <c r="E68" s="124" t="s">
        <v>436</v>
      </c>
      <c r="F68" s="124"/>
      <c r="G68" s="126">
        <f>'INPUT-Data(HD)'!L19</f>
        <v>9.0200000000000002E-2</v>
      </c>
      <c r="H68" s="127"/>
      <c r="I68" s="128"/>
      <c r="J68" s="126"/>
      <c r="K68" s="331"/>
      <c r="L68" s="331"/>
      <c r="M68" s="126"/>
      <c r="N68" s="331"/>
      <c r="O68" s="331"/>
      <c r="P68" s="126"/>
      <c r="Q68" s="331"/>
      <c r="R68" s="331"/>
      <c r="S68" s="129"/>
      <c r="T68" s="129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451</v>
      </c>
      <c r="G69" s="133"/>
      <c r="H69" s="134">
        <v>1</v>
      </c>
      <c r="I69" s="135"/>
      <c r="J69" s="133"/>
      <c r="K69" s="332"/>
      <c r="L69" s="332"/>
      <c r="M69" s="133"/>
      <c r="N69" s="332"/>
      <c r="O69" s="332"/>
      <c r="P69" s="133"/>
      <c r="Q69" s="332"/>
      <c r="R69" s="332"/>
      <c r="S69" s="136"/>
      <c r="T69" s="13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329">
        <f>J70-(3*(J70-L70)/4)</f>
        <v>45.642974699240121</v>
      </c>
      <c r="L70" s="329">
        <f>'INPUT-Data(HD)'!P20</f>
        <v>43.577770932156589</v>
      </c>
      <c r="M70" s="118">
        <f>'INPUT-Data(HD)'!Q20</f>
        <v>2.4972306027425724</v>
      </c>
      <c r="N70" s="329">
        <f>M70-(3*(M70-O70)/4)</f>
        <v>2.2038549968088197</v>
      </c>
      <c r="O70" s="329">
        <f>'INPUT-Data(HD)'!R20</f>
        <v>2.1060631281642355</v>
      </c>
      <c r="P70" s="118">
        <f>'INPUT-Data(HD)'!S20</f>
        <v>0.28163911679999998</v>
      </c>
      <c r="Q70" s="329">
        <f>P70-(3*(P70-R70)/4)</f>
        <v>0.26069540160943505</v>
      </c>
      <c r="R70" s="329">
        <f>'INPUT-Data(HD)'!T20</f>
        <v>0.25371416321258006</v>
      </c>
      <c r="S70" s="120">
        <f>'INPUT-Data(HD)'!U20</f>
        <v>20</v>
      </c>
      <c r="T70" s="120">
        <f>'INPUT-Data(HD)'!V20</f>
        <v>2023</v>
      </c>
      <c r="U70" s="117">
        <v>1</v>
      </c>
      <c r="W70" s="326" t="s">
        <v>511</v>
      </c>
    </row>
    <row r="71" spans="2:23" s="43" customFormat="1">
      <c r="B71" s="96"/>
      <c r="C71" s="96"/>
      <c r="D71" s="96" t="s">
        <v>436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329"/>
      <c r="L71" s="329"/>
      <c r="M71" s="118"/>
      <c r="N71" s="329"/>
      <c r="O71" s="329"/>
      <c r="P71" s="118"/>
      <c r="Q71" s="329"/>
      <c r="R71" s="329"/>
      <c r="S71" s="120"/>
      <c r="T71" s="120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329"/>
      <c r="L72" s="329"/>
      <c r="M72" s="118"/>
      <c r="N72" s="329"/>
      <c r="O72" s="329"/>
      <c r="P72" s="118"/>
      <c r="Q72" s="329"/>
      <c r="R72" s="329"/>
      <c r="S72" s="120"/>
      <c r="T72" s="120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331">
        <f>J73-(3*(J73-L73)/4)</f>
        <v>110.40356995212051</v>
      </c>
      <c r="L73" s="331">
        <f>'INPUT-Data(HD)'!P21</f>
        <v>98.926083342832911</v>
      </c>
      <c r="M73" s="126">
        <f>'INPUT-Data(HD)'!Q21</f>
        <v>8.9879212609144403</v>
      </c>
      <c r="N73" s="331">
        <f>M73-(3*(M73-O73)/4)</f>
        <v>6.8149382772948508</v>
      </c>
      <c r="O73" s="331">
        <f>'INPUT-Data(HD)'!R21</f>
        <v>6.0906106160883207</v>
      </c>
      <c r="P73" s="126">
        <f>'INPUT-Data(HD)'!S21</f>
        <v>1.7840779327981413</v>
      </c>
      <c r="Q73" s="331">
        <f>P73-(3*(P73-R73)/4)</f>
        <v>1.3442772206841522</v>
      </c>
      <c r="R73" s="331">
        <f>'INPUT-Data(HD)'!T21</f>
        <v>1.1976769833128227</v>
      </c>
      <c r="S73" s="129">
        <f>'INPUT-Data(HD)'!U21</f>
        <v>20</v>
      </c>
      <c r="T73" s="129">
        <f>'INPUT-Data(HD)'!V21</f>
        <v>2023</v>
      </c>
      <c r="U73" s="130">
        <v>1</v>
      </c>
      <c r="W73" s="326" t="s">
        <v>511</v>
      </c>
    </row>
    <row r="74" spans="2:23" s="43" customFormat="1">
      <c r="B74" s="124"/>
      <c r="C74" s="124"/>
      <c r="D74" s="124" t="s">
        <v>436</v>
      </c>
      <c r="E74" s="124"/>
      <c r="F74" s="124"/>
      <c r="G74" s="131">
        <f>'INPUT-Data(HD)'!K21</f>
        <v>0.45200000000000001</v>
      </c>
      <c r="H74" s="127"/>
      <c r="I74" s="128"/>
      <c r="J74" s="126"/>
      <c r="K74" s="331"/>
      <c r="L74" s="331"/>
      <c r="M74" s="126"/>
      <c r="N74" s="331"/>
      <c r="O74" s="331"/>
      <c r="P74" s="126"/>
      <c r="Q74" s="331"/>
      <c r="R74" s="331"/>
      <c r="S74" s="129"/>
      <c r="T74" s="129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331"/>
      <c r="L75" s="331"/>
      <c r="M75" s="126"/>
      <c r="N75" s="331"/>
      <c r="O75" s="331"/>
      <c r="P75" s="126"/>
      <c r="Q75" s="331"/>
      <c r="R75" s="331"/>
      <c r="S75" s="129"/>
      <c r="T75" s="129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329">
        <f>J76-(3*(J76-L76)/4)</f>
        <v>54.994297261842888</v>
      </c>
      <c r="L76" s="329">
        <f>'INPUT-Data(HD)'!P22</f>
        <v>49.93088059830329</v>
      </c>
      <c r="M76" s="118">
        <f>'INPUT-Data(HD)'!Q22</f>
        <v>5.0905329493358398</v>
      </c>
      <c r="N76" s="329">
        <f>M76-(3*(M76-O76)/4)</f>
        <v>3.9478279161225216</v>
      </c>
      <c r="O76" s="329">
        <f>'INPUT-Data(HD)'!R22</f>
        <v>3.5669262383847489</v>
      </c>
      <c r="P76" s="118">
        <f>'INPUT-Data(HD)'!S22</f>
        <v>0.18931710058560608</v>
      </c>
      <c r="Q76" s="329">
        <f>P76-(3*(P76-R76)/4)</f>
        <v>0.14417960334724955</v>
      </c>
      <c r="R76" s="329">
        <f>'INPUT-Data(HD)'!T22</f>
        <v>0.12913377093446404</v>
      </c>
      <c r="S76" s="120">
        <f>'INPUT-Data(HD)'!U22</f>
        <v>20</v>
      </c>
      <c r="T76" s="120">
        <f>'INPUT-Data(HD)'!V22</f>
        <v>2023</v>
      </c>
      <c r="U76" s="117">
        <v>1</v>
      </c>
      <c r="W76" s="326" t="s">
        <v>511</v>
      </c>
    </row>
    <row r="77" spans="2:23" s="43" customFormat="1">
      <c r="B77" s="96"/>
      <c r="C77" s="96"/>
      <c r="D77" s="96" t="s">
        <v>436</v>
      </c>
      <c r="E77" s="96"/>
      <c r="F77" s="96"/>
      <c r="G77" s="119">
        <f>'INPUT-Data(HD)'!K22</f>
        <v>0.125</v>
      </c>
      <c r="H77" s="116"/>
      <c r="I77" s="122"/>
      <c r="J77" s="118"/>
      <c r="K77" s="329"/>
      <c r="L77" s="329"/>
      <c r="M77" s="115"/>
      <c r="N77" s="329"/>
      <c r="O77" s="328"/>
      <c r="P77" s="115"/>
      <c r="Q77" s="329"/>
      <c r="R77" s="32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334"/>
      <c r="L78" s="334"/>
      <c r="M78" s="139"/>
      <c r="N78" s="334"/>
      <c r="O78" s="333"/>
      <c r="P78" s="139"/>
      <c r="Q78" s="334"/>
      <c r="R78" s="333"/>
      <c r="S78" s="139"/>
      <c r="T78" s="139"/>
      <c r="U78" s="139"/>
    </row>
    <row r="79" spans="2:23" s="43" customFormat="1">
      <c r="B79" s="96"/>
      <c r="C79" s="96"/>
      <c r="F79" s="39"/>
      <c r="K79" s="326"/>
      <c r="L79" s="326"/>
      <c r="N79" s="326"/>
      <c r="O79" s="326"/>
      <c r="Q79" s="326"/>
      <c r="R79" s="32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86" t="s">
        <v>596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326" t="s">
        <v>576</v>
      </c>
      <c r="J86" s="326" t="s">
        <v>577</v>
      </c>
      <c r="K86" s="326">
        <v>802.34</v>
      </c>
      <c r="L86" s="326" t="s">
        <v>578</v>
      </c>
      <c r="M86" s="32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326"/>
      <c r="J87" s="326" t="s">
        <v>579</v>
      </c>
      <c r="K87" s="326">
        <v>244</v>
      </c>
      <c r="L87" s="326" t="s">
        <v>578</v>
      </c>
      <c r="M87" s="32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326" t="s">
        <v>580</v>
      </c>
      <c r="J88" s="326" t="s">
        <v>577</v>
      </c>
      <c r="K88" s="326">
        <f>K86/K96</f>
        <v>1226.779988091537</v>
      </c>
      <c r="L88" s="326" t="s">
        <v>346</v>
      </c>
      <c r="M88" s="32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326"/>
      <c r="J89" s="326" t="s">
        <v>579</v>
      </c>
      <c r="K89" s="326">
        <f>K87/K97</f>
        <v>2984.6131773994571</v>
      </c>
      <c r="L89" s="326" t="s">
        <v>346</v>
      </c>
      <c r="M89" s="32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326" t="s">
        <v>581</v>
      </c>
      <c r="J90" s="326" t="s">
        <v>577</v>
      </c>
      <c r="K90" s="326">
        <v>16</v>
      </c>
      <c r="L90" s="326" t="s">
        <v>582</v>
      </c>
      <c r="M90" s="32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326"/>
      <c r="J91" s="326" t="s">
        <v>579</v>
      </c>
      <c r="K91" s="326">
        <v>2</v>
      </c>
      <c r="L91" s="326" t="s">
        <v>582</v>
      </c>
      <c r="M91" s="326"/>
    </row>
    <row r="92" spans="1:18" s="314" customFormat="1">
      <c r="A92" s="95" t="s">
        <v>52</v>
      </c>
      <c r="B92" s="95" t="s">
        <v>472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326" t="s">
        <v>583</v>
      </c>
      <c r="J92" s="326" t="s">
        <v>577</v>
      </c>
      <c r="K92" s="326">
        <v>0.94</v>
      </c>
      <c r="L92" s="326" t="s">
        <v>584</v>
      </c>
      <c r="M92" s="326"/>
      <c r="N92" s="326"/>
      <c r="O92" s="326"/>
      <c r="Q92" s="326"/>
      <c r="R92" s="32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326"/>
      <c r="J93" s="326" t="s">
        <v>579</v>
      </c>
      <c r="K93" s="326">
        <v>1.05</v>
      </c>
      <c r="M93" s="32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326" t="s">
        <v>585</v>
      </c>
      <c r="J94" s="326" t="s">
        <v>577</v>
      </c>
      <c r="K94" s="326">
        <f>10000000*K90*0.001/(K92*8.314*365)</f>
        <v>56.090491350600843</v>
      </c>
      <c r="L94" s="326" t="s">
        <v>586</v>
      </c>
      <c r="M94" s="326" t="s">
        <v>584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326"/>
      <c r="J95" s="326" t="s">
        <v>579</v>
      </c>
      <c r="K95" s="326">
        <f>10000000*K91*0.001/(K93*8.314*365)</f>
        <v>6.2767930797100933</v>
      </c>
      <c r="L95" s="326" t="s">
        <v>586</v>
      </c>
      <c r="M95" s="32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326"/>
      <c r="J96" s="326" t="s">
        <v>577</v>
      </c>
      <c r="K96" s="326">
        <f>101325*K90*0.001/(8.314*298.15)</f>
        <v>0.65402110222565257</v>
      </c>
      <c r="L96" s="326" t="s">
        <v>586</v>
      </c>
      <c r="M96" s="326" t="s">
        <v>587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326"/>
      <c r="J97" s="326" t="s">
        <v>579</v>
      </c>
      <c r="K97" s="326">
        <f>101325*K91*0.001/(8.314*298.15)</f>
        <v>8.1752637778206572E-2</v>
      </c>
      <c r="L97" s="326" t="s">
        <v>586</v>
      </c>
      <c r="M97" s="32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326"/>
      <c r="J98" s="326" t="s">
        <v>577</v>
      </c>
      <c r="K98" s="326">
        <f>K94/K90*1000</f>
        <v>3505.6557094125528</v>
      </c>
      <c r="L98" s="326" t="s">
        <v>588</v>
      </c>
      <c r="M98" s="32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326"/>
      <c r="J99" s="326" t="s">
        <v>579</v>
      </c>
      <c r="K99" s="326">
        <f>K95/K91*1000</f>
        <v>3138.3965398550467</v>
      </c>
      <c r="L99" s="326" t="s">
        <v>588</v>
      </c>
      <c r="M99" s="32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326"/>
      <c r="J100" s="326" t="s">
        <v>589</v>
      </c>
      <c r="M100" s="32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326"/>
      <c r="J101" s="415">
        <v>0.15</v>
      </c>
      <c r="M101" s="32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326"/>
      <c r="J102" s="326"/>
      <c r="K102" s="326">
        <v>100</v>
      </c>
      <c r="L102" s="326" t="s">
        <v>590</v>
      </c>
      <c r="M102" s="32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326" t="s">
        <v>591</v>
      </c>
      <c r="J103" s="326" t="s">
        <v>577</v>
      </c>
      <c r="K103" s="326">
        <f>K102*(1-J101)</f>
        <v>85</v>
      </c>
      <c r="L103" s="326" t="s">
        <v>590</v>
      </c>
      <c r="M103" s="32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326"/>
      <c r="J104" s="326" t="s">
        <v>579</v>
      </c>
      <c r="K104" s="326">
        <f>K102*J101</f>
        <v>15</v>
      </c>
      <c r="L104" s="326" t="s">
        <v>590</v>
      </c>
      <c r="M104" s="32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326" t="s">
        <v>592</v>
      </c>
      <c r="J105" s="326" t="s">
        <v>577</v>
      </c>
      <c r="K105" s="326">
        <f>K103*K98*K86*0.001</f>
        <v>239081.86316065578</v>
      </c>
      <c r="L105" s="326" t="s">
        <v>593</v>
      </c>
      <c r="M105" s="32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326"/>
      <c r="J106" s="326" t="s">
        <v>579</v>
      </c>
      <c r="K106" s="326">
        <f>K104*K99*K87*0.001</f>
        <v>11486.531335869471</v>
      </c>
      <c r="L106" s="326" t="s">
        <v>593</v>
      </c>
      <c r="M106" s="32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326"/>
      <c r="J107" s="326" t="s">
        <v>594</v>
      </c>
      <c r="K107" s="415">
        <f>K106/(K105+K106)</f>
        <v>4.5841900208323204E-2</v>
      </c>
      <c r="M107" s="326"/>
    </row>
    <row r="108" spans="1:13">
      <c r="I108" s="326" t="s">
        <v>580</v>
      </c>
      <c r="J108" s="326" t="s">
        <v>577</v>
      </c>
      <c r="K108" s="326">
        <f>10000000*K90*0.001*K103/(K92*8.314*365)</f>
        <v>4767.6917648010713</v>
      </c>
      <c r="L108" s="326" t="s">
        <v>595</v>
      </c>
      <c r="M108" s="326"/>
    </row>
    <row r="109" spans="1:13">
      <c r="I109" s="326"/>
      <c r="J109" s="326" t="s">
        <v>579</v>
      </c>
      <c r="K109" s="326">
        <f>10000000*K91*0.001*K104/(K93*8.314*365)</f>
        <v>94.151896195651403</v>
      </c>
      <c r="L109" s="326" t="s">
        <v>595</v>
      </c>
      <c r="M109" s="326"/>
    </row>
    <row r="110" spans="1:13">
      <c r="A110" s="44" t="s">
        <v>611</v>
      </c>
      <c r="B110" s="286"/>
      <c r="C110" s="286"/>
      <c r="D110" s="286"/>
      <c r="E110" s="286"/>
      <c r="F110" s="286"/>
      <c r="G110" s="286"/>
      <c r="H110" s="286"/>
      <c r="I110" s="326"/>
      <c r="J110" s="326" t="s">
        <v>594</v>
      </c>
      <c r="K110" s="326">
        <f>K109/(K108+K109)</f>
        <v>1.9365471775854962E-2</v>
      </c>
      <c r="M110" s="32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326"/>
      <c r="J111" s="326"/>
      <c r="K111" s="326">
        <f>K108*K88</f>
        <v>5848908.8464467777</v>
      </c>
      <c r="L111" s="326" t="s">
        <v>593</v>
      </c>
      <c r="M111" s="32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326"/>
      <c r="J112" s="326"/>
      <c r="K112" s="326">
        <f>K109*K89</f>
        <v>281006.99006268696</v>
      </c>
      <c r="L112" s="326" t="s">
        <v>593</v>
      </c>
      <c r="M112" s="32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326"/>
      <c r="J113" s="326" t="s">
        <v>594</v>
      </c>
      <c r="K113" s="415">
        <f>K112/(K111+K112)</f>
        <v>4.5841900208323211E-2</v>
      </c>
      <c r="M113" s="326"/>
    </row>
    <row r="114" spans="1:13">
      <c r="A114" s="96" t="s">
        <v>50</v>
      </c>
      <c r="B114" s="96" t="s">
        <v>194</v>
      </c>
      <c r="C114" s="96" t="s">
        <v>297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298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475</v>
      </c>
      <c r="C116" s="96" t="s">
        <v>475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opLeftCell="B1" zoomScale="85" zoomScaleNormal="85" workbookViewId="0">
      <selection activeCell="B8" sqref="B8"/>
    </sheetView>
  </sheetViews>
  <sheetFormatPr defaultRowHeight="12.75"/>
  <cols>
    <col min="1" max="1" width="9.140625" style="326"/>
    <col min="2" max="2" width="38.5703125" style="326" bestFit="1" customWidth="1"/>
    <col min="3" max="3" width="18.5703125" style="326" customWidth="1"/>
    <col min="4" max="4" width="50.5703125" style="326" customWidth="1"/>
    <col min="5" max="5" width="10.85546875" style="326" customWidth="1"/>
    <col min="6" max="6" width="12.85546875" style="326" bestFit="1" customWidth="1"/>
    <col min="7" max="16384" width="9.140625" style="326"/>
  </cols>
  <sheetData>
    <row r="3" spans="2:26" ht="23.25">
      <c r="B3" s="4" t="s">
        <v>517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P3" s="327"/>
      <c r="Q3" s="327"/>
      <c r="R3" s="327"/>
      <c r="T3" s="327"/>
      <c r="U3" s="327"/>
      <c r="V3" s="327"/>
      <c r="X3" s="327"/>
      <c r="Y3" s="327"/>
    </row>
    <row r="4" spans="2:26" ht="15.75">
      <c r="B4" s="5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P4" s="327"/>
      <c r="Q4" s="327"/>
      <c r="R4" s="327"/>
      <c r="T4" s="327"/>
      <c r="U4" s="327"/>
      <c r="V4" s="327"/>
      <c r="X4" s="327"/>
      <c r="Y4" s="327"/>
    </row>
    <row r="5" spans="2:26">
      <c r="B5" s="327"/>
      <c r="C5" s="327"/>
      <c r="D5" s="327"/>
      <c r="E5" s="7" t="s">
        <v>518</v>
      </c>
      <c r="F5" s="327"/>
      <c r="G5" s="6"/>
      <c r="H5" s="6"/>
      <c r="I5" s="6"/>
      <c r="J5" s="6"/>
      <c r="K5" s="6"/>
      <c r="L5" s="6"/>
      <c r="M5" s="327"/>
      <c r="N5" s="327"/>
      <c r="O5" s="327"/>
      <c r="P5" s="327"/>
      <c r="R5" s="327"/>
      <c r="S5" s="327"/>
      <c r="V5" s="327"/>
      <c r="W5" s="32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40" t="s">
        <v>519</v>
      </c>
      <c r="G6" s="340" t="s">
        <v>520</v>
      </c>
      <c r="H6" s="340" t="s">
        <v>521</v>
      </c>
      <c r="I6" s="340" t="s">
        <v>522</v>
      </c>
      <c r="J6" s="340" t="s">
        <v>523</v>
      </c>
      <c r="K6" s="340" t="s">
        <v>53</v>
      </c>
      <c r="L6" s="340" t="s">
        <v>524</v>
      </c>
      <c r="M6" s="340" t="s">
        <v>60</v>
      </c>
      <c r="N6" s="340" t="s">
        <v>111</v>
      </c>
      <c r="O6" s="340" t="s">
        <v>525</v>
      </c>
      <c r="P6" s="340" t="s">
        <v>290</v>
      </c>
      <c r="Q6" s="340" t="s">
        <v>526</v>
      </c>
      <c r="R6" s="340" t="s">
        <v>116</v>
      </c>
      <c r="S6" s="340" t="s">
        <v>118</v>
      </c>
      <c r="T6" s="340" t="s">
        <v>527</v>
      </c>
      <c r="U6" s="340" t="s">
        <v>292</v>
      </c>
      <c r="V6" s="340" t="s">
        <v>46</v>
      </c>
      <c r="W6" s="340" t="s">
        <v>119</v>
      </c>
      <c r="X6" s="340" t="s">
        <v>45</v>
      </c>
    </row>
    <row r="7" spans="2:26" ht="25.5">
      <c r="B7" s="341" t="s">
        <v>39</v>
      </c>
      <c r="C7" s="341" t="s">
        <v>29</v>
      </c>
      <c r="D7" s="341" t="s">
        <v>33</v>
      </c>
      <c r="E7" s="341" t="s">
        <v>34</v>
      </c>
      <c r="F7" s="342"/>
      <c r="G7" s="342"/>
      <c r="H7" s="342"/>
      <c r="I7" s="342"/>
      <c r="J7" s="342"/>
      <c r="K7" s="342"/>
      <c r="L7" s="342" t="s">
        <v>47</v>
      </c>
      <c r="M7" s="342" t="s">
        <v>47</v>
      </c>
      <c r="N7" s="342" t="s">
        <v>47</v>
      </c>
      <c r="O7" s="342" t="s">
        <v>47</v>
      </c>
      <c r="P7" s="342" t="s">
        <v>47</v>
      </c>
      <c r="Q7" s="342" t="s">
        <v>49</v>
      </c>
      <c r="R7" s="342" t="s">
        <v>49</v>
      </c>
      <c r="S7" s="342" t="s">
        <v>49</v>
      </c>
      <c r="T7" s="342" t="s">
        <v>49</v>
      </c>
      <c r="U7" s="342" t="s">
        <v>49</v>
      </c>
      <c r="V7" s="342" t="s">
        <v>48</v>
      </c>
      <c r="W7" s="342"/>
      <c r="X7" s="34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436</v>
      </c>
      <c r="F8" s="18">
        <f>D32/100</f>
        <v>0.44</v>
      </c>
      <c r="G8" s="18">
        <f>E32/100</f>
        <v>0.45</v>
      </c>
      <c r="H8" s="18">
        <f>F32/100</f>
        <v>0.46</v>
      </c>
      <c r="I8" s="18">
        <f>G32/100</f>
        <v>0.47</v>
      </c>
      <c r="J8" s="18">
        <f>H32/100</f>
        <v>0.47</v>
      </c>
      <c r="K8" s="33">
        <v>0.9</v>
      </c>
      <c r="L8" s="30">
        <f>D41</f>
        <v>4000</v>
      </c>
      <c r="M8" s="30">
        <f>E41</f>
        <v>3000</v>
      </c>
      <c r="N8" s="30">
        <f>F41</f>
        <v>2000</v>
      </c>
      <c r="O8" s="30">
        <f>G41</f>
        <v>1500</v>
      </c>
      <c r="P8" s="30">
        <f>H41</f>
        <v>1000</v>
      </c>
      <c r="Q8" s="30">
        <f>I47</f>
        <v>36.111111111111107</v>
      </c>
      <c r="R8" s="30">
        <f>J47</f>
        <v>29.166666666666664</v>
      </c>
      <c r="S8" s="30">
        <f>K47</f>
        <v>22.222222222222221</v>
      </c>
      <c r="T8" s="30">
        <f>L47</f>
        <v>18.055555555555554</v>
      </c>
      <c r="U8" s="423">
        <f>M47/2</f>
        <v>8.3333333333333339</v>
      </c>
      <c r="V8" s="30">
        <v>15</v>
      </c>
      <c r="W8" s="30">
        <v>2023</v>
      </c>
      <c r="X8" s="36">
        <v>31.536000000000001</v>
      </c>
      <c r="Z8" s="343"/>
    </row>
    <row r="9" spans="2:26">
      <c r="B9" s="17"/>
      <c r="C9" s="17"/>
      <c r="D9" s="54" t="str">
        <f>C21</f>
        <v>SYNH2CT</v>
      </c>
      <c r="E9" s="26"/>
      <c r="F9" s="18"/>
      <c r="G9" s="18"/>
      <c r="H9" s="18"/>
      <c r="I9" s="36"/>
      <c r="J9" s="36"/>
      <c r="K9" s="17"/>
      <c r="L9" s="107"/>
      <c r="M9" s="107"/>
      <c r="N9" s="107"/>
      <c r="O9" s="108"/>
      <c r="P9" s="108"/>
      <c r="Q9" s="17"/>
      <c r="R9" s="17"/>
      <c r="S9" s="35"/>
      <c r="T9" s="17"/>
      <c r="U9" s="17"/>
      <c r="V9" s="17"/>
      <c r="W9" s="35"/>
      <c r="X9" s="17"/>
      <c r="Z9" s="34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8"/>
      <c r="K10" s="17"/>
      <c r="L10" s="107"/>
      <c r="M10" s="107"/>
      <c r="N10" s="107"/>
      <c r="O10" s="108"/>
      <c r="P10" s="108"/>
      <c r="Q10" s="17"/>
      <c r="R10" s="17"/>
      <c r="S10" s="35"/>
      <c r="T10" s="17"/>
      <c r="U10" s="17"/>
      <c r="V10" s="17"/>
      <c r="W10" s="35"/>
      <c r="X10" s="17"/>
      <c r="Z10" s="343"/>
    </row>
    <row r="11" spans="2:26"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44" t="s">
        <v>55</v>
      </c>
      <c r="C14" s="344" t="s">
        <v>28</v>
      </c>
      <c r="D14" s="344" t="s">
        <v>29</v>
      </c>
      <c r="E14" s="344" t="s">
        <v>30</v>
      </c>
      <c r="F14" s="344" t="s">
        <v>31</v>
      </c>
      <c r="G14" s="344" t="s">
        <v>41</v>
      </c>
      <c r="H14" s="344" t="s">
        <v>40</v>
      </c>
      <c r="I14" s="344" t="s">
        <v>32</v>
      </c>
    </row>
    <row r="15" spans="2:26">
      <c r="B15" s="345" t="s">
        <v>528</v>
      </c>
      <c r="C15" s="48" t="s">
        <v>529</v>
      </c>
      <c r="D15" s="345" t="s">
        <v>530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86"/>
      <c r="D17" s="286"/>
      <c r="E17" s="286"/>
      <c r="F17" s="286"/>
      <c r="G17" s="286"/>
      <c r="H17" s="286"/>
      <c r="I17" s="286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44" t="s">
        <v>54</v>
      </c>
      <c r="C19" s="344" t="s">
        <v>22</v>
      </c>
      <c r="D19" s="344" t="s">
        <v>23</v>
      </c>
      <c r="E19" s="344" t="s">
        <v>9</v>
      </c>
      <c r="F19" s="344" t="s">
        <v>24</v>
      </c>
      <c r="G19" s="344" t="s">
        <v>25</v>
      </c>
      <c r="H19" s="344" t="s">
        <v>26</v>
      </c>
      <c r="I19" s="34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364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364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364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</row>
    <row r="27" spans="2:26" ht="13.5" thickBot="1">
      <c r="B27" s="39" t="s">
        <v>531</v>
      </c>
    </row>
    <row r="28" spans="2:26" ht="15.75" thickBot="1">
      <c r="B28" s="346"/>
      <c r="C28" s="347" t="s">
        <v>9</v>
      </c>
      <c r="D28" s="347">
        <v>2010</v>
      </c>
      <c r="E28" s="347">
        <v>2020</v>
      </c>
      <c r="F28" s="347">
        <v>2030</v>
      </c>
      <c r="G28" s="347">
        <v>2040</v>
      </c>
      <c r="H28" s="347">
        <v>2050</v>
      </c>
    </row>
    <row r="29" spans="2:26" ht="16.5" thickTop="1" thickBot="1">
      <c r="B29" s="427" t="s">
        <v>532</v>
      </c>
      <c r="C29" s="428"/>
      <c r="D29" s="428"/>
      <c r="E29" s="428"/>
      <c r="F29" s="428"/>
      <c r="G29" s="428"/>
      <c r="H29" s="429"/>
    </row>
    <row r="30" spans="2:26" ht="15.75" thickBot="1">
      <c r="B30" s="348" t="s">
        <v>533</v>
      </c>
      <c r="C30" s="349" t="s">
        <v>534</v>
      </c>
      <c r="D30" s="350">
        <v>0.1</v>
      </c>
      <c r="E30" s="350">
        <v>0.1</v>
      </c>
      <c r="F30" s="350">
        <v>0.1</v>
      </c>
      <c r="G30" s="350">
        <v>0.1</v>
      </c>
      <c r="H30" s="350">
        <v>0.1</v>
      </c>
    </row>
    <row r="31" spans="2:26" ht="15.75" thickBot="1">
      <c r="B31" s="348" t="s">
        <v>535</v>
      </c>
      <c r="C31" s="351" t="s">
        <v>534</v>
      </c>
      <c r="D31" s="352" t="s">
        <v>43</v>
      </c>
      <c r="E31" s="352" t="s">
        <v>43</v>
      </c>
      <c r="F31" s="352" t="s">
        <v>43</v>
      </c>
      <c r="G31" s="352" t="s">
        <v>43</v>
      </c>
      <c r="H31" s="352" t="s">
        <v>43</v>
      </c>
    </row>
    <row r="32" spans="2:26" ht="15.75" thickBot="1">
      <c r="B32" s="348" t="s">
        <v>536</v>
      </c>
      <c r="C32" s="353" t="s">
        <v>265</v>
      </c>
      <c r="D32" s="354">
        <v>44</v>
      </c>
      <c r="E32" s="354">
        <v>45</v>
      </c>
      <c r="F32" s="354">
        <v>46</v>
      </c>
      <c r="G32" s="354">
        <v>47</v>
      </c>
      <c r="H32" s="354">
        <v>47</v>
      </c>
    </row>
    <row r="33" spans="2:13" ht="15.75" thickBot="1">
      <c r="B33" s="348" t="s">
        <v>537</v>
      </c>
      <c r="C33" s="351" t="s">
        <v>265</v>
      </c>
      <c r="D33" s="352" t="s">
        <v>43</v>
      </c>
      <c r="E33" s="352" t="s">
        <v>43</v>
      </c>
      <c r="F33" s="352" t="s">
        <v>43</v>
      </c>
      <c r="G33" s="352" t="s">
        <v>43</v>
      </c>
      <c r="H33" s="352" t="s">
        <v>43</v>
      </c>
    </row>
    <row r="34" spans="2:13" ht="15.75" thickBot="1">
      <c r="B34" s="348" t="s">
        <v>538</v>
      </c>
      <c r="C34" s="353" t="s">
        <v>265</v>
      </c>
      <c r="D34" s="354" t="s">
        <v>43</v>
      </c>
      <c r="E34" s="354" t="s">
        <v>43</v>
      </c>
      <c r="F34" s="354" t="s">
        <v>43</v>
      </c>
      <c r="G34" s="354" t="s">
        <v>43</v>
      </c>
      <c r="H34" s="354" t="s">
        <v>43</v>
      </c>
    </row>
    <row r="35" spans="2:13" ht="15.75" thickBot="1">
      <c r="B35" s="348" t="s">
        <v>539</v>
      </c>
      <c r="C35" s="351">
        <v>1</v>
      </c>
      <c r="D35" s="352" t="s">
        <v>43</v>
      </c>
      <c r="E35" s="352" t="s">
        <v>43</v>
      </c>
      <c r="F35" s="352" t="s">
        <v>43</v>
      </c>
      <c r="G35" s="352" t="s">
        <v>43</v>
      </c>
      <c r="H35" s="352" t="s">
        <v>43</v>
      </c>
    </row>
    <row r="36" spans="2:13" ht="15.75" thickBot="1">
      <c r="B36" s="348" t="s">
        <v>540</v>
      </c>
      <c r="C36" s="353" t="s">
        <v>265</v>
      </c>
      <c r="D36" s="354">
        <v>100</v>
      </c>
      <c r="E36" s="354">
        <v>100</v>
      </c>
      <c r="F36" s="354">
        <v>100</v>
      </c>
      <c r="G36" s="354">
        <v>100</v>
      </c>
      <c r="H36" s="354">
        <v>100</v>
      </c>
    </row>
    <row r="37" spans="2:13" ht="15.75" thickBot="1">
      <c r="B37" s="348" t="s">
        <v>541</v>
      </c>
      <c r="C37" s="351" t="s">
        <v>265</v>
      </c>
      <c r="D37" s="352" t="s">
        <v>43</v>
      </c>
      <c r="E37" s="352" t="s">
        <v>43</v>
      </c>
      <c r="F37" s="352" t="s">
        <v>43</v>
      </c>
      <c r="G37" s="352" t="s">
        <v>43</v>
      </c>
      <c r="H37" s="352" t="s">
        <v>43</v>
      </c>
    </row>
    <row r="38" spans="2:13" ht="15.75" thickBot="1">
      <c r="B38" s="348" t="s">
        <v>542</v>
      </c>
      <c r="C38" s="353" t="s">
        <v>543</v>
      </c>
      <c r="D38" s="354">
        <v>3.3</v>
      </c>
      <c r="E38" s="354">
        <v>3.3</v>
      </c>
      <c r="F38" s="354">
        <v>5</v>
      </c>
      <c r="G38" s="354">
        <v>7.5</v>
      </c>
      <c r="H38" s="354">
        <v>10</v>
      </c>
    </row>
    <row r="39" spans="2:13" ht="15.75" thickBot="1">
      <c r="B39" s="348" t="s">
        <v>544</v>
      </c>
      <c r="C39" s="355" t="s">
        <v>543</v>
      </c>
      <c r="D39" s="356">
        <v>10</v>
      </c>
      <c r="E39" s="356">
        <v>10</v>
      </c>
      <c r="F39" s="356">
        <v>15</v>
      </c>
      <c r="G39" s="356">
        <v>15</v>
      </c>
      <c r="H39" s="356">
        <v>15</v>
      </c>
    </row>
    <row r="40" spans="2:13" ht="15.75" thickBot="1">
      <c r="B40" s="430" t="s">
        <v>545</v>
      </c>
      <c r="C40" s="431"/>
      <c r="D40" s="431"/>
      <c r="E40" s="431"/>
      <c r="F40" s="431"/>
      <c r="G40" s="431"/>
      <c r="H40" s="432"/>
    </row>
    <row r="41" spans="2:13" ht="15.75" thickBot="1">
      <c r="B41" s="348" t="s">
        <v>546</v>
      </c>
      <c r="C41" s="349" t="s">
        <v>547</v>
      </c>
      <c r="D41" s="350">
        <v>4000</v>
      </c>
      <c r="E41" s="350">
        <v>3000</v>
      </c>
      <c r="F41" s="350">
        <v>2000</v>
      </c>
      <c r="G41" s="350">
        <v>1500</v>
      </c>
      <c r="H41" s="350">
        <v>1000</v>
      </c>
    </row>
    <row r="42" spans="2:13" ht="15.75" thickBot="1">
      <c r="B42" s="348" t="s">
        <v>548</v>
      </c>
      <c r="C42" s="351" t="s">
        <v>547</v>
      </c>
      <c r="D42" s="352"/>
      <c r="E42" s="352"/>
      <c r="F42" s="352"/>
      <c r="G42" s="352"/>
      <c r="H42" s="352"/>
    </row>
    <row r="43" spans="2:13" ht="15.75" thickBot="1">
      <c r="B43" s="348" t="s">
        <v>549</v>
      </c>
      <c r="C43" s="353" t="s">
        <v>547</v>
      </c>
      <c r="D43" s="354"/>
      <c r="E43" s="354"/>
      <c r="F43" s="354"/>
      <c r="G43" s="354"/>
      <c r="H43" s="354"/>
    </row>
    <row r="44" spans="2:13" ht="15.75" thickBot="1">
      <c r="B44" s="348" t="s">
        <v>550</v>
      </c>
      <c r="C44" s="351"/>
      <c r="D44" s="433" t="s">
        <v>551</v>
      </c>
      <c r="E44" s="434"/>
      <c r="F44" s="434"/>
      <c r="G44" s="434"/>
      <c r="H44" s="435"/>
    </row>
    <row r="45" spans="2:13" ht="15.75" thickBot="1">
      <c r="B45" s="348" t="s">
        <v>552</v>
      </c>
      <c r="C45" s="353" t="s">
        <v>265</v>
      </c>
      <c r="D45" s="354" t="s">
        <v>43</v>
      </c>
      <c r="E45" s="354" t="s">
        <v>43</v>
      </c>
      <c r="F45" s="354" t="s">
        <v>43</v>
      </c>
      <c r="G45" s="354" t="s">
        <v>43</v>
      </c>
      <c r="H45" s="354" t="s">
        <v>43</v>
      </c>
      <c r="I45" s="357" t="s">
        <v>553</v>
      </c>
    </row>
    <row r="46" spans="2:13" ht="15.75" thickBot="1">
      <c r="B46" s="348" t="s">
        <v>554</v>
      </c>
      <c r="C46" s="351" t="s">
        <v>555</v>
      </c>
      <c r="D46" s="352">
        <v>0</v>
      </c>
      <c r="E46" s="352">
        <v>0</v>
      </c>
      <c r="F46" s="352">
        <v>0</v>
      </c>
      <c r="G46" s="352">
        <v>0</v>
      </c>
      <c r="H46" s="352">
        <v>0</v>
      </c>
      <c r="I46" s="39" t="s">
        <v>556</v>
      </c>
    </row>
    <row r="47" spans="2:13" ht="15.75" thickBot="1">
      <c r="B47" s="348" t="s">
        <v>557</v>
      </c>
      <c r="C47" s="353" t="s">
        <v>558</v>
      </c>
      <c r="D47" s="354">
        <v>130</v>
      </c>
      <c r="E47" s="354">
        <v>105</v>
      </c>
      <c r="F47" s="354">
        <v>80</v>
      </c>
      <c r="G47" s="354">
        <v>65</v>
      </c>
      <c r="H47" s="354">
        <v>60</v>
      </c>
      <c r="I47" s="330">
        <f>D47/3.6</f>
        <v>36.111111111111107</v>
      </c>
      <c r="J47" s="330">
        <f t="shared" ref="J47:M47" si="0">E47/3.6</f>
        <v>29.166666666666664</v>
      </c>
      <c r="K47" s="330">
        <f t="shared" si="0"/>
        <v>22.222222222222221</v>
      </c>
      <c r="L47" s="330">
        <f t="shared" si="0"/>
        <v>18.055555555555554</v>
      </c>
      <c r="M47" s="330">
        <f t="shared" si="0"/>
        <v>16.666666666666668</v>
      </c>
    </row>
    <row r="48" spans="2:13" ht="15.75" thickBot="1">
      <c r="B48" s="430" t="s">
        <v>559</v>
      </c>
      <c r="C48" s="431"/>
      <c r="D48" s="431"/>
      <c r="E48" s="431"/>
      <c r="F48" s="431"/>
      <c r="G48" s="431"/>
      <c r="H48" s="432"/>
    </row>
    <row r="49" spans="2:9" ht="15.75" thickBot="1">
      <c r="B49" s="348" t="s">
        <v>560</v>
      </c>
      <c r="C49" s="349" t="s">
        <v>561</v>
      </c>
      <c r="D49" s="350" t="s">
        <v>43</v>
      </c>
      <c r="E49" s="350" t="s">
        <v>43</v>
      </c>
      <c r="F49" s="350" t="s">
        <v>43</v>
      </c>
      <c r="G49" s="350" t="s">
        <v>43</v>
      </c>
      <c r="H49" s="350" t="s">
        <v>43</v>
      </c>
    </row>
    <row r="50" spans="2:9" ht="15.75" thickBot="1">
      <c r="B50" s="348" t="s">
        <v>562</v>
      </c>
      <c r="C50" s="351" t="s">
        <v>561</v>
      </c>
      <c r="D50" s="352" t="s">
        <v>43</v>
      </c>
      <c r="E50" s="352" t="s">
        <v>43</v>
      </c>
      <c r="F50" s="352" t="s">
        <v>43</v>
      </c>
      <c r="G50" s="352" t="s">
        <v>43</v>
      </c>
      <c r="H50" s="352" t="s">
        <v>43</v>
      </c>
    </row>
    <row r="51" spans="2:9" ht="15.75" thickBot="1">
      <c r="B51" s="348" t="s">
        <v>563</v>
      </c>
      <c r="C51" s="353" t="s">
        <v>564</v>
      </c>
      <c r="D51" s="354" t="s">
        <v>43</v>
      </c>
      <c r="E51" s="354" t="s">
        <v>43</v>
      </c>
      <c r="F51" s="354" t="s">
        <v>43</v>
      </c>
      <c r="G51" s="354" t="s">
        <v>43</v>
      </c>
      <c r="H51" s="354" t="s">
        <v>43</v>
      </c>
    </row>
    <row r="52" spans="2:9" ht="15.75" thickBot="1">
      <c r="B52" s="358" t="s">
        <v>565</v>
      </c>
      <c r="C52" s="351" t="s">
        <v>564</v>
      </c>
      <c r="D52" s="352" t="s">
        <v>43</v>
      </c>
      <c r="E52" s="352" t="s">
        <v>43</v>
      </c>
      <c r="F52" s="352" t="s">
        <v>43</v>
      </c>
      <c r="G52" s="352" t="s">
        <v>43</v>
      </c>
      <c r="H52" s="35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378</v>
      </c>
      <c r="B6" s="93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AMIT</cp:lastModifiedBy>
  <dcterms:created xsi:type="dcterms:W3CDTF">2005-06-03T09:41:13Z</dcterms:created>
  <dcterms:modified xsi:type="dcterms:W3CDTF">2020-07-27T10:40:48Z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