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lias\Desktop\CHEM 429\MOF Project\"/>
    </mc:Choice>
  </mc:AlternateContent>
  <xr:revisionPtr revIDLastSave="0" documentId="8_{52BB8950-9124-43BA-AFB8-E3AFD66F950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OF vehicle production" sheetId="3" r:id="rId1"/>
    <sheet name="MOF Vehicle production graphs" sheetId="10" r:id="rId2"/>
    <sheet name="Embodied energy of MOF material" sheetId="2" r:id="rId3"/>
    <sheet name="LCA of MOFFCEV &amp; LCO BEV" sheetId="4" r:id="rId4"/>
    <sheet name="LCA graphs &amp; table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3" l="1"/>
  <c r="K45" i="11" l="1" a="1"/>
  <c r="K45" i="11" s="1"/>
  <c r="AA4" i="11"/>
  <c r="AA7" i="11"/>
  <c r="Z6" i="11"/>
  <c r="AB5" i="11"/>
  <c r="Z5" i="11" s="1"/>
  <c r="U2" i="11"/>
  <c r="N5" i="11"/>
  <c r="M5" i="11"/>
  <c r="L5" i="11"/>
  <c r="K5" i="11"/>
  <c r="H8" i="11"/>
  <c r="I8" i="11"/>
  <c r="J8" i="11"/>
  <c r="G8" i="11"/>
  <c r="Z14" i="4"/>
  <c r="Z26" i="4"/>
  <c r="Z25" i="4"/>
  <c r="Z24" i="4"/>
  <c r="Z23" i="4"/>
  <c r="Z5" i="4"/>
  <c r="Z8" i="4" s="1"/>
  <c r="T2" i="11" l="1"/>
  <c r="U4" i="11"/>
  <c r="T4" i="11"/>
  <c r="V7" i="11"/>
  <c r="V5" i="11"/>
  <c r="H5" i="11"/>
  <c r="I5" i="11"/>
  <c r="J5" i="11"/>
  <c r="G5" i="11"/>
  <c r="H4" i="11"/>
  <c r="I4" i="11"/>
  <c r="J4" i="11"/>
  <c r="G4" i="11"/>
  <c r="S3" i="11" s="1"/>
  <c r="AC15" i="11"/>
  <c r="AC16" i="11"/>
  <c r="W16" i="11"/>
  <c r="W15" i="11"/>
  <c r="O39" i="11"/>
  <c r="U39" i="11"/>
  <c r="O40" i="11"/>
  <c r="U40" i="11"/>
  <c r="O38" i="11"/>
  <c r="T38" i="11"/>
  <c r="U38" i="11"/>
  <c r="O32" i="11"/>
  <c r="U32" i="11"/>
  <c r="O33" i="11"/>
  <c r="U33" i="11"/>
  <c r="O31" i="11"/>
  <c r="T31" i="11"/>
  <c r="U31" i="11"/>
  <c r="O25" i="11"/>
  <c r="U25" i="11"/>
  <c r="O26" i="11"/>
  <c r="U26" i="11"/>
  <c r="O24" i="11"/>
  <c r="T24" i="11"/>
  <c r="U24" i="11"/>
  <c r="O18" i="11"/>
  <c r="U18" i="11"/>
  <c r="O19" i="11"/>
  <c r="U19" i="11"/>
  <c r="O17" i="11"/>
  <c r="T17" i="11"/>
  <c r="U17" i="11"/>
  <c r="U16" i="11"/>
  <c r="U23" i="11"/>
  <c r="T30" i="11"/>
  <c r="U30" i="11"/>
  <c r="U37" i="11"/>
  <c r="A39" i="11"/>
  <c r="G39" i="11"/>
  <c r="A40" i="11"/>
  <c r="G40" i="11"/>
  <c r="G38" i="11"/>
  <c r="A37" i="11"/>
  <c r="G37" i="11"/>
  <c r="A36" i="11"/>
  <c r="G36" i="11"/>
  <c r="A29" i="11"/>
  <c r="G29" i="11"/>
  <c r="A30" i="11"/>
  <c r="G30" i="11"/>
  <c r="G31" i="11"/>
  <c r="A32" i="11"/>
  <c r="G32" i="11"/>
  <c r="A33" i="11"/>
  <c r="G33" i="11"/>
  <c r="A25" i="11"/>
  <c r="G25" i="11"/>
  <c r="A26" i="11"/>
  <c r="G26" i="11"/>
  <c r="G24" i="11"/>
  <c r="A23" i="11"/>
  <c r="G23" i="11"/>
  <c r="A22" i="11"/>
  <c r="G22" i="11"/>
  <c r="A19" i="11"/>
  <c r="G19" i="11"/>
  <c r="A18" i="11"/>
  <c r="G18" i="11"/>
  <c r="G17" i="11"/>
  <c r="A16" i="11"/>
  <c r="G16" i="11"/>
  <c r="A15" i="11"/>
  <c r="G15" i="11"/>
  <c r="Q35" i="4"/>
  <c r="Q36" i="4" s="1"/>
  <c r="T26" i="11" s="1"/>
  <c r="Q37" i="4"/>
  <c r="Q38" i="4" s="1"/>
  <c r="T33" i="11" s="1"/>
  <c r="Q39" i="4"/>
  <c r="Q40" i="4" s="1"/>
  <c r="T40" i="11" s="1"/>
  <c r="Q33" i="4"/>
  <c r="Q34" i="4" s="1"/>
  <c r="T19" i="11" s="1"/>
  <c r="G26" i="4"/>
  <c r="T37" i="11" s="1"/>
  <c r="G25" i="4"/>
  <c r="F31" i="11" s="1"/>
  <c r="V17" i="3"/>
  <c r="F38" i="11" l="1"/>
  <c r="T39" i="11"/>
  <c r="T18" i="11"/>
  <c r="T25" i="11"/>
  <c r="T32" i="11"/>
  <c r="Q17" i="4"/>
  <c r="Q18" i="4" s="1"/>
  <c r="AB15" i="11" s="1"/>
  <c r="H40" i="3"/>
  <c r="V22" i="3" s="1"/>
  <c r="V23" i="3" s="1"/>
  <c r="V25" i="3" l="1"/>
  <c r="V24" i="3"/>
  <c r="H22" i="2"/>
  <c r="G5" i="4"/>
  <c r="M10" i="2" l="1"/>
  <c r="H20" i="2"/>
  <c r="H24" i="2" s="1"/>
  <c r="H9" i="2"/>
  <c r="H11" i="2" s="1"/>
  <c r="H12" i="2" s="1"/>
  <c r="G24" i="4"/>
  <c r="G23" i="4"/>
  <c r="G8" i="4"/>
  <c r="F17" i="11" l="1"/>
  <c r="T16" i="11"/>
  <c r="F22" i="11"/>
  <c r="F36" i="11"/>
  <c r="F15" i="11"/>
  <c r="F29" i="11"/>
  <c r="F24" i="11"/>
  <c r="T23" i="11"/>
  <c r="H25" i="2"/>
  <c r="H14" i="2"/>
  <c r="H32" i="3"/>
  <c r="Z12" i="4" s="1"/>
  <c r="Z15" i="4" s="1"/>
  <c r="Z30" i="4" s="1"/>
  <c r="Z31" i="4" s="1"/>
  <c r="T3" i="3"/>
  <c r="T5" i="3" s="1"/>
  <c r="Q21" i="4" s="1"/>
  <c r="AB16" i="11" s="1"/>
  <c r="H13" i="3"/>
  <c r="F22" i="3" s="1"/>
  <c r="H12" i="3"/>
  <c r="F21" i="3" s="1"/>
  <c r="Z36" i="4" l="1"/>
  <c r="Z37" i="4" s="1"/>
  <c r="Z34" i="4"/>
  <c r="Z35" i="4" s="1"/>
  <c r="Z32" i="4"/>
  <c r="Z33" i="4" s="1"/>
  <c r="AB17" i="11"/>
  <c r="V6" i="11" s="1"/>
  <c r="V18" i="3"/>
  <c r="V15" i="3"/>
  <c r="T7" i="3"/>
  <c r="H34" i="3"/>
  <c r="H37" i="3" s="1"/>
  <c r="H43" i="3" s="1"/>
  <c r="H50" i="3" s="1"/>
  <c r="H33" i="3"/>
  <c r="G12" i="4"/>
  <c r="H27" i="2"/>
  <c r="G13" i="4" l="1"/>
  <c r="H53" i="3"/>
  <c r="H36" i="3"/>
  <c r="H42" i="3" s="1"/>
  <c r="H49" i="3" s="1"/>
  <c r="G14" i="4" l="1"/>
  <c r="G15" i="4" s="1"/>
  <c r="K44" i="11" a="1"/>
  <c r="K44" i="11" s="1"/>
  <c r="F30" i="11"/>
  <c r="F37" i="11"/>
  <c r="F16" i="11"/>
  <c r="F23" i="11"/>
  <c r="H52" i="3"/>
  <c r="G34" i="4"/>
  <c r="G32" i="4"/>
  <c r="G36" i="4"/>
  <c r="G30" i="4"/>
  <c r="G33" i="4" l="1"/>
  <c r="F26" i="11" s="1"/>
  <c r="F25" i="11"/>
  <c r="G35" i="4"/>
  <c r="F33" i="11" s="1"/>
  <c r="F32" i="11"/>
  <c r="G37" i="4"/>
  <c r="F40" i="11" s="1"/>
  <c r="F39" i="11"/>
  <c r="G31" i="4"/>
  <c r="F19" i="11" s="1"/>
  <c r="F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<sst xmlns="http://schemas.openxmlformats.org/spreadsheetml/2006/main" count="625" uniqueCount="270">
  <si>
    <t>Cost of MOF production (solvothermal)</t>
  </si>
  <si>
    <t>$/kg</t>
  </si>
  <si>
    <t>Cost of MOF production (liquid assisted grinding LAG)</t>
  </si>
  <si>
    <t>Factor (solvothermal)</t>
  </si>
  <si>
    <t>MOF storage system cost</t>
  </si>
  <si>
    <t>kWh/kg</t>
  </si>
  <si>
    <t>kgH2/kgMOF</t>
  </si>
  <si>
    <t>needed kgH2 per vehicle</t>
  </si>
  <si>
    <t>kgH2/system</t>
  </si>
  <si>
    <t>needed MOF material</t>
  </si>
  <si>
    <t>kgMOF</t>
  </si>
  <si>
    <t>cost of MOF material (LAG)</t>
  </si>
  <si>
    <t>cost of MOF material (Solvothermal)</t>
  </si>
  <si>
    <t>Total MOF storage system(LAG)</t>
  </si>
  <si>
    <t>Total MOF storage system(SOLVOTHERMAL)</t>
  </si>
  <si>
    <t>kWh/sysetm</t>
  </si>
  <si>
    <t>Total Cost of FCEV "engine" (LAG)</t>
  </si>
  <si>
    <t>Total Cost of FCEV "engine" (SOLVOTHERMAL)</t>
  </si>
  <si>
    <t>Other car component prices</t>
  </si>
  <si>
    <t>kWh/system</t>
  </si>
  <si>
    <t>kW</t>
  </si>
  <si>
    <t>mark up factor for Marketing /warranty and profit</t>
  </si>
  <si>
    <t>PEM Fuel cell efficiency (class notes)</t>
  </si>
  <si>
    <t>Total kWh available for 5.6kgH2</t>
  </si>
  <si>
    <t>Vehicle total kWh</t>
  </si>
  <si>
    <t>Total range of vehicle</t>
  </si>
  <si>
    <t>km/vehicle</t>
  </si>
  <si>
    <t>MJ</t>
  </si>
  <si>
    <t>Weight of the hydorgen tank</t>
  </si>
  <si>
    <t>kg</t>
  </si>
  <si>
    <t>MJ/kg</t>
  </si>
  <si>
    <t>Case 2: german hydroelectricity for production, no PGMR</t>
  </si>
  <si>
    <t>Case 1: germany electricity mix for production, no PGMR</t>
  </si>
  <si>
    <t>MJ/kW</t>
  </si>
  <si>
    <t>Hydrothermally prepared LiCoO2</t>
  </si>
  <si>
    <t>LiCoO2 factor</t>
  </si>
  <si>
    <t>Li exergy</t>
  </si>
  <si>
    <t>Co exergy</t>
  </si>
  <si>
    <t>O2 exergy</t>
  </si>
  <si>
    <t>LiCoO2 exergy</t>
  </si>
  <si>
    <t>kJ/mol</t>
  </si>
  <si>
    <t>eV/atom</t>
  </si>
  <si>
    <t>eV to kJ</t>
  </si>
  <si>
    <t>atoms/mol</t>
  </si>
  <si>
    <t>J/eV</t>
  </si>
  <si>
    <t>g/mol</t>
  </si>
  <si>
    <t>Ni exergy</t>
  </si>
  <si>
    <t>C exergy</t>
  </si>
  <si>
    <t>H2 exergy</t>
  </si>
  <si>
    <t>Ni mass</t>
  </si>
  <si>
    <t>Embodied energy estimated from factor</t>
  </si>
  <si>
    <t>GJ</t>
  </si>
  <si>
    <t>kWh/km</t>
  </si>
  <si>
    <t>REFERENCES</t>
  </si>
  <si>
    <t>[1]</t>
  </si>
  <si>
    <t>[2]</t>
  </si>
  <si>
    <t>[3]</t>
  </si>
  <si>
    <t xml:space="preserve">heat of formation </t>
  </si>
  <si>
    <t>Calculating the LiCoO2 exergy to find the factor correlating exergy and embodied energy</t>
  </si>
  <si>
    <t>LiCoO2 exergy (in MJ/kg)</t>
  </si>
  <si>
    <t>heat of formation (in kJ/mol)</t>
  </si>
  <si>
    <t>Value from</t>
  </si>
  <si>
    <t>Factors and Values used for calculations</t>
  </si>
  <si>
    <t>avogadro's number</t>
  </si>
  <si>
    <t>kJ/J &amp; MJ/kJ &amp; kg/g</t>
  </si>
  <si>
    <r>
      <t>mass LiCoO</t>
    </r>
    <r>
      <rPr>
        <sz val="8"/>
        <color theme="1"/>
        <rFont val="Calibri"/>
        <family val="2"/>
        <scheme val="minor"/>
      </rPr>
      <t>2</t>
    </r>
  </si>
  <si>
    <r>
      <t>atoms in LiCoO</t>
    </r>
    <r>
      <rPr>
        <sz val="8"/>
        <color theme="1"/>
        <rFont val="Calibri"/>
        <family val="2"/>
        <scheme val="minor"/>
      </rPr>
      <t>2</t>
    </r>
  </si>
  <si>
    <r>
      <t>**Ni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-dobdc) is Ni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6</t>
    </r>
  </si>
  <si>
    <r>
      <t>atoms in Ni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(m-dobdc)**</t>
    </r>
  </si>
  <si>
    <r>
      <t>NiH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(CO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deltaG of formation</t>
    </r>
  </si>
  <si>
    <r>
      <t>Ni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-dobdc) mass</t>
    </r>
  </si>
  <si>
    <r>
      <t>Ni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-dobdc) exergy (in MJ/kg)</t>
    </r>
  </si>
  <si>
    <r>
      <t>Ni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-dobdc) exergy</t>
    </r>
  </si>
  <si>
    <r>
      <t>Calculating Ni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-dobdc) exergy for estimation of its embodied energy</t>
    </r>
  </si>
  <si>
    <r>
      <t>NiH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(CO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deltaG of formation*</t>
    </r>
  </si>
  <si>
    <t>* In this approximation, the deltaG of formation for our material was not available. It was therefore assumed that this deltaG of formation was the value for our material</t>
  </si>
  <si>
    <r>
      <t>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-dobdc) i.e: (C</t>
    </r>
    <r>
      <rPr>
        <sz val="8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mass</t>
    </r>
  </si>
  <si>
    <t>References</t>
  </si>
  <si>
    <t>[4]</t>
  </si>
  <si>
    <t>[5]</t>
  </si>
  <si>
    <t>[6]</t>
  </si>
  <si>
    <t>[7]</t>
  </si>
  <si>
    <t>[8]</t>
  </si>
  <si>
    <t>$</t>
  </si>
  <si>
    <t>$/kWh</t>
  </si>
  <si>
    <t>$/kW</t>
  </si>
  <si>
    <t>mark up factor for "engine" production</t>
  </si>
  <si>
    <t>Values From</t>
  </si>
  <si>
    <t>Listing the literature cost of Mg2(dobdc) (a reference MOF material) for different synthesis methods</t>
  </si>
  <si>
    <r>
      <t>Listing the literature cost of the same reference MOF, but with linker of interest Mg2(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-dobdc), and finding a correlation factor with previous cost</t>
    </r>
  </si>
  <si>
    <t>Factor (liquid assisted grinding LAG)</t>
  </si>
  <si>
    <r>
      <t>Listing the literature cost of Ni2(dobdc) and multiplying by previous factor to estimate cost of Ni2(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-dobdc) MOF of interest with desired linker</t>
    </r>
  </si>
  <si>
    <t>cost with the factor applied:</t>
  </si>
  <si>
    <t>Estimated desired MOF material cost of production</t>
  </si>
  <si>
    <t>Calculating the total cost of production of a FCEV with integrated MOF hydrogen storage system</t>
  </si>
  <si>
    <t>Literature MOF storage material price</t>
  </si>
  <si>
    <t>MOF storage without lit. MOF material &amp; cryogenic insulator</t>
  </si>
  <si>
    <t>MOF studied gravimetric density</t>
  </si>
  <si>
    <t>Assumed to be a light duty vehicle (power)</t>
  </si>
  <si>
    <t>car cost no markup (LAG)</t>
  </si>
  <si>
    <t>car cost no markup (SOLVOTHERMAL)</t>
  </si>
  <si>
    <t>Calculating the total embodied energy of production for a FCEV with MOF hydrogen storage</t>
  </si>
  <si>
    <t>LCO embodied energy</t>
  </si>
  <si>
    <t>MJ/BEV</t>
  </si>
  <si>
    <t>NMC BEV cost of production</t>
  </si>
  <si>
    <t>MJ/kWh</t>
  </si>
  <si>
    <t>DeSantis, D.; Mason, J. A.; James, B. D.; Houchins, C.; Long, J. R.; Veenstra, M. Techno-Economic Analysis of Metal–Organic Frameworks for Hydrogen and Natural Gas Storage. Energy Fuels 2017, 31 (2), 2024–2032. https://doi.org/10.1021/acs.energyfuels.6b02510</t>
  </si>
  <si>
    <t>Houchins, C.; James, B. Hydrogen Storage System Cost Analysis: Summary of FY 2017 Activities Sponsorship and Acknowledgements; 2017. https://doi.org/10.13140/RG.2.2.34567.85927</t>
  </si>
  <si>
    <t>Dunn, J. B.; Gaines, L.; Kelly, J. C.; Gallagher, K. G. Life Cycle Analysis Summary for Automotive Lithium-Ion Battery Production and Recycling. In REWAS 2016: Towards Materials Resource Sustainability; Kirchain, R. E., Blanpain, B., Meskers, C., Olivetti, E., Apelian, D., Howarter, J., Kvithyld, A., Mishra, B., Neelameggham, N. R., Spangenberger, J., Eds.; Springer International Publishing: Cham, 2016; pp 73–79. https://doi.org/10.1007/978-3-319-48768-7_11.</t>
  </si>
  <si>
    <t>De Meester, B.; Dewulf, J.; Janssens, A.; Van Langenhove, H. An Improved Calculation of the Exergy of Natural Resources for Exergetic Life Cycle Assessment (ELCA). Environ. Sci. Technol. 2006, 40 (21), 6844–6851. https://doi.org/10.1021/es060167d.</t>
  </si>
  <si>
    <t>Jain, A.; Ong, S. P.; Hautier, G.; Chen, W.; Richards, W. D.; Dacek, S.; Cholia, S.; Gunter, D.; Skinner, D.; Ceder, G.; Persson, K. A. Commentary: The Materials Project: A Materials Genome Approach to Accelerating Materials Innovation. APL Mater. 2013, 1 (1), 011002. https://doi.org/10.1063/1.4812323.</t>
  </si>
  <si>
    <t>Data used for comparison to BEV</t>
  </si>
  <si>
    <t>Total assuming same component price, no markup</t>
  </si>
  <si>
    <t>Total assuming same markup factors</t>
  </si>
  <si>
    <t>Calculating cost of Compressed hydrogen tank (700 bar) for comparison</t>
  </si>
  <si>
    <r>
      <t xml:space="preserve">James, B. D.; Houchins, C.; Huya-Kouadio, J. M.; DeSantis, D. A. </t>
    </r>
    <r>
      <rPr>
        <i/>
        <sz val="12"/>
        <color theme="1"/>
        <rFont val="Times New Roman"/>
        <family val="1"/>
      </rPr>
      <t>Final Report: Hydrogen Storage System Cost Analysis</t>
    </r>
    <r>
      <rPr>
        <sz val="12"/>
        <color theme="1"/>
        <rFont val="Times New Roman"/>
        <family val="1"/>
      </rPr>
      <t>; DOE-SA-0005253; Strategic Analysis Inc., Arlington, VA (United States), 2016. https://doi.org/10.2172/1343975.</t>
    </r>
  </si>
  <si>
    <r>
      <t xml:space="preserve">Kapelewski, M. T.; Runčevski, T.; Tarver, J. D.; Jiang, H. Z. H.; Hurst, K. E.; Parilla, P. A.; Ayala, A.; Gennett, T.; FitzGerald, S. A.; Brown, C. M.; Long, J. R. Record High Hydrogen Storage Capacity in the Metal–Organic Framework Ni2(m-Dobdc) at Near-Ambient Temperatures. </t>
    </r>
    <r>
      <rPr>
        <i/>
        <sz val="12"/>
        <color theme="1"/>
        <rFont val="Times New Roman"/>
        <family val="1"/>
      </rPr>
      <t>Chem. Mater.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 xml:space="preserve"> (22), 8179–8189. https://doi.org/10.1021/acs.chemmater.8b03276.</t>
    </r>
  </si>
  <si>
    <t>Total car cost (LAG)</t>
  </si>
  <si>
    <t>Total car cost (Solvothermal)</t>
  </si>
  <si>
    <t>Type 4 (700 bar) compressed H2 storage system</t>
  </si>
  <si>
    <r>
      <t xml:space="preserve">James, B. D.; Huya-Kouadio, J. M.; Houchins, C.; DeSantis, D. A. V.E.5 Fuel Cell Vehicle Cost Analysis. </t>
    </r>
    <r>
      <rPr>
        <i/>
        <sz val="12"/>
        <color theme="1"/>
        <rFont val="Times New Roman"/>
        <family val="1"/>
      </rPr>
      <t>Strateg. Anal.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2017</t>
    </r>
    <r>
      <rPr>
        <sz val="12"/>
        <color theme="1"/>
        <rFont val="Times New Roman"/>
        <family val="1"/>
      </rPr>
      <t>, 6.</t>
    </r>
  </si>
  <si>
    <t>H2 specific energy</t>
  </si>
  <si>
    <t>Parameters/assumptions for cost calculation</t>
  </si>
  <si>
    <t>5.6kgH2 needed for a full tank</t>
  </si>
  <si>
    <t>production rate of 500 000 systems per year</t>
  </si>
  <si>
    <t>costs are in $USD</t>
  </si>
  <si>
    <t>NMC BEV with same energy capacity as our MOF-FCEV</t>
  </si>
  <si>
    <t>LFP BEV cost of production (range)</t>
  </si>
  <si>
    <t>LFP BEV cost of production (average)</t>
  </si>
  <si>
    <t>LFP BEV with same energy capacity as our MOF-FCEV</t>
  </si>
  <si>
    <t>PEM fuel cell cost assuming same PEM FC</t>
  </si>
  <si>
    <t>Aquino T, M Roling, C Baker, and L Rowland. 2017a. Battery Energy Storage Technology Assessment. November 29, 2017. Prepared for the Platte River Power authority by HDR/Omaha, Nebraska</t>
  </si>
  <si>
    <r>
      <t xml:space="preserve">Berckmans, G.; Messagie, M.; Smekens, J.; Omar, N.; Vanhaverbeke, L.; Van Mierlo, J. Cost Projection of State of the Art Lithium-Ion Batteries for Electric Vehicles Up to 2030. </t>
    </r>
    <r>
      <rPr>
        <i/>
        <sz val="12"/>
        <color theme="1"/>
        <rFont val="Times New Roman"/>
        <family val="1"/>
      </rPr>
      <t>Energies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2017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(9), 1314. https://doi.org/10.3390/en10091314.</t>
    </r>
  </si>
  <si>
    <t>Electricity for production of Type 3 (350 bar) hydrogen tank</t>
  </si>
  <si>
    <t>Estimated Embodied energy for tank production</t>
  </si>
  <si>
    <t>MOF-FCEV hydrogen tank weight (no MOF)</t>
  </si>
  <si>
    <t>MOF-FCEV hydrogen tank embodied energy (no MOF)</t>
  </si>
  <si>
    <t>*Adding the MOF material production embodied energy from exergy*</t>
  </si>
  <si>
    <t>mass of the MOF needed</t>
  </si>
  <si>
    <t>embodied energy estimated for MOF produciton</t>
  </si>
  <si>
    <t>total embodied energy for required MOF mass</t>
  </si>
  <si>
    <t>case 1 estimated PEM embodied energy</t>
  </si>
  <si>
    <t>case 2 estimated PEM embodied energy</t>
  </si>
  <si>
    <t>MJ/system</t>
  </si>
  <si>
    <t>Value From</t>
  </si>
  <si>
    <t>A type 3 hydrogen tank is for compression of hydrogen to 350 bar. We assumed the same material would go into a MOF hydrogen storage system</t>
  </si>
  <si>
    <r>
      <t xml:space="preserve">Evangelisti, S.; Tagliaferri, C.; Brett, D. J. L.; Lettieri, P. Life Cycle Assessment of a Polymer Electrolyte Membrane Fuel Cell System for Passenger Vehicles. </t>
    </r>
    <r>
      <rPr>
        <i/>
        <sz val="12"/>
        <color theme="1"/>
        <rFont val="Times New Roman"/>
        <family val="1"/>
      </rPr>
      <t>J. Clean. Prod.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2017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142</t>
    </r>
    <r>
      <rPr>
        <sz val="12"/>
        <color theme="1"/>
        <rFont val="Times New Roman"/>
        <family val="1"/>
      </rPr>
      <t>, 4339–4355. https://doi.org/10.1016/j.jclepro.2016.11.159.</t>
    </r>
  </si>
  <si>
    <t>Pehnt, M. Life-Cycle Assessment of Fuel Cell Stacks. Int. J. Hydrog. Energy 2001, 26 (1), 91–101. https://doi.org/10.1016/S0360-3199(00)00053-7.</t>
  </si>
  <si>
    <t>From</t>
  </si>
  <si>
    <t>Case 3: German electricity mix for production, 75% PGMR</t>
  </si>
  <si>
    <t>Case 4: German hydroelectricity for production, 75% PGMR</t>
  </si>
  <si>
    <t>case 3 estimated PEM embodied energy</t>
  </si>
  <si>
    <t>case 4 estimated PEM embodied energy</t>
  </si>
  <si>
    <t>Total production embodied energy (case 1 PEM FC)</t>
  </si>
  <si>
    <t>Total production embodied energy (case 2 PEM FC)</t>
  </si>
  <si>
    <t>Total production embodied energy (case 3 PEM FC)</t>
  </si>
  <si>
    <t>Total production embodied energy (case 4 PEM FC)</t>
  </si>
  <si>
    <t>^ in GJ</t>
  </si>
  <si>
    <t>GJ/system</t>
  </si>
  <si>
    <t>* Sum all the embodied energies of each MOF-FCEV part*</t>
  </si>
  <si>
    <t>Definitions/Assumptions for the system embodied energy calculations</t>
  </si>
  <si>
    <t>PGMR: denotes Platinum group metal recycling for PEM Fuel cells</t>
  </si>
  <si>
    <t>Calculating the embodied energy of production for a Li ion battery pack</t>
  </si>
  <si>
    <t>Total LCO material Embodied energy</t>
  </si>
  <si>
    <t>MJ/pack</t>
  </si>
  <si>
    <t>Total embodied energy of a Li ion battery pack assuming same kWh as MOF FCEV</t>
  </si>
  <si>
    <t>LCO : Lithium cobalt oxide battery</t>
  </si>
  <si>
    <t>assumed PEM power</t>
  </si>
  <si>
    <t>MOF-FCEV: Fuel cell electric vehicle with an MOF hydrogen storage system</t>
  </si>
  <si>
    <t>A type 4 hydrogen tank is for compression of hydrogen to 700 bar.</t>
  </si>
  <si>
    <r>
      <t xml:space="preserve">Ellingsen, L. A.-W.; Majeau‐Bettez, G.; Singh, B.; Srivastava, A. K.; Valøen, L. O.; Strømman, A. H. Life Cycle Assessment of a Lithium-Ion Battery Vehicle Pack. </t>
    </r>
    <r>
      <rPr>
        <i/>
        <sz val="12"/>
        <color theme="1"/>
        <rFont val="Times New Roman"/>
        <family val="1"/>
      </rPr>
      <t>J. Ind.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2014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 xml:space="preserve"> (1), 113–124. https://doi.org/10.1111/jiec.12072.</t>
    </r>
  </si>
  <si>
    <t>Calculating the embodied energy of production for a Type 4 hydrogen storage Fuel cell</t>
  </si>
  <si>
    <t>Electricity for production of Type 4 (700 bar) hydrogen tank</t>
  </si>
  <si>
    <t>In this case, we assumed a battery pack to be the equivalent to a Fuel cell electric vehicle hydrogen storage system and its fuel cell</t>
  </si>
  <si>
    <t>PEM Fuel Cell cost rate for 80 kW low duty vehicle</t>
  </si>
  <si>
    <t xml:space="preserve">Total PEM Fuel cell cost </t>
  </si>
  <si>
    <t>LAG</t>
  </si>
  <si>
    <t>solvo</t>
  </si>
  <si>
    <t>MOF storage no MOF material &amp; cryogenic insulator</t>
  </si>
  <si>
    <t>markup</t>
  </si>
  <si>
    <t>markup marketing</t>
  </si>
  <si>
    <t>other components</t>
  </si>
  <si>
    <t>MOF LAG</t>
  </si>
  <si>
    <t>Solvothermal</t>
  </si>
  <si>
    <t>Compression</t>
  </si>
  <si>
    <t>MOF Solvothermal</t>
  </si>
  <si>
    <t>Total  "engine cost" of Type 4 compressed H2 storage FCEV</t>
  </si>
  <si>
    <t>MOF material</t>
  </si>
  <si>
    <t>MOF storage unit</t>
  </si>
  <si>
    <t>PEM Fuel cell</t>
  </si>
  <si>
    <t>Other car components</t>
  </si>
  <si>
    <t>Total MOFFCEV cost</t>
  </si>
  <si>
    <t>Synthesis method</t>
  </si>
  <si>
    <t>Liquid assisted grinding (LAG)</t>
  </si>
  <si>
    <t>Fig 1</t>
  </si>
  <si>
    <t>"Engine" produciton (17 % mark-up)</t>
  </si>
  <si>
    <t>Marketing/warranty/profit (29% mark-up)</t>
  </si>
  <si>
    <t>Total Vehicle Production cost</t>
  </si>
  <si>
    <t>MOF (LAG) FCEV</t>
  </si>
  <si>
    <t>MOF (Solvothermal) FCEV</t>
  </si>
  <si>
    <t>Compressed H2 (700bar) FCEV</t>
  </si>
  <si>
    <t>Fig 2</t>
  </si>
  <si>
    <t>Fig 3</t>
  </si>
  <si>
    <t>Storage</t>
  </si>
  <si>
    <t>Compressed H2 (700bar)</t>
  </si>
  <si>
    <t>storage unit</t>
  </si>
  <si>
    <t>MOF (Solvothermal synthesis)</t>
  </si>
  <si>
    <t>MOF (LAG synthesis)</t>
  </si>
  <si>
    <t>MOF case 1</t>
  </si>
  <si>
    <t>MOF case 4</t>
  </si>
  <si>
    <t>MOF case 3</t>
  </si>
  <si>
    <t>MOF case 2</t>
  </si>
  <si>
    <t>PEM FC Total embodied energy (case 2)</t>
  </si>
  <si>
    <t>PEM FC Total embodied energy (case 1)</t>
  </si>
  <si>
    <t>PEM FC Total embodied energy (case 4)</t>
  </si>
  <si>
    <t>PEM FC Total embodied energy (case 3)</t>
  </si>
  <si>
    <t>PEM FC embodied energy case 1</t>
  </si>
  <si>
    <t>PEM FC embodied energy case 2</t>
  </si>
  <si>
    <t>PEM FC embodied energy case 3</t>
  </si>
  <si>
    <t>PEM FC embodied energy case 4</t>
  </si>
  <si>
    <t>PEM FC : Polymer electrolyte membrane fuel cell</t>
  </si>
  <si>
    <t>case 1 estimated PEM FC embodied energy</t>
  </si>
  <si>
    <t>case 2 estimated PEM FC embodied energy</t>
  </si>
  <si>
    <t>case 3 estimated PEM FC embodied energy</t>
  </si>
  <si>
    <t>case 4 estimated PEM FC embodied energy</t>
  </si>
  <si>
    <t>Type 4 Compressed H2</t>
  </si>
  <si>
    <t>hydrogen tank embodied energy</t>
  </si>
  <si>
    <t>PEM FC Total embodied energy</t>
  </si>
  <si>
    <t>Total production embodied energy</t>
  </si>
  <si>
    <t>Compressed H2 tank (700 bar) case 1</t>
  </si>
  <si>
    <t>Compressed H2 tank (700 bar) case 2</t>
  </si>
  <si>
    <t>Compressed H2 tank (700 bar) case 3</t>
  </si>
  <si>
    <t>Compressed H2 tank (700 bar) case 4</t>
  </si>
  <si>
    <t>Li ion BEV</t>
  </si>
  <si>
    <t>below in GJ</t>
  </si>
  <si>
    <t>LCO BEV Battery pack</t>
  </si>
  <si>
    <t>Embodied energy for MOF production</t>
  </si>
  <si>
    <t>Embodied energy for the Hydrogen storage tank production</t>
  </si>
  <si>
    <t>Embodied energy for the PEM FC production</t>
  </si>
  <si>
    <t>Embodied energy for the produciton of LCO</t>
  </si>
  <si>
    <t>Battery embodied energy (except cathode)</t>
  </si>
  <si>
    <t>Battery pack embodied energy (no LCO)</t>
  </si>
  <si>
    <t>Literature MOF Embodied energy</t>
  </si>
  <si>
    <t>MJ/ton</t>
  </si>
  <si>
    <r>
      <t xml:space="preserve">Sathre, R.; Masanet, E. Prospective Life-Cycle Modeling of a Carbon Capture and Storage System Using Metal–Organic Frameworks for CO2 Capture. </t>
    </r>
    <r>
      <rPr>
        <i/>
        <sz val="12"/>
        <color theme="1"/>
        <rFont val="Times New Roman"/>
        <family val="1"/>
      </rPr>
      <t>RSC Adv.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2013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(15), 4964–4975. https://doi.org/10.1039/C3RA40265G.</t>
    </r>
  </si>
  <si>
    <t>Calculating the total embodied energy of production for a FCEV with MOF hydrogen storage (With Literature MOF Embodied energy</t>
  </si>
  <si>
    <t>MOF (Embodied enegy from Exergy)</t>
  </si>
  <si>
    <t>LCO BEV Embodied energy</t>
  </si>
  <si>
    <t xml:space="preserve"> (GJ)</t>
  </si>
  <si>
    <t>Percentage of the total Embodied energy from MOF production</t>
  </si>
  <si>
    <t>Percentage of the toal Embodied energy from the FCEV "Engine" (without MOF)</t>
  </si>
  <si>
    <t>Percentage of the total Embodied energy for the produciton of LCO</t>
  </si>
  <si>
    <t>otal production embodied energy</t>
  </si>
  <si>
    <t>Literature Embodied energy MOF case 3</t>
  </si>
  <si>
    <t>Exergy Embodied Energy MOF case 3</t>
  </si>
  <si>
    <t>Embodied energy comparison</t>
  </si>
  <si>
    <t>From Exergy calculation</t>
  </si>
  <si>
    <t>From Literature</t>
  </si>
  <si>
    <t>Total Cost of FCEV power supply (LAG)</t>
  </si>
  <si>
    <t>Total Cost of FCEV power supply (SOLVOTHERMAL)</t>
  </si>
  <si>
    <t>mark up factor for power supply production</t>
  </si>
  <si>
    <t>Total  power supply of Type 4 compressed H2 storage FCEV</t>
  </si>
  <si>
    <t>MOF FC Power supply (case 3)</t>
  </si>
  <si>
    <t>LCO BEV Power supply</t>
  </si>
  <si>
    <t>Percentage of the total Embodied energy from the FCEV Power supply (no MOF)</t>
  </si>
  <si>
    <t>Percentage of the total Embodied energy of LCO BEV (no LCO)</t>
  </si>
  <si>
    <t>McCalla, E. L11-FC-Performance - Fall 2020 - CHEM-429-001 - Chem of Energy, Storage &amp; Util. 2020.</t>
  </si>
  <si>
    <t>Electric vehicle efficiency</t>
  </si>
  <si>
    <t>Li ion Battery production embodied energy (average)</t>
  </si>
  <si>
    <t>Power supply produciton (17 % mark-up)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</si>
</sst>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FF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4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quotePrefix="1" applyBorder="1"/>
    <xf numFmtId="0" fontId="0" fillId="0" borderId="4" xfId="0" applyFont="1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7" xfId="0" applyFill="1" applyBorder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8" xfId="0" applyFill="1" applyBorder="1"/>
    <xf numFmtId="0" fontId="0" fillId="2" borderId="0" xfId="0" applyFill="1" applyBorder="1"/>
    <xf numFmtId="0" fontId="0" fillId="0" borderId="0" xfId="0" applyFill="1" applyBorder="1" applyAlignment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4" xfId="0" applyFill="1" applyBorder="1"/>
    <xf numFmtId="11" fontId="0" fillId="0" borderId="0" xfId="0" applyNumberFormat="1" applyBorder="1"/>
    <xf numFmtId="2" fontId="0" fillId="0" borderId="0" xfId="0" applyNumberFormat="1" applyBorder="1"/>
    <xf numFmtId="9" fontId="0" fillId="0" borderId="0" xfId="0" applyNumberFormat="1" applyBorder="1"/>
    <xf numFmtId="0" fontId="0" fillId="0" borderId="9" xfId="0" applyFill="1" applyBorder="1"/>
    <xf numFmtId="0" fontId="0" fillId="0" borderId="10" xfId="0" quotePrefix="1" applyBorder="1"/>
    <xf numFmtId="0" fontId="0" fillId="0" borderId="11" xfId="0" quotePrefix="1" applyBorder="1"/>
    <xf numFmtId="0" fontId="0" fillId="2" borderId="6" xfId="0" applyFill="1" applyBorder="1"/>
    <xf numFmtId="2" fontId="0" fillId="2" borderId="7" xfId="0" applyNumberFormat="1" applyFill="1" applyBorder="1"/>
    <xf numFmtId="0" fontId="0" fillId="2" borderId="1" xfId="0" applyFill="1" applyBorder="1"/>
    <xf numFmtId="0" fontId="0" fillId="2" borderId="2" xfId="0" applyFill="1" applyBorder="1"/>
    <xf numFmtId="2" fontId="0" fillId="2" borderId="2" xfId="0" applyNumberFormat="1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9" fontId="0" fillId="0" borderId="5" xfId="0" applyNumberFormat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5" xfId="0" applyFill="1" applyBorder="1"/>
    <xf numFmtId="0" fontId="0" fillId="0" borderId="6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/>
    <xf numFmtId="0" fontId="6" fillId="0" borderId="0" xfId="0" applyFont="1"/>
    <xf numFmtId="0" fontId="0" fillId="4" borderId="0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0" fillId="4" borderId="4" xfId="0" applyFill="1" applyBorder="1"/>
    <xf numFmtId="0" fontId="0" fillId="4" borderId="5" xfId="0" applyFill="1" applyBorder="1"/>
    <xf numFmtId="0" fontId="0" fillId="5" borderId="0" xfId="0" applyFill="1" applyBorder="1"/>
    <xf numFmtId="0" fontId="0" fillId="5" borderId="4" xfId="0" applyFill="1" applyBorder="1"/>
    <xf numFmtId="0" fontId="0" fillId="2" borderId="4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 applyBorder="1"/>
    <xf numFmtId="0" fontId="0" fillId="7" borderId="4" xfId="0" applyFill="1" applyBorder="1"/>
    <xf numFmtId="0" fontId="0" fillId="7" borderId="7" xfId="0" applyFill="1" applyBorder="1"/>
    <xf numFmtId="0" fontId="0" fillId="5" borderId="5" xfId="0" applyFill="1" applyBorder="1"/>
    <xf numFmtId="0" fontId="0" fillId="2" borderId="5" xfId="0" applyFill="1" applyBorder="1"/>
    <xf numFmtId="0" fontId="0" fillId="7" borderId="5" xfId="0" applyFill="1" applyBorder="1"/>
    <xf numFmtId="0" fontId="0" fillId="7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0" borderId="15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44" fontId="0" fillId="0" borderId="0" xfId="1" applyFont="1" applyBorder="1"/>
    <xf numFmtId="0" fontId="0" fillId="10" borderId="0" xfId="0" applyFill="1" applyBorder="1"/>
    <xf numFmtId="0" fontId="0" fillId="0" borderId="0" xfId="0" quotePrefix="1"/>
    <xf numFmtId="10" fontId="0" fillId="0" borderId="0" xfId="2" applyNumberFormat="1" applyFont="1"/>
    <xf numFmtId="44" fontId="0" fillId="0" borderId="0" xfId="1" applyFont="1" applyFill="1" applyBorder="1"/>
    <xf numFmtId="164" fontId="0" fillId="0" borderId="0" xfId="0" applyNumberFormat="1" applyBorder="1"/>
    <xf numFmtId="164" fontId="0" fillId="0" borderId="0" xfId="1" applyNumberFormat="1" applyFont="1" applyBorder="1"/>
    <xf numFmtId="164" fontId="0" fillId="0" borderId="0" xfId="0" applyNumberFormat="1" applyFill="1" applyBorder="1"/>
    <xf numFmtId="9" fontId="0" fillId="0" borderId="0" xfId="2" applyNumberFormat="1" applyFont="1"/>
    <xf numFmtId="0" fontId="6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10" borderId="1" xfId="0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0" fillId="10" borderId="6" xfId="0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0" fillId="8" borderId="4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0" fontId="0" fillId="8" borderId="6" xfId="0" applyFill="1" applyBorder="1" applyAlignment="1">
      <alignment horizontal="left" wrapText="1"/>
    </xf>
    <xf numFmtId="0" fontId="0" fillId="8" borderId="7" xfId="0" applyFill="1" applyBorder="1" applyAlignment="1">
      <alignment horizontal="left" wrapText="1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Comparing MOF</a:t>
            </a:r>
            <a:r>
              <a:rPr lang="en-CA" baseline="0"/>
              <a:t> synthesis method influence in total production cost (in $USD)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'MOF Vehicle production graphs'!$H$3</c:f>
              <c:strCache>
                <c:ptCount val="1"/>
                <c:pt idx="0">
                  <c:v> MOF material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'MOF Vehicle production graphs'!$I$2:$J$2</c:f>
              <c:strCache>
                <c:ptCount val="2"/>
                <c:pt idx="0">
                  <c:v> Liquid assisted grinding (LAG) </c:v>
                </c:pt>
                <c:pt idx="1">
                  <c:v> Solvothermal </c:v>
                </c:pt>
              </c:strCache>
            </c:strRef>
          </c:cat>
          <c:val>
            <c:numRef>
              <c:f>'MOF Vehicle production graphs'!$I$3:$J$3</c:f>
              <c:numCache>
                <c:formatCode>_("$"* #,##0_);_("$"* \(#,##0\);_("$"* "-"??_);_(@_)</c:formatCode>
                <c:ptCount val="2"/>
                <c:pt idx="0">
                  <c:v>2718.2262085740344</c:v>
                </c:pt>
                <c:pt idx="1">
                  <c:v>11170.995927924259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4-47B0-80E7-E30B701666A2}"/>
            </c:ext>
          </c:extLst>
        </c:ser>
        <c:ser>
          <c:idx val="1"/>
          <c:order val="1"/>
          <c:tx>
            <c:strRef>
              <c:f>'MOF Vehicle production graphs'!$H$4</c:f>
              <c:strCache>
                <c:ptCount val="1"/>
                <c:pt idx="0">
                  <c:v> MOF storage unit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'MOF Vehicle production graphs'!$I$2:$J$2</c:f>
              <c:strCache>
                <c:ptCount val="2"/>
                <c:pt idx="0">
                  <c:v> Liquid assisted grinding (LAG) </c:v>
                </c:pt>
                <c:pt idx="1">
                  <c:v> Solvothermal </c:v>
                </c:pt>
              </c:strCache>
            </c:strRef>
          </c:cat>
          <c:val>
            <c:numRef>
              <c:f>'MOF Vehicle production graphs'!$I$4:$J$4</c:f>
              <c:numCache>
                <c:formatCode>_("$"* #,##0_);_("$"* \(#,##0\);_("$"* "-"??_);_(@_)</c:formatCode>
                <c:ptCount val="2"/>
                <c:pt idx="0">
                  <c:v>2298.29</c:v>
                </c:pt>
                <c:pt idx="1">
                  <c:v>2298.29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4-47B0-80E7-E30B701666A2}"/>
            </c:ext>
          </c:extLst>
        </c:ser>
        <c:ser>
          <c:idx val="2"/>
          <c:order val="2"/>
          <c:tx>
            <c:strRef>
              <c:f>'MOF Vehicle production graphs'!$H$5</c:f>
              <c:strCache>
                <c:ptCount val="1"/>
                <c:pt idx="0">
                  <c:v> PEM Fuel cell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'MOF Vehicle production graphs'!$I$2:$J$2</c:f>
              <c:strCache>
                <c:ptCount val="2"/>
                <c:pt idx="0">
                  <c:v> Liquid assisted grinding (LAG) </c:v>
                </c:pt>
                <c:pt idx="1">
                  <c:v> Solvothermal </c:v>
                </c:pt>
              </c:strCache>
            </c:strRef>
          </c:cat>
          <c:val>
            <c:numRef>
              <c:f>'MOF Vehicle production graphs'!$I$5:$J$5</c:f>
              <c:numCache>
                <c:formatCode>_("$"* #,##0_);_("$"* \(#,##0\);_("$"* "-"??_);_(@_)</c:formatCode>
                <c:ptCount val="2"/>
                <c:pt idx="0">
                  <c:v>3600</c:v>
                </c:pt>
                <c:pt idx="1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04-47B0-80E7-E30B701666A2}"/>
            </c:ext>
          </c:extLst>
        </c:ser>
        <c:ser>
          <c:idx val="3"/>
          <c:order val="3"/>
          <c:tx>
            <c:strRef>
              <c:f>'MOF Vehicle production graphs'!$H$6</c:f>
              <c:strCache>
                <c:ptCount val="1"/>
                <c:pt idx="0">
                  <c:v> Other car components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'MOF Vehicle production graphs'!$I$2:$J$2</c:f>
              <c:strCache>
                <c:ptCount val="2"/>
                <c:pt idx="0">
                  <c:v> Liquid assisted grinding (LAG) </c:v>
                </c:pt>
                <c:pt idx="1">
                  <c:v> Solvothermal </c:v>
                </c:pt>
              </c:strCache>
            </c:strRef>
          </c:cat>
          <c:val>
            <c:numRef>
              <c:f>'MOF Vehicle production graphs'!$I$6:$J$6</c:f>
              <c:numCache>
                <c:formatCode>_("$"* #,##0_);_("$"* \(#,##0\);_("$"* "-"??_);_(@_)</c:formatCode>
                <c:ptCount val="2"/>
                <c:pt idx="0">
                  <c:v>17600</c:v>
                </c:pt>
                <c:pt idx="1">
                  <c:v>17600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04-47B0-80E7-E30B701666A2}"/>
            </c:ext>
          </c:extLst>
        </c:ser>
        <c:ser>
          <c:idx val="4"/>
          <c:order val="4"/>
          <c:tx>
            <c:strRef>
              <c:f>'MOF Vehicle production graphs'!$H$7</c:f>
              <c:strCache>
                <c:ptCount val="1"/>
                <c:pt idx="0">
                  <c:v> Power supply produciton (17 % mark-up)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'MOF Vehicle production graphs'!$I$2:$J$2</c:f>
              <c:strCache>
                <c:ptCount val="2"/>
                <c:pt idx="0">
                  <c:v> Liquid assisted grinding (LAG) </c:v>
                </c:pt>
                <c:pt idx="1">
                  <c:v> Solvothermal </c:v>
                </c:pt>
              </c:strCache>
            </c:strRef>
          </c:cat>
          <c:val>
            <c:numRef>
              <c:f>'MOF Vehicle production graphs'!$I$7:$J$7</c:f>
              <c:numCache>
                <c:formatCode>_("$"* #,##0_);_("$"* \(#,##0\);_("$"* "-"??_);_(@_)</c:formatCode>
                <c:ptCount val="2"/>
                <c:pt idx="0">
                  <c:v>1446.874455457586</c:v>
                </c:pt>
                <c:pt idx="1">
                  <c:v>2883.8453077471245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04-47B0-80E7-E30B701666A2}"/>
            </c:ext>
          </c:extLst>
        </c:ser>
        <c:ser>
          <c:idx val="5"/>
          <c:order val="5"/>
          <c:tx>
            <c:strRef>
              <c:f>'MOF Vehicle production graphs'!$H$8</c:f>
              <c:strCache>
                <c:ptCount val="1"/>
                <c:pt idx="0">
                  <c:v> Marketing/warranty/profit (29% mark-up)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'MOF Vehicle production graphs'!$I$2:$J$2</c:f>
              <c:strCache>
                <c:ptCount val="2"/>
                <c:pt idx="0">
                  <c:v> Liquid assisted grinding (LAG) </c:v>
                </c:pt>
                <c:pt idx="1">
                  <c:v> Solvothermal </c:v>
                </c:pt>
              </c:strCache>
            </c:strRef>
          </c:cat>
          <c:val>
            <c:numRef>
              <c:f>'MOF Vehicle production graphs'!$I$8:$J$8</c:f>
              <c:numCache>
                <c:formatCode>_("$"* #,##0_);_("$"* \(#,##0\);_("$"* "-"??_);_(@_)</c:formatCode>
                <c:ptCount val="2"/>
                <c:pt idx="0">
                  <c:v>7991.7911925691697</c:v>
                </c:pt>
                <c:pt idx="1">
                  <c:v>10859.815958344701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04-47B0-80E7-E30B70166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093328"/>
        <c:axId val="455889872"/>
      </c:barChart>
      <c:catAx>
        <c:axId val="79409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889872"/>
        <c:crosses val="autoZero"/>
        <c:auto val="1"/>
        <c:lblAlgn val="ctr"/>
        <c:lblOffset val="100"/>
        <c:noMultiLvlLbl val="0"/>
      </c:catAx>
      <c:valAx>
        <c:axId val="455889872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09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Total  Production cost of different vehicle technologies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'MOF Vehicle production graphs'!$I$12</c:f>
              <c:strCache>
                <c:ptCount val="1"/>
                <c:pt idx="0">
                  <c:v> Total Vehicle Production cost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$35,709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F7-44E4-A84A-2E0CD5614A6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$48,467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FF7-44E4-A84A-2E0CD5614A6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$52,140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FF7-44E4-A84A-2E0CD5614A6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$32,107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FF7-44E4-A84A-2E0CD5614A68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'MOF Vehicle production graphs'!$H$13:$H$16</c:f>
              <c:strCache>
                <c:ptCount val="4"/>
                <c:pt idx="0">
                  <c:v> MOF (LAG) FCEV </c:v>
                </c:pt>
                <c:pt idx="1">
                  <c:v> MOF (Solvothermal) FCEV </c:v>
                </c:pt>
                <c:pt idx="2">
                  <c:v> Li ion BEV </c:v>
                </c:pt>
                <c:pt idx="3">
                  <c:v> Compressed H2 (700bar) FCEV </c:v>
                </c:pt>
              </c:strCache>
            </c:strRef>
          </c:cat>
          <c:val>
            <c:numRef>
              <c:f>'MOF Vehicle production graphs'!$I$13:$I$16</c:f>
              <c:numCache>
                <c:formatCode>_("$"* #,##0_);_("$"* \(#,##0\);_("$"* "-"??_);_(@_)</c:formatCode>
                <c:ptCount val="4"/>
                <c:pt idx="0">
                  <c:v>35708.907913600786</c:v>
                </c:pt>
                <c:pt idx="1">
                  <c:v>48466.67325101608</c:v>
                </c:pt>
                <c:pt idx="2">
                  <c:v>52139.80799999999</c:v>
                </c:pt>
                <c:pt idx="3">
                  <c:v>32107.271046000002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9-4E00-80E4-92AD415418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00570960"/>
        <c:axId val="610488080"/>
      </c:barChart>
      <c:catAx>
        <c:axId val="80057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88080"/>
        <c:crosses val="autoZero"/>
        <c:auto val="1"/>
        <c:lblAlgn val="ctr"/>
        <c:lblOffset val="100"/>
        <c:noMultiLvlLbl val="0"/>
      </c:catAx>
      <c:valAx>
        <c:axId val="6104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57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Comapring the total cost of production (in $USD) of FCEV</a:t>
            </a:r>
            <a:r>
              <a:rPr lang="en-CA" baseline="0"/>
              <a:t> with MOF H2 storage to compressed hydrogen storage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'MOF Vehicle production graphs'!$H$20</c:f>
              <c:strCache>
                <c:ptCount val="1"/>
                <c:pt idx="0">
                  <c:v> MOF material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'MOF Vehicle production graphs'!$I$19:$K$19</c:f>
              <c:strCache>
                <c:ptCount val="3"/>
                <c:pt idx="0">
                  <c:v> Compressed H2 (700bar) </c:v>
                </c:pt>
                <c:pt idx="1">
                  <c:v> MOF (LAG synthesis) </c:v>
                </c:pt>
                <c:pt idx="2">
                  <c:v> MOF (Solvothermal synthesis) </c:v>
                </c:pt>
              </c:strCache>
            </c:strRef>
          </c:cat>
          <c:val>
            <c:numRef>
              <c:f>'MOF Vehicle production graphs'!$I$20:$K$20</c:f>
              <c:numCache>
                <c:formatCode>_("$"* #,##0_);_("$"* \(#,##0\);_("$"* "-"??_);_(@_)</c:formatCode>
                <c:ptCount val="3"/>
                <c:pt idx="1">
                  <c:v>2718.2262085740344</c:v>
                </c:pt>
                <c:pt idx="2">
                  <c:v>11170.995927924259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4-4B23-8C36-13B4367DF03F}"/>
            </c:ext>
          </c:extLst>
        </c:ser>
        <c:ser>
          <c:idx val="1"/>
          <c:order val="1"/>
          <c:tx>
            <c:strRef>
              <c:f>'MOF Vehicle production graphs'!$H$21</c:f>
              <c:strCache>
                <c:ptCount val="1"/>
                <c:pt idx="0">
                  <c:v> storage unit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'MOF Vehicle production graphs'!$I$19:$K$19</c:f>
              <c:strCache>
                <c:ptCount val="3"/>
                <c:pt idx="0">
                  <c:v> Compressed H2 (700bar) </c:v>
                </c:pt>
                <c:pt idx="1">
                  <c:v> MOF (LAG synthesis) </c:v>
                </c:pt>
                <c:pt idx="2">
                  <c:v> MOF (Solvothermal synthesis) </c:v>
                </c:pt>
              </c:strCache>
            </c:strRef>
          </c:cat>
          <c:val>
            <c:numRef>
              <c:f>'MOF Vehicle production graphs'!$I$21:$K$21</c:f>
              <c:numCache>
                <c:formatCode>_("$"* #,##0_);_("$"* \(#,##0\);_("$"* "-"??_);_(@_)</c:formatCode>
                <c:ptCount val="3"/>
                <c:pt idx="0">
                  <c:v>2630.22</c:v>
                </c:pt>
                <c:pt idx="1">
                  <c:v>2192.8000000000002</c:v>
                </c:pt>
                <c:pt idx="2">
                  <c:v>2192.8000000000002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4-4B23-8C36-13B4367DF03F}"/>
            </c:ext>
          </c:extLst>
        </c:ser>
        <c:ser>
          <c:idx val="2"/>
          <c:order val="2"/>
          <c:tx>
            <c:strRef>
              <c:f>'MOF Vehicle production graphs'!$H$22</c:f>
              <c:strCache>
                <c:ptCount val="1"/>
                <c:pt idx="0">
                  <c:v> PEM Fuel cell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'MOF Vehicle production graphs'!$I$19:$K$19</c:f>
              <c:strCache>
                <c:ptCount val="3"/>
                <c:pt idx="0">
                  <c:v> Compressed H2 (700bar) </c:v>
                </c:pt>
                <c:pt idx="1">
                  <c:v> MOF (LAG synthesis) </c:v>
                </c:pt>
                <c:pt idx="2">
                  <c:v> MOF (Solvothermal synthesis) </c:v>
                </c:pt>
              </c:strCache>
            </c:strRef>
          </c:cat>
          <c:val>
            <c:numRef>
              <c:f>'MOF Vehicle production graphs'!$I$22:$K$22</c:f>
              <c:numCache>
                <c:formatCode>_("$"* #,##0_);_("$"* \(#,##0\);_("$"* "-"??_);_(@_)</c:formatCode>
                <c:ptCount val="3"/>
                <c:pt idx="0">
                  <c:v>3600</c:v>
                </c:pt>
                <c:pt idx="1">
                  <c:v>3600</c:v>
                </c:pt>
                <c:pt idx="2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74-4B23-8C36-13B4367DF03F}"/>
            </c:ext>
          </c:extLst>
        </c:ser>
        <c:ser>
          <c:idx val="3"/>
          <c:order val="3"/>
          <c:tx>
            <c:strRef>
              <c:f>'MOF Vehicle production graphs'!$H$23</c:f>
              <c:strCache>
                <c:ptCount val="1"/>
                <c:pt idx="0">
                  <c:v> Other car components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'MOF Vehicle production graphs'!$I$19:$K$19</c:f>
              <c:strCache>
                <c:ptCount val="3"/>
                <c:pt idx="0">
                  <c:v> Compressed H2 (700bar) </c:v>
                </c:pt>
                <c:pt idx="1">
                  <c:v> MOF (LAG synthesis) </c:v>
                </c:pt>
                <c:pt idx="2">
                  <c:v> MOF (Solvothermal synthesis) </c:v>
                </c:pt>
              </c:strCache>
            </c:strRef>
          </c:cat>
          <c:val>
            <c:numRef>
              <c:f>'MOF Vehicle production graphs'!$I$23:$K$23</c:f>
              <c:numCache>
                <c:formatCode>_("$"* #,##0_);_("$"* \(#,##0\);_("$"* "-"??_);_(@_)</c:formatCode>
                <c:ptCount val="3"/>
                <c:pt idx="0">
                  <c:v>17600</c:v>
                </c:pt>
                <c:pt idx="1">
                  <c:v>17600</c:v>
                </c:pt>
                <c:pt idx="2">
                  <c:v>17600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74-4B23-8C36-13B4367DF03F}"/>
            </c:ext>
          </c:extLst>
        </c:ser>
        <c:ser>
          <c:idx val="4"/>
          <c:order val="4"/>
          <c:tx>
            <c:strRef>
              <c:f>'MOF Vehicle production graphs'!$H$24</c:f>
              <c:strCache>
                <c:ptCount val="1"/>
                <c:pt idx="0">
                  <c:v> "Engine" produciton (17 % mark-up)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'MOF Vehicle production graphs'!$I$19:$K$19</c:f>
              <c:strCache>
                <c:ptCount val="3"/>
                <c:pt idx="0">
                  <c:v> Compressed H2 (700bar) </c:v>
                </c:pt>
                <c:pt idx="1">
                  <c:v> MOF (LAG synthesis) </c:v>
                </c:pt>
                <c:pt idx="2">
                  <c:v> MOF (Solvothermal synthesis) </c:v>
                </c:pt>
              </c:strCache>
            </c:strRef>
          </c:cat>
          <c:val>
            <c:numRef>
              <c:f>'MOF Vehicle production graphs'!$I$24:$K$24</c:f>
              <c:numCache>
                <c:formatCode>_("$"* #,##0_);_("$"* \(#,##0\);_("$"* "-"??_);_(@_)</c:formatCode>
                <c:ptCount val="3"/>
                <c:pt idx="0">
                  <c:v>1059.1374000000001</c:v>
                </c:pt>
                <c:pt idx="1">
                  <c:v>1446.874455457586</c:v>
                </c:pt>
                <c:pt idx="2">
                  <c:v>2883.8453077471245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74-4B23-8C36-13B4367DF03F}"/>
            </c:ext>
          </c:extLst>
        </c:ser>
        <c:ser>
          <c:idx val="5"/>
          <c:order val="5"/>
          <c:tx>
            <c:strRef>
              <c:f>'MOF Vehicle production graphs'!$H$25</c:f>
              <c:strCache>
                <c:ptCount val="1"/>
                <c:pt idx="0">
                  <c:v> Marketing/warranty/profit (29% mark-up)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'MOF Vehicle production graphs'!$I$19:$K$19</c:f>
              <c:strCache>
                <c:ptCount val="3"/>
                <c:pt idx="0">
                  <c:v> Compressed H2 (700bar) </c:v>
                </c:pt>
                <c:pt idx="1">
                  <c:v> MOF (LAG synthesis) </c:v>
                </c:pt>
                <c:pt idx="2">
                  <c:v> MOF (Solvothermal synthesis) </c:v>
                </c:pt>
              </c:strCache>
            </c:strRef>
          </c:cat>
          <c:val>
            <c:numRef>
              <c:f>'MOF Vehicle production graphs'!$I$25:$K$25</c:f>
              <c:numCache>
                <c:formatCode>_("$"* #,##0_);_("$"* \(#,##0\);_("$"* "-"??_);_(@_)</c:formatCode>
                <c:ptCount val="3"/>
                <c:pt idx="0">
                  <c:v>7217.913646</c:v>
                </c:pt>
                <c:pt idx="1">
                  <c:v>7991.7911925691697</c:v>
                </c:pt>
                <c:pt idx="2">
                  <c:v>10859.815958344701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74-4B23-8C36-13B4367DF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2689152"/>
        <c:axId val="420363312"/>
      </c:barChart>
      <c:catAx>
        <c:axId val="80268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63312"/>
        <c:crosses val="autoZero"/>
        <c:auto val="1"/>
        <c:lblAlgn val="ctr"/>
        <c:lblOffset val="100"/>
        <c:noMultiLvlLbl val="0"/>
      </c:catAx>
      <c:valAx>
        <c:axId val="420363312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8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'LCA graphs &amp; tables'!$R$7</c:f>
              <c:strCache>
                <c:ptCount val="1"/>
                <c:pt idx="0">
                  <c:v>Total production embodied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graphs &amp; tables'!$S$1:$V$1</c:f>
              <c:strCache>
                <c:ptCount val="4"/>
                <c:pt idx="0">
                  <c:v>Exergy Embodied Energy MOF case 3</c:v>
                </c:pt>
                <c:pt idx="1">
                  <c:v>Literature Embodied energy MOF case 3</c:v>
                </c:pt>
                <c:pt idx="2">
                  <c:v>Compressed H2 tank (700 bar) case 3</c:v>
                </c:pt>
                <c:pt idx="3">
                  <c:v>LCO BEV Battery pack</c:v>
                </c:pt>
              </c:strCache>
            </c:strRef>
          </c:cat>
          <c:val>
            <c:numRef>
              <c:f>'LCA graphs &amp; tables'!$S$7:$V$7</c:f>
              <c:numCache>
                <c:formatCode>General</c:formatCode>
                <c:ptCount val="4"/>
                <c:pt idx="0">
                  <c:v>3516.9281294692701</c:v>
                </c:pt>
                <c:pt idx="1">
                  <c:v>85.132190556589748</c:v>
                </c:pt>
                <c:pt idx="2">
                  <c:v>59.536199999999994</c:v>
                </c:pt>
                <c:pt idx="3">
                  <c:v>259.35638399999999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6-492A-B40A-D52444DF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0693887"/>
        <c:axId val="1651133567"/>
      </c:barChart>
      <c:catAx>
        <c:axId val="124069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133567"/>
        <c:crosses val="autoZero"/>
        <c:auto val="1"/>
        <c:lblAlgn val="ctr"/>
        <c:lblOffset val="100"/>
        <c:noMultiLvlLbl val="0"/>
      </c:catAx>
      <c:valAx>
        <c:axId val="16511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9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'LCA graphs &amp; tables'!$AE$3</c:f>
              <c:strCache>
                <c:ptCount val="1"/>
                <c:pt idx="0">
                  <c:v>MOF FC Power supply (case 3)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40-4E6D-A6F1-AAE9558C92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40-4E6D-A6F1-AAE9558C929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70%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40-4E6D-A6F1-AAE9558C929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30%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140-4E6D-A6F1-AAE9558C92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'LCA graphs &amp; tables'!$AD$6:$AD$7</c:f>
              <c:strCache>
                <c:ptCount val="2"/>
                <c:pt idx="0">
                  <c:v>Percentage of the total Embodied energy from the FCEV Power supply (no MOF)</c:v>
                </c:pt>
                <c:pt idx="1">
                  <c:v>Percentage of the total Embodied energy from MOF production</c:v>
                </c:pt>
              </c:strCache>
            </c:strRef>
          </c:cat>
          <c:val>
            <c:numRef>
              <c:f>'LCA graphs &amp; tables'!$AE$6:$AE$7</c:f>
              <c:numCache>
                <c:formatCode>0.00%</c:formatCode>
                <c:ptCount val="2"/>
                <c:pt idx="0">
                  <c:v>0.69930360784533774</c:v>
                </c:pt>
                <c:pt idx="1">
                  <c:v>0.30069639215466226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0-4AF8-BF5D-A1BC91CCC5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'LCA graphs &amp; tables'!$AF$3</c:f>
              <c:strCache>
                <c:ptCount val="1"/>
                <c:pt idx="0">
                  <c:v>LCO BEV Power supply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C90-4A27-A800-4D42240844A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C90-4A27-A800-4D42240844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'LCA graphs &amp; tables'!$AD$4:$AD$5</c:f>
              <c:strCache>
                <c:ptCount val="2"/>
                <c:pt idx="0">
                  <c:v>Percentage of the total Embodied energy of LCO BEV (no LCO)</c:v>
                </c:pt>
                <c:pt idx="1">
                  <c:v>Percentage of the total Embodied energy for the produciton of LCO</c:v>
                </c:pt>
              </c:strCache>
            </c:strRef>
          </c:cat>
          <c:val>
            <c:numRef>
              <c:f>'LCA graphs &amp; tables'!$AF$4:$AF$5</c:f>
              <c:numCache>
                <c:formatCode>0.00%</c:formatCode>
                <c:ptCount val="2"/>
                <c:pt idx="0">
                  <c:v>0.90129412044856372</c:v>
                </c:pt>
                <c:pt idx="1">
                  <c:v>9.8705879551436074E-2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D-4891-908D-3B1E1E65C27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production embodied energy (GJ) of different</a:t>
            </a:r>
            <a:r>
              <a:rPr lang="en-CA" baseline="0"/>
              <a:t> power supplies for electric vehicle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'LCA graphs &amp; tables'!$R$7</c:f>
              <c:strCache>
                <c:ptCount val="1"/>
                <c:pt idx="0">
                  <c:v>Total production embodied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85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9F-41EB-9331-6DDB2D45C29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9F-41EB-9331-6DDB2D45C29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259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9F-41EB-9331-6DDB2D45C2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'LCA graphs &amp; tables'!$T$1:$V$1</c:f>
              <c:strCache>
                <c:ptCount val="3"/>
                <c:pt idx="0">
                  <c:v>Literature Embodied energy MOF case 3</c:v>
                </c:pt>
                <c:pt idx="1">
                  <c:v>Compressed H2 tank (700 bar) case 3</c:v>
                </c:pt>
                <c:pt idx="2">
                  <c:v>LCO BEV Battery pack</c:v>
                </c:pt>
              </c:strCache>
            </c:strRef>
          </c:cat>
          <c:val>
            <c:numRef>
              <c:f>'LCA graphs &amp; tables'!$T$7:$V$7</c:f>
              <c:numCache>
                <c:formatCode>General</c:formatCode>
                <c:ptCount val="3"/>
                <c:pt idx="0">
                  <c:v>85.132190556589748</c:v>
                </c:pt>
                <c:pt idx="1">
                  <c:v>59.536199999999994</c:v>
                </c:pt>
                <c:pt idx="2">
                  <c:v>259.35638399999999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7-457F-8218-C3569DAA244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40693887"/>
        <c:axId val="1651133567"/>
      </c:barChart>
      <c:catAx>
        <c:axId val="124069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133567"/>
        <c:crosses val="autoZero"/>
        <c:auto val="1"/>
        <c:lblAlgn val="ctr"/>
        <c:lblOffset val="100"/>
        <c:noMultiLvlLbl val="0"/>
      </c:catAx>
      <c:valAx>
        <c:axId val="16511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9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</xdr:row>
      <xdr:rowOff>26670</xdr:rowOff>
    </xdr:from>
    <xdr:to>
      <xdr:col>24</xdr:col>
      <xdr:colOff>266700</xdr:colOff>
      <xdr:row>18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136314-691E-47ED-853B-E263C32C9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182880</xdr:colOff>
      <xdr:row>12</xdr:row>
      <xdr:rowOff>80010</xdr:rowOff>
    </xdr:from>
    <xdr:to>
      <xdr:col>19</xdr:col>
      <xdr:colOff>266700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313F49-B107-4878-A01C-01DDE6434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358140</xdr:colOff>
      <xdr:row>25</xdr:row>
      <xdr:rowOff>87630</xdr:rowOff>
    </xdr:from>
    <xdr:to>
      <xdr:col>16</xdr:col>
      <xdr:colOff>289560</xdr:colOff>
      <xdr:row>43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1CD9DD7-2A8B-41D0-98B4-0B0ABCC0B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0.236</cdr:x>
      <cdr:y>0.25337</cdr:y>
    </cdr:from>
    <cdr:to>
      <cdr:x>0.402</cdr:x>
      <cdr:y>0.31946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62241A-6F10-4F62-BE26-824F392E266D}"/>
            </a:ext>
          </a:extLst>
        </cdr:cNvPr>
        <cdr:cNvSpPr txBox="1"/>
      </cdr:nvSpPr>
      <cdr:spPr>
        <a:xfrm xmlns:a="http://schemas.openxmlformats.org/drawingml/2006/main">
          <a:off x="1798320" y="788670"/>
          <a:ext cx="1264920" cy="20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/>
            <a:t>Total: $35,709</a:t>
          </a:r>
        </a:p>
      </cdr:txBody>
    </cdr:sp>
  </cdr:relSizeAnchor>
  <cdr:relSizeAnchor xmlns:cdr="http://schemas.openxmlformats.org/drawingml/2006/chartDrawing">
    <cdr:from>
      <cdr:x>0.67867</cdr:x>
      <cdr:y>0.09466</cdr:y>
    </cdr:from>
    <cdr:to>
      <cdr:x>0.84467</cdr:x>
      <cdr:y>0.16075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86B60FF-34CB-4655-8558-B85EDCEAA72C}"/>
            </a:ext>
          </a:extLst>
        </cdr:cNvPr>
        <cdr:cNvSpPr txBox="1"/>
      </cdr:nvSpPr>
      <cdr:spPr>
        <a:xfrm xmlns:a="http://schemas.openxmlformats.org/drawingml/2006/main">
          <a:off x="5171440" y="294640"/>
          <a:ext cx="1264920" cy="20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100"/>
            <a:t>Total: $48,467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0.46568</cdr:x>
      <cdr:y>0.3211</cdr:y>
    </cdr:from>
    <cdr:to>
      <cdr:x>0.61125</cdr:x>
      <cdr:y>0.38673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7842A2A-DF11-45A0-B0EA-346DBB3C20D1}"/>
            </a:ext>
          </a:extLst>
        </cdr:cNvPr>
        <cdr:cNvSpPr txBox="1"/>
      </cdr:nvSpPr>
      <cdr:spPr>
        <a:xfrm xmlns:a="http://schemas.openxmlformats.org/drawingml/2006/main">
          <a:off x="4066540" y="1033780"/>
          <a:ext cx="1271244" cy="211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100"/>
            <a:t>Total: $35,549.69</a:t>
          </a:r>
        </a:p>
      </cdr:txBody>
    </cdr:sp>
  </cdr:relSizeAnchor>
  <cdr:relSizeAnchor xmlns:cdr="http://schemas.openxmlformats.org/drawingml/2006/chartDrawing">
    <cdr:from>
      <cdr:x>0.16899</cdr:x>
      <cdr:y>0.36134</cdr:y>
    </cdr:from>
    <cdr:to>
      <cdr:x>0.31457</cdr:x>
      <cdr:y>0.42697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B5A683-F5C1-4DE2-B71B-BBC542270A24}"/>
            </a:ext>
          </a:extLst>
        </cdr:cNvPr>
        <cdr:cNvSpPr txBox="1"/>
      </cdr:nvSpPr>
      <cdr:spPr>
        <a:xfrm xmlns:a="http://schemas.openxmlformats.org/drawingml/2006/main">
          <a:off x="1475740" y="1163320"/>
          <a:ext cx="1271245" cy="211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100"/>
            <a:t>Total: $48,307.46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524436</xdr:colOff>
      <xdr:row>17</xdr:row>
      <xdr:rowOff>152401</xdr:rowOff>
    </xdr:from>
    <xdr:to>
      <xdr:col>37</xdr:col>
      <xdr:colOff>17930</xdr:colOff>
      <xdr:row>38</xdr:row>
      <xdr:rowOff>71718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DBF39-8C41-49D8-B324-560152791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392375</xdr:colOff>
      <xdr:row>24</xdr:row>
      <xdr:rowOff>143436</xdr:rowOff>
    </xdr:from>
    <xdr:to>
      <xdr:col>22</xdr:col>
      <xdr:colOff>13446</xdr:colOff>
      <xdr:row>56</xdr:row>
      <xdr:rowOff>170678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955A74B3-0686-42C1-B321-A27A82ED711E}"/>
            </a:ext>
          </a:extLst>
        </xdr:cNvPr>
        <xdr:cNvGrpSpPr/>
      </xdr:nvGrpSpPr>
      <xdr:grpSpPr>
        <a:xfrm>
          <a:off x="2830775" y="4464424"/>
          <a:ext cx="10916600" cy="5773619"/>
          <a:chOff x="15094493" y="161240"/>
          <a:chExt cx="10916600" cy="5774128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63BF7576-9CE5-40A8-AFBC-DC446E704817}"/>
              </a:ext>
            </a:extLst>
          </xdr:cNvPr>
          <xdr:cNvGraphicFramePr/>
        </xdr:nvGraphicFramePr>
        <xdr:xfrm>
          <a:off x="21439093" y="16124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FD74A807-D136-4F30-A1E9-90675C19E547}"/>
              </a:ext>
            </a:extLst>
          </xdr:cNvPr>
          <xdr:cNvGraphicFramePr/>
        </xdr:nvGraphicFramePr>
        <xdr:xfrm>
          <a:off x="15094493" y="3192168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18</xdr:col>
      <xdr:colOff>430306</xdr:colOff>
      <xdr:row>2</xdr:row>
      <xdr:rowOff>143435</xdr:rowOff>
    </xdr:from>
    <xdr:to>
      <xdr:col>33</xdr:col>
      <xdr:colOff>434789</xdr:colOff>
      <xdr:row>23</xdr:row>
      <xdr:rowOff>44823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72C0747-F7F9-4329-9FFE-E4976B421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7FFF-7D0D-44B3-8034-AFEC3259D4D1}">
  <dimension ref="A1:AG53"/>
  <sheetViews>
    <sheetView topLeftCell="M1" zoomScaleNormal="100" workbookViewId="0">
      <selection activeCell="Y2" sqref="Y2:AF15"/>
    </sheetView>
  </sheetViews>
  <sheetFormatPr defaultRowHeight="14.4" x14ac:dyDescent="0.3"/>
  <cols>
    <col min="1" max="1" width="12.5546875" style="61" customWidth="1"/>
    <col min="2" max="3" width="8.88671875" style="2" customWidth="1"/>
    <col min="4" max="4" width="8.88671875" style="2"/>
    <col min="5" max="5" width="22.77734375" style="2" customWidth="1"/>
    <col min="6" max="7" width="8.88671875" style="2"/>
    <col min="8" max="8" width="10.21875" style="2" customWidth="1"/>
    <col min="9" max="9" width="12.109375" style="2" customWidth="1"/>
    <col min="10" max="10" width="8.88671875" style="2"/>
    <col min="11" max="12" width="11.44140625" style="2" customWidth="1"/>
    <col min="13" max="13" width="10.44140625" style="2" customWidth="1"/>
    <col min="14" max="14" width="8.88671875" style="2"/>
    <col min="15" max="16" width="12.21875" style="2" customWidth="1"/>
    <col min="17" max="17" width="12" style="2" customWidth="1"/>
    <col min="18" max="18" width="11.44140625" style="2" customWidth="1"/>
    <col min="19" max="19" width="9.88671875" style="2" customWidth="1"/>
    <col min="20" max="20" width="8.88671875" style="2"/>
    <col min="21" max="21" width="11.44140625" style="2" customWidth="1"/>
    <col min="22" max="22" width="10.88671875" style="2" customWidth="1"/>
    <col min="23" max="16384" width="8.88671875" style="2"/>
  </cols>
  <sheetData>
    <row r="1" spans="1:33" ht="15" thickBot="1" x14ac:dyDescent="0.35">
      <c r="A1" s="61" t="s">
        <v>87</v>
      </c>
      <c r="O1" s="2" t="s">
        <v>87</v>
      </c>
      <c r="P1" s="54" t="s">
        <v>122</v>
      </c>
      <c r="Q1" s="55"/>
      <c r="R1" s="55"/>
      <c r="S1" s="55"/>
      <c r="T1" s="55"/>
      <c r="U1" s="56"/>
    </row>
    <row r="2" spans="1:33" ht="15" thickBot="1" x14ac:dyDescent="0.35">
      <c r="B2" s="7" t="s">
        <v>88</v>
      </c>
      <c r="C2" s="8"/>
      <c r="D2" s="8"/>
      <c r="E2" s="8"/>
      <c r="F2" s="8"/>
      <c r="G2" s="8"/>
      <c r="H2" s="8"/>
      <c r="I2" s="8"/>
      <c r="J2" s="9"/>
      <c r="O2" s="61" t="s">
        <v>56</v>
      </c>
      <c r="P2" s="1" t="s">
        <v>121</v>
      </c>
      <c r="T2" s="2">
        <v>33.299999999999997</v>
      </c>
      <c r="U2" s="3" t="s">
        <v>5</v>
      </c>
      <c r="Y2" s="12"/>
    </row>
    <row r="3" spans="1:33" x14ac:dyDescent="0.3">
      <c r="B3" s="1"/>
      <c r="J3" s="3"/>
      <c r="P3" s="1" t="s">
        <v>23</v>
      </c>
      <c r="T3" s="2">
        <f>H30*T2</f>
        <v>186.47999999999996</v>
      </c>
      <c r="U3" s="3" t="s">
        <v>15</v>
      </c>
      <c r="Y3" s="12"/>
    </row>
    <row r="4" spans="1:33" x14ac:dyDescent="0.3">
      <c r="A4" s="61" t="s">
        <v>54</v>
      </c>
      <c r="B4" s="1" t="s">
        <v>0</v>
      </c>
      <c r="H4" s="2">
        <v>71.44</v>
      </c>
      <c r="I4" s="2" t="s">
        <v>1</v>
      </c>
      <c r="J4" s="3"/>
      <c r="O4" s="61" t="s">
        <v>80</v>
      </c>
      <c r="P4" s="1" t="s">
        <v>22</v>
      </c>
      <c r="T4" s="2">
        <v>0.6</v>
      </c>
      <c r="U4" s="3"/>
      <c r="Y4" s="12"/>
    </row>
    <row r="5" spans="1:33" ht="15" thickBot="1" x14ac:dyDescent="0.35">
      <c r="A5" s="61" t="s">
        <v>54</v>
      </c>
      <c r="B5" s="4" t="s">
        <v>2</v>
      </c>
      <c r="C5" s="5"/>
      <c r="D5" s="5"/>
      <c r="E5" s="5"/>
      <c r="F5" s="5"/>
      <c r="G5" s="5"/>
      <c r="H5" s="5">
        <v>17.940000000000001</v>
      </c>
      <c r="I5" s="5" t="s">
        <v>1</v>
      </c>
      <c r="J5" s="6"/>
      <c r="O5" s="61"/>
      <c r="P5" s="1" t="s">
        <v>24</v>
      </c>
      <c r="T5" s="2">
        <f>T3*T4</f>
        <v>111.88799999999998</v>
      </c>
      <c r="U5" s="3" t="s">
        <v>19</v>
      </c>
      <c r="Y5" s="12"/>
    </row>
    <row r="6" spans="1:33" ht="15" thickBot="1" x14ac:dyDescent="0.35">
      <c r="O6" s="61" t="s">
        <v>80</v>
      </c>
      <c r="P6" s="31" t="s">
        <v>267</v>
      </c>
      <c r="T6" s="2">
        <v>0.3</v>
      </c>
      <c r="U6" s="3" t="s">
        <v>52</v>
      </c>
      <c r="Y6" s="12"/>
    </row>
    <row r="7" spans="1:33" ht="15" thickBot="1" x14ac:dyDescent="0.35">
      <c r="B7" s="35" t="s">
        <v>89</v>
      </c>
      <c r="C7" s="8"/>
      <c r="D7" s="8"/>
      <c r="E7" s="8"/>
      <c r="F7" s="8"/>
      <c r="G7" s="8"/>
      <c r="H7" s="8"/>
      <c r="I7" s="8"/>
      <c r="J7" s="36"/>
      <c r="K7" s="8"/>
      <c r="L7" s="8"/>
      <c r="M7" s="37"/>
      <c r="O7" s="61"/>
      <c r="P7" s="31" t="s">
        <v>25</v>
      </c>
      <c r="T7" s="2">
        <f>T5/T6</f>
        <v>372.95999999999992</v>
      </c>
      <c r="U7" s="3" t="s">
        <v>26</v>
      </c>
      <c r="Y7" s="12"/>
    </row>
    <row r="8" spans="1:33" x14ac:dyDescent="0.3">
      <c r="B8" s="1"/>
      <c r="M8" s="3"/>
      <c r="O8" s="61" t="s">
        <v>79</v>
      </c>
      <c r="P8" s="1" t="s">
        <v>98</v>
      </c>
      <c r="T8" s="2">
        <v>80</v>
      </c>
      <c r="U8" s="3" t="s">
        <v>20</v>
      </c>
      <c r="Y8" s="12"/>
    </row>
    <row r="9" spans="1:33" x14ac:dyDescent="0.3">
      <c r="A9" s="61" t="s">
        <v>55</v>
      </c>
      <c r="B9" s="1" t="s">
        <v>0</v>
      </c>
      <c r="H9" s="2">
        <v>53.42</v>
      </c>
      <c r="I9" s="2" t="s">
        <v>1</v>
      </c>
      <c r="M9" s="3"/>
      <c r="O9" s="61" t="s">
        <v>56</v>
      </c>
      <c r="P9" s="31" t="s">
        <v>123</v>
      </c>
      <c r="U9" s="3"/>
      <c r="Y9" s="12"/>
    </row>
    <row r="10" spans="1:33" x14ac:dyDescent="0.3">
      <c r="A10" s="61" t="s">
        <v>55</v>
      </c>
      <c r="B10" s="1" t="s">
        <v>2</v>
      </c>
      <c r="H10" s="2">
        <v>9.8699999999999992</v>
      </c>
      <c r="I10" s="2" t="s">
        <v>1</v>
      </c>
      <c r="M10" s="3"/>
      <c r="O10" s="61" t="s">
        <v>56</v>
      </c>
      <c r="P10" s="31" t="s">
        <v>124</v>
      </c>
      <c r="U10" s="3"/>
      <c r="Y10" s="12"/>
    </row>
    <row r="11" spans="1:33" ht="15" thickBot="1" x14ac:dyDescent="0.35">
      <c r="B11" s="1"/>
      <c r="M11" s="3"/>
      <c r="P11" s="64" t="s">
        <v>125</v>
      </c>
      <c r="Q11" s="5"/>
      <c r="R11" s="5"/>
      <c r="S11" s="5"/>
      <c r="T11" s="5"/>
      <c r="U11" s="6"/>
      <c r="Y11" s="12"/>
    </row>
    <row r="12" spans="1:33" ht="15" thickBot="1" x14ac:dyDescent="0.35">
      <c r="B12" s="11" t="s">
        <v>3</v>
      </c>
      <c r="H12" s="2">
        <f>H9/H4</f>
        <v>0.74776035834266519</v>
      </c>
      <c r="M12" s="3"/>
      <c r="Y12" s="12"/>
    </row>
    <row r="13" spans="1:33" ht="15" thickBot="1" x14ac:dyDescent="0.35">
      <c r="B13" s="4" t="s">
        <v>90</v>
      </c>
      <c r="C13" s="5"/>
      <c r="D13" s="5"/>
      <c r="E13" s="5"/>
      <c r="F13" s="5"/>
      <c r="G13" s="5"/>
      <c r="H13" s="5">
        <f>H10/H5</f>
        <v>0.55016722408026753</v>
      </c>
      <c r="I13" s="5"/>
      <c r="J13" s="5"/>
      <c r="K13" s="5"/>
      <c r="L13" s="5"/>
      <c r="M13" s="6"/>
      <c r="P13" s="35" t="s">
        <v>111</v>
      </c>
      <c r="Q13" s="8"/>
      <c r="R13" s="8"/>
      <c r="S13" s="8"/>
      <c r="T13" s="8"/>
      <c r="U13" s="8"/>
      <c r="V13" s="8"/>
      <c r="W13" s="9"/>
      <c r="Y13" s="12"/>
    </row>
    <row r="14" spans="1:33" ht="16.2" customHeight="1" thickBot="1" x14ac:dyDescent="0.35">
      <c r="O14" s="61" t="s">
        <v>81</v>
      </c>
      <c r="P14" s="57" t="s">
        <v>104</v>
      </c>
      <c r="Q14" s="58"/>
      <c r="R14" s="58"/>
      <c r="S14" s="58"/>
      <c r="T14" s="58"/>
      <c r="U14" s="58"/>
      <c r="V14" s="58">
        <v>466</v>
      </c>
      <c r="W14" s="59" t="s">
        <v>84</v>
      </c>
      <c r="Y14" s="12"/>
    </row>
    <row r="15" spans="1:33" ht="15" thickBot="1" x14ac:dyDescent="0.35">
      <c r="B15" s="7" t="s">
        <v>91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O15" s="61"/>
      <c r="P15" s="1" t="s">
        <v>126</v>
      </c>
      <c r="V15" s="33">
        <f>V14*T5</f>
        <v>52139.80799999999</v>
      </c>
      <c r="W15" s="3" t="s">
        <v>83</v>
      </c>
      <c r="Y15" s="12"/>
    </row>
    <row r="16" spans="1:33" x14ac:dyDescent="0.3">
      <c r="B16" s="1"/>
      <c r="M16" s="3"/>
      <c r="O16" s="61" t="s">
        <v>82</v>
      </c>
      <c r="P16" s="1" t="s">
        <v>127</v>
      </c>
      <c r="U16" s="2">
        <v>340</v>
      </c>
      <c r="V16" s="2">
        <v>590</v>
      </c>
      <c r="W16" s="3" t="s">
        <v>84</v>
      </c>
      <c r="Y16" s="12"/>
      <c r="Z16" s="12"/>
      <c r="AA16" s="12"/>
      <c r="AB16" s="12"/>
      <c r="AC16" s="12"/>
      <c r="AD16" s="12"/>
      <c r="AE16" s="12"/>
      <c r="AF16" s="12"/>
      <c r="AG16" s="12"/>
    </row>
    <row r="17" spans="1:23" ht="15.6" customHeight="1" x14ac:dyDescent="0.3">
      <c r="A17" s="61" t="s">
        <v>54</v>
      </c>
      <c r="B17" s="1" t="s">
        <v>0</v>
      </c>
      <c r="F17" s="2">
        <v>58.69</v>
      </c>
      <c r="G17" s="2" t="s">
        <v>1</v>
      </c>
      <c r="M17" s="3"/>
      <c r="P17" s="1" t="s">
        <v>128</v>
      </c>
      <c r="V17" s="2">
        <f>AVERAGE(U16:V16)</f>
        <v>465</v>
      </c>
      <c r="W17" s="3" t="s">
        <v>84</v>
      </c>
    </row>
    <row r="18" spans="1:23" ht="15" thickBot="1" x14ac:dyDescent="0.35">
      <c r="A18" s="61" t="s">
        <v>54</v>
      </c>
      <c r="B18" s="1" t="s">
        <v>2</v>
      </c>
      <c r="F18" s="2">
        <v>19.41</v>
      </c>
      <c r="G18" s="2" t="s">
        <v>1</v>
      </c>
      <c r="M18" s="3"/>
      <c r="P18" s="4" t="s">
        <v>129</v>
      </c>
      <c r="Q18" s="5"/>
      <c r="R18" s="5"/>
      <c r="S18" s="5"/>
      <c r="T18" s="5"/>
      <c r="U18" s="5"/>
      <c r="V18" s="5">
        <f>T5*V17</f>
        <v>52027.919999999991</v>
      </c>
      <c r="W18" s="6" t="s">
        <v>83</v>
      </c>
    </row>
    <row r="19" spans="1:23" ht="15.6" customHeight="1" thickBot="1" x14ac:dyDescent="0.35">
      <c r="B19" s="1"/>
      <c r="M19" s="3"/>
    </row>
    <row r="20" spans="1:23" ht="15" thickBot="1" x14ac:dyDescent="0.35">
      <c r="B20" s="31" t="s">
        <v>92</v>
      </c>
      <c r="M20" s="3"/>
      <c r="P20" s="65" t="s">
        <v>114</v>
      </c>
      <c r="Q20" s="66"/>
      <c r="R20" s="66"/>
      <c r="S20" s="66"/>
      <c r="T20" s="66"/>
      <c r="U20" s="66"/>
      <c r="V20" s="66"/>
      <c r="W20" s="67"/>
    </row>
    <row r="21" spans="1:23" ht="15" customHeight="1" thickBot="1" x14ac:dyDescent="0.35">
      <c r="B21" s="40" t="s">
        <v>0</v>
      </c>
      <c r="C21" s="41"/>
      <c r="D21" s="41"/>
      <c r="E21" s="41"/>
      <c r="F21" s="42">
        <f>F17*H12</f>
        <v>43.88605543113102</v>
      </c>
      <c r="G21" s="43" t="s">
        <v>1</v>
      </c>
      <c r="M21" s="3"/>
      <c r="O21" s="61" t="s">
        <v>56</v>
      </c>
      <c r="P21" s="31" t="s">
        <v>119</v>
      </c>
      <c r="V21" s="2">
        <v>2630.22</v>
      </c>
      <c r="W21" s="63" t="s">
        <v>83</v>
      </c>
    </row>
    <row r="22" spans="1:23" ht="15" customHeight="1" thickBot="1" x14ac:dyDescent="0.35">
      <c r="B22" s="38" t="s">
        <v>2</v>
      </c>
      <c r="C22" s="19"/>
      <c r="D22" s="19"/>
      <c r="E22" s="19"/>
      <c r="F22" s="39">
        <f>F18*H13</f>
        <v>10.678745819397992</v>
      </c>
      <c r="G22" s="22" t="s">
        <v>1</v>
      </c>
      <c r="H22" s="5"/>
      <c r="I22" s="44" t="s">
        <v>93</v>
      </c>
      <c r="J22" s="45"/>
      <c r="K22" s="45"/>
      <c r="L22" s="45"/>
      <c r="M22" s="46"/>
      <c r="P22" s="31" t="s">
        <v>130</v>
      </c>
      <c r="V22" s="2">
        <f>H40</f>
        <v>3600</v>
      </c>
      <c r="W22" s="63" t="s">
        <v>83</v>
      </c>
    </row>
    <row r="23" spans="1:23" ht="15" customHeight="1" thickBot="1" x14ac:dyDescent="0.35">
      <c r="P23" s="31" t="s">
        <v>261</v>
      </c>
      <c r="V23" s="2">
        <f>V21+V22</f>
        <v>6230.2199999999993</v>
      </c>
      <c r="W23" s="63" t="s">
        <v>83</v>
      </c>
    </row>
    <row r="24" spans="1:23" ht="15" thickBot="1" x14ac:dyDescent="0.35">
      <c r="B24" s="51" t="s">
        <v>94</v>
      </c>
      <c r="C24" s="52"/>
      <c r="D24" s="52"/>
      <c r="E24" s="52"/>
      <c r="F24" s="52"/>
      <c r="G24" s="52"/>
      <c r="H24" s="52"/>
      <c r="I24" s="53"/>
      <c r="P24" s="31" t="s">
        <v>112</v>
      </c>
      <c r="V24" s="2">
        <f>V23+H45</f>
        <v>23830.22</v>
      </c>
      <c r="W24" s="63" t="s">
        <v>83</v>
      </c>
    </row>
    <row r="25" spans="1:23" ht="15" thickBot="1" x14ac:dyDescent="0.35">
      <c r="B25" s="1"/>
      <c r="I25" s="3"/>
      <c r="P25" s="68" t="s">
        <v>113</v>
      </c>
      <c r="Q25" s="69"/>
      <c r="R25" s="69"/>
      <c r="S25" s="69"/>
      <c r="T25" s="69"/>
      <c r="U25" s="69"/>
      <c r="V25" s="69">
        <f>((V23*H46)+H45)*H47</f>
        <v>32107.271046000002</v>
      </c>
      <c r="W25" s="70" t="s">
        <v>83</v>
      </c>
    </row>
    <row r="26" spans="1:23" x14ac:dyDescent="0.3">
      <c r="A26" s="61" t="s">
        <v>56</v>
      </c>
      <c r="B26" s="1" t="s">
        <v>4</v>
      </c>
      <c r="H26" s="2">
        <v>3051.65</v>
      </c>
      <c r="I26" s="3" t="s">
        <v>83</v>
      </c>
    </row>
    <row r="27" spans="1:23" x14ac:dyDescent="0.3">
      <c r="A27" s="61" t="s">
        <v>56</v>
      </c>
      <c r="B27" s="1" t="s">
        <v>95</v>
      </c>
      <c r="H27" s="2">
        <v>753.36</v>
      </c>
      <c r="I27" s="3" t="s">
        <v>83</v>
      </c>
    </row>
    <row r="28" spans="1:23" x14ac:dyDescent="0.3">
      <c r="B28" s="1" t="s">
        <v>96</v>
      </c>
      <c r="H28" s="2">
        <f>H26-H27</f>
        <v>2298.29</v>
      </c>
      <c r="I28" s="3" t="s">
        <v>83</v>
      </c>
      <c r="K28" s="74" t="s">
        <v>77</v>
      </c>
    </row>
    <row r="29" spans="1:23" x14ac:dyDescent="0.3">
      <c r="B29" s="1"/>
      <c r="I29" s="3"/>
      <c r="K29" s="75" t="s">
        <v>54</v>
      </c>
      <c r="L29" s="111" t="s">
        <v>106</v>
      </c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</row>
    <row r="30" spans="1:23" x14ac:dyDescent="0.3">
      <c r="A30" s="61" t="s">
        <v>56</v>
      </c>
      <c r="B30" s="1" t="s">
        <v>7</v>
      </c>
      <c r="H30" s="2">
        <v>5.6</v>
      </c>
      <c r="I30" s="3" t="s">
        <v>8</v>
      </c>
      <c r="K30" s="75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</row>
    <row r="31" spans="1:23" x14ac:dyDescent="0.3">
      <c r="A31" s="61" t="s">
        <v>78</v>
      </c>
      <c r="B31" s="1" t="s">
        <v>97</v>
      </c>
      <c r="H31" s="2">
        <v>2.1999999999999999E-2</v>
      </c>
      <c r="I31" s="3" t="s">
        <v>6</v>
      </c>
      <c r="K31" s="75"/>
    </row>
    <row r="32" spans="1:23" x14ac:dyDescent="0.3">
      <c r="B32" s="1" t="s">
        <v>9</v>
      </c>
      <c r="H32" s="2">
        <f>H30/H31</f>
        <v>254.54545454545453</v>
      </c>
      <c r="I32" s="3" t="s">
        <v>10</v>
      </c>
      <c r="K32" s="75" t="s">
        <v>55</v>
      </c>
      <c r="L32" s="112" t="s">
        <v>107</v>
      </c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</row>
    <row r="33" spans="1:23" x14ac:dyDescent="0.3">
      <c r="B33" s="1" t="s">
        <v>11</v>
      </c>
      <c r="H33" s="33">
        <f>H32*F22</f>
        <v>2718.2262085740344</v>
      </c>
      <c r="I33" s="3" t="s">
        <v>83</v>
      </c>
      <c r="K33" s="75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</row>
    <row r="34" spans="1:23" x14ac:dyDescent="0.3">
      <c r="B34" s="1" t="s">
        <v>12</v>
      </c>
      <c r="H34" s="33">
        <f>H32*F21</f>
        <v>11170.995927924259</v>
      </c>
      <c r="I34" s="3" t="s">
        <v>83</v>
      </c>
      <c r="K34" s="74"/>
      <c r="O34" s="10"/>
      <c r="R34" s="10"/>
    </row>
    <row r="35" spans="1:23" x14ac:dyDescent="0.3">
      <c r="B35" s="1"/>
      <c r="I35" s="3"/>
      <c r="K35" s="75" t="s">
        <v>56</v>
      </c>
      <c r="L35" s="110" t="s">
        <v>115</v>
      </c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</row>
    <row r="36" spans="1:23" x14ac:dyDescent="0.3">
      <c r="B36" s="1" t="s">
        <v>13</v>
      </c>
      <c r="H36" s="33">
        <f>H33+H28</f>
        <v>5016.516208574034</v>
      </c>
      <c r="I36" s="3" t="s">
        <v>83</v>
      </c>
      <c r="K36" s="74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</row>
    <row r="37" spans="1:23" x14ac:dyDescent="0.3">
      <c r="B37" s="1" t="s">
        <v>14</v>
      </c>
      <c r="H37" s="33">
        <f>H28+H34</f>
        <v>13469.285927924258</v>
      </c>
      <c r="I37" s="3" t="s">
        <v>83</v>
      </c>
      <c r="K37" s="74"/>
    </row>
    <row r="38" spans="1:23" x14ac:dyDescent="0.3">
      <c r="B38" s="1"/>
      <c r="I38" s="3"/>
      <c r="K38" s="75" t="s">
        <v>78</v>
      </c>
      <c r="L38" s="110" t="s">
        <v>116</v>
      </c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</row>
    <row r="39" spans="1:23" x14ac:dyDescent="0.3">
      <c r="A39" s="61" t="s">
        <v>79</v>
      </c>
      <c r="B39" s="1" t="s">
        <v>174</v>
      </c>
      <c r="H39" s="2">
        <v>45</v>
      </c>
      <c r="I39" s="3" t="s">
        <v>85</v>
      </c>
      <c r="K39" s="74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</row>
    <row r="40" spans="1:23" x14ac:dyDescent="0.3">
      <c r="B40" s="1" t="s">
        <v>175</v>
      </c>
      <c r="H40" s="2">
        <f>T8*H39</f>
        <v>3600</v>
      </c>
      <c r="I40" s="3" t="s">
        <v>83</v>
      </c>
      <c r="K40" s="74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</row>
    <row r="41" spans="1:23" x14ac:dyDescent="0.3">
      <c r="B41" s="1"/>
      <c r="I41" s="3"/>
      <c r="K41" s="74"/>
    </row>
    <row r="42" spans="1:23" ht="15.6" x14ac:dyDescent="0.3">
      <c r="B42" s="1" t="s">
        <v>258</v>
      </c>
      <c r="H42" s="33">
        <f>H40+H36</f>
        <v>8616.516208574034</v>
      </c>
      <c r="I42" s="3" t="s">
        <v>83</v>
      </c>
      <c r="K42" s="75" t="s">
        <v>79</v>
      </c>
      <c r="L42" s="72" t="s">
        <v>120</v>
      </c>
    </row>
    <row r="43" spans="1:23" x14ac:dyDescent="0.3">
      <c r="B43" s="1" t="s">
        <v>259</v>
      </c>
      <c r="H43" s="33">
        <f>H40+H37</f>
        <v>17069.285927924258</v>
      </c>
      <c r="I43" s="3" t="s">
        <v>83</v>
      </c>
      <c r="K43" s="74"/>
    </row>
    <row r="44" spans="1:23" x14ac:dyDescent="0.3">
      <c r="B44" s="1"/>
      <c r="I44" s="3"/>
      <c r="K44" s="75" t="s">
        <v>80</v>
      </c>
      <c r="L44" s="2" t="s">
        <v>266</v>
      </c>
    </row>
    <row r="45" spans="1:23" x14ac:dyDescent="0.3">
      <c r="A45" s="61" t="s">
        <v>79</v>
      </c>
      <c r="B45" s="1" t="s">
        <v>18</v>
      </c>
      <c r="H45" s="2">
        <v>17600</v>
      </c>
      <c r="I45" s="3" t="s">
        <v>83</v>
      </c>
    </row>
    <row r="46" spans="1:23" ht="15.6" customHeight="1" x14ac:dyDescent="0.3">
      <c r="A46" s="61" t="s">
        <v>79</v>
      </c>
      <c r="B46" s="1" t="s">
        <v>260</v>
      </c>
      <c r="H46" s="2">
        <v>1.17</v>
      </c>
      <c r="I46" s="3"/>
      <c r="K46" s="75" t="s">
        <v>81</v>
      </c>
      <c r="L46" s="110" t="s">
        <v>132</v>
      </c>
      <c r="M46" s="110"/>
      <c r="N46" s="110"/>
      <c r="O46" s="110"/>
      <c r="P46" s="110"/>
      <c r="Q46" s="110"/>
      <c r="R46" s="110"/>
      <c r="S46" s="110"/>
      <c r="T46" s="110"/>
      <c r="U46" s="110"/>
      <c r="V46" s="110"/>
    </row>
    <row r="47" spans="1:23" x14ac:dyDescent="0.3">
      <c r="A47" s="61" t="s">
        <v>79</v>
      </c>
      <c r="B47" s="1" t="s">
        <v>21</v>
      </c>
      <c r="H47" s="2">
        <v>1.29</v>
      </c>
      <c r="I47" s="47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</row>
    <row r="48" spans="1:23" x14ac:dyDescent="0.3">
      <c r="B48" s="1"/>
      <c r="I48" s="3"/>
    </row>
    <row r="49" spans="2:23" x14ac:dyDescent="0.3">
      <c r="B49" s="1" t="s">
        <v>99</v>
      </c>
      <c r="H49" s="33">
        <f>H42+H45</f>
        <v>26216.516208574034</v>
      </c>
      <c r="I49" s="3" t="s">
        <v>83</v>
      </c>
      <c r="J49" s="34"/>
      <c r="K49" s="75" t="s">
        <v>82</v>
      </c>
      <c r="L49" s="110" t="s">
        <v>131</v>
      </c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</row>
    <row r="50" spans="2:23" x14ac:dyDescent="0.3">
      <c r="B50" s="1" t="s">
        <v>100</v>
      </c>
      <c r="H50" s="33">
        <f>H43+H45</f>
        <v>34669.285927924255</v>
      </c>
      <c r="I50" s="3" t="s">
        <v>83</v>
      </c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</row>
    <row r="51" spans="2:23" ht="15.6" customHeight="1" thickBot="1" x14ac:dyDescent="0.35">
      <c r="B51" s="1"/>
      <c r="I51" s="3"/>
    </row>
    <row r="52" spans="2:23" x14ac:dyDescent="0.3">
      <c r="B52" s="54" t="s">
        <v>117</v>
      </c>
      <c r="C52" s="55"/>
      <c r="D52" s="55"/>
      <c r="E52" s="55"/>
      <c r="F52" s="55"/>
      <c r="G52" s="55"/>
      <c r="H52" s="55">
        <f>((H42*H46)+H45)*H47</f>
        <v>35708.907913600786</v>
      </c>
      <c r="I52" s="56" t="s">
        <v>83</v>
      </c>
    </row>
    <row r="53" spans="2:23" ht="15" thickBot="1" x14ac:dyDescent="0.35">
      <c r="B53" s="48" t="s">
        <v>118</v>
      </c>
      <c r="C53" s="49"/>
      <c r="D53" s="49"/>
      <c r="E53" s="49"/>
      <c r="F53" s="49"/>
      <c r="G53" s="49"/>
      <c r="H53" s="49">
        <f>((H43*H46)+H45)*H47</f>
        <v>48466.67325101608</v>
      </c>
      <c r="I53" s="50" t="s">
        <v>83</v>
      </c>
    </row>
  </sheetData>
  <mergeCells count="6">
    <mergeCell ref="L46:V47"/>
    <mergeCell ref="L49:W50"/>
    <mergeCell ref="L29:W30"/>
    <mergeCell ref="L32:W33"/>
    <mergeCell ref="L35:W36"/>
    <mergeCell ref="L38:W40"/>
  </mergeCells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87A2-8731-43C5-BAFF-683477EF7B15}">
  <dimension ref="A1:Q39"/>
  <sheetViews>
    <sheetView topLeftCell="A7" workbookViewId="0">
      <selection activeCell="U27" sqref="U27"/>
    </sheetView>
  </sheetViews>
  <sheetFormatPr defaultRowHeight="14.4" x14ac:dyDescent="0.3"/>
  <cols>
    <col min="1" max="4" width="8.88671875" style="2"/>
    <col min="5" max="5" width="14.33203125" style="2" customWidth="1"/>
    <col min="6" max="8" width="8.88671875" style="2"/>
    <col min="9" max="10" width="11.109375" style="2" bestFit="1" customWidth="1"/>
    <col min="11" max="11" width="11.77734375" style="2" customWidth="1"/>
    <col min="12" max="16384" width="8.88671875" style="2"/>
  </cols>
  <sheetData>
    <row r="1" spans="1:17" x14ac:dyDescent="0.3">
      <c r="A1" s="2" t="s">
        <v>182</v>
      </c>
      <c r="H1" s="2" t="s">
        <v>194</v>
      </c>
      <c r="N1" s="12"/>
      <c r="O1" s="12"/>
      <c r="P1" s="12"/>
      <c r="Q1" s="12"/>
    </row>
    <row r="2" spans="1:17" x14ac:dyDescent="0.3">
      <c r="A2" s="2" t="s">
        <v>11</v>
      </c>
      <c r="F2" s="2">
        <v>2718.2262085740344</v>
      </c>
      <c r="G2" s="2" t="s">
        <v>83</v>
      </c>
      <c r="H2" s="106" t="s">
        <v>192</v>
      </c>
      <c r="I2" s="106" t="s">
        <v>193</v>
      </c>
      <c r="J2" s="106" t="s">
        <v>183</v>
      </c>
      <c r="K2" s="106"/>
    </row>
    <row r="3" spans="1:17" x14ac:dyDescent="0.3">
      <c r="A3" s="2" t="s">
        <v>178</v>
      </c>
      <c r="F3" s="2">
        <v>2192.8000000000002</v>
      </c>
      <c r="G3" s="2" t="s">
        <v>83</v>
      </c>
      <c r="H3" s="106" t="s">
        <v>187</v>
      </c>
      <c r="I3" s="107">
        <v>2718.2262085740344</v>
      </c>
      <c r="J3" s="107">
        <v>11170.995927924259</v>
      </c>
      <c r="K3" s="106"/>
    </row>
    <row r="4" spans="1:17" x14ac:dyDescent="0.3">
      <c r="A4" s="2" t="s">
        <v>175</v>
      </c>
      <c r="F4" s="2">
        <v>3600</v>
      </c>
      <c r="G4" s="2" t="s">
        <v>83</v>
      </c>
      <c r="H4" s="106" t="s">
        <v>188</v>
      </c>
      <c r="I4" s="107">
        <v>2298.29</v>
      </c>
      <c r="J4" s="107">
        <v>2298.29</v>
      </c>
      <c r="K4" s="106"/>
    </row>
    <row r="5" spans="1:17" x14ac:dyDescent="0.3">
      <c r="A5" s="2" t="s">
        <v>16</v>
      </c>
      <c r="F5" s="2">
        <v>8511.0262085740342</v>
      </c>
      <c r="G5" s="2" t="s">
        <v>83</v>
      </c>
      <c r="H5" s="106" t="s">
        <v>189</v>
      </c>
      <c r="I5" s="107">
        <v>3600</v>
      </c>
      <c r="J5" s="107">
        <v>3600</v>
      </c>
      <c r="K5" s="106"/>
    </row>
    <row r="6" spans="1:17" x14ac:dyDescent="0.3">
      <c r="A6" s="2" t="s">
        <v>18</v>
      </c>
      <c r="F6" s="2">
        <v>17600</v>
      </c>
      <c r="G6" s="2" t="s">
        <v>83</v>
      </c>
      <c r="H6" s="108" t="s">
        <v>190</v>
      </c>
      <c r="I6" s="107">
        <v>17600</v>
      </c>
      <c r="J6" s="107">
        <v>17600</v>
      </c>
      <c r="K6" s="106"/>
    </row>
    <row r="7" spans="1:17" x14ac:dyDescent="0.3">
      <c r="A7" s="2" t="s">
        <v>86</v>
      </c>
      <c r="F7" s="2">
        <v>1.17</v>
      </c>
      <c r="H7" s="108" t="s">
        <v>269</v>
      </c>
      <c r="I7" s="107">
        <v>1446.874455457586</v>
      </c>
      <c r="J7" s="107">
        <v>2883.8453077471245</v>
      </c>
      <c r="K7" s="106"/>
    </row>
    <row r="8" spans="1:17" x14ac:dyDescent="0.3">
      <c r="A8" s="2" t="s">
        <v>176</v>
      </c>
      <c r="F8" s="2">
        <v>1446.874455457586</v>
      </c>
      <c r="G8" s="2" t="s">
        <v>83</v>
      </c>
      <c r="H8" s="108" t="s">
        <v>196</v>
      </c>
      <c r="I8" s="107">
        <v>7991.7911925691697</v>
      </c>
      <c r="J8" s="107">
        <v>10859.815958344701</v>
      </c>
      <c r="K8" s="106"/>
    </row>
    <row r="9" spans="1:17" x14ac:dyDescent="0.3">
      <c r="A9" s="2" t="s">
        <v>21</v>
      </c>
      <c r="F9" s="2">
        <v>1.29</v>
      </c>
      <c r="H9" s="108"/>
      <c r="I9" s="107"/>
      <c r="J9" s="107"/>
      <c r="K9" s="106"/>
    </row>
    <row r="10" spans="1:17" x14ac:dyDescent="0.3">
      <c r="A10" s="2" t="s">
        <v>176</v>
      </c>
      <c r="F10" s="2">
        <v>7991.7911925691697</v>
      </c>
      <c r="G10" s="2" t="s">
        <v>83</v>
      </c>
      <c r="H10" s="106"/>
      <c r="I10" s="106"/>
      <c r="J10" s="106"/>
      <c r="K10" s="106"/>
    </row>
    <row r="11" spans="1:17" x14ac:dyDescent="0.3">
      <c r="A11" s="2" t="s">
        <v>99</v>
      </c>
      <c r="F11" s="2">
        <v>26111.026208574032</v>
      </c>
      <c r="G11" s="2" t="s">
        <v>83</v>
      </c>
      <c r="H11" s="108" t="s">
        <v>201</v>
      </c>
      <c r="I11" s="106"/>
      <c r="J11" s="106"/>
      <c r="K11" s="106"/>
    </row>
    <row r="12" spans="1:17" x14ac:dyDescent="0.3">
      <c r="A12" s="2" t="s">
        <v>117</v>
      </c>
      <c r="F12" s="2">
        <v>35549.691856600795</v>
      </c>
      <c r="G12" s="2" t="s">
        <v>83</v>
      </c>
      <c r="H12" s="106"/>
      <c r="I12" s="108" t="s">
        <v>197</v>
      </c>
      <c r="J12" s="106"/>
      <c r="K12" s="106"/>
    </row>
    <row r="13" spans="1:17" x14ac:dyDescent="0.3">
      <c r="H13" s="106" t="s">
        <v>198</v>
      </c>
      <c r="I13" s="107">
        <v>35708.907913600786</v>
      </c>
      <c r="J13" s="106"/>
      <c r="K13" s="106"/>
      <c r="L13" s="12"/>
    </row>
    <row r="14" spans="1:17" x14ac:dyDescent="0.3">
      <c r="A14" s="2" t="s">
        <v>185</v>
      </c>
      <c r="H14" s="106" t="s">
        <v>199</v>
      </c>
      <c r="I14" s="107">
        <v>48466.67325101608</v>
      </c>
      <c r="J14" s="106"/>
      <c r="K14" s="106"/>
    </row>
    <row r="15" spans="1:17" x14ac:dyDescent="0.3">
      <c r="A15" s="2" t="s">
        <v>12</v>
      </c>
      <c r="F15" s="2">
        <v>11170.995927924259</v>
      </c>
      <c r="G15" s="2" t="s">
        <v>83</v>
      </c>
      <c r="H15" s="106" t="s">
        <v>233</v>
      </c>
      <c r="I15" s="106">
        <v>52139.80799999999</v>
      </c>
      <c r="J15" s="106"/>
      <c r="K15" s="106"/>
    </row>
    <row r="16" spans="1:17" x14ac:dyDescent="0.3">
      <c r="A16" s="2" t="s">
        <v>178</v>
      </c>
      <c r="F16" s="2">
        <v>2192.8000000000002</v>
      </c>
      <c r="G16" s="2" t="s">
        <v>83</v>
      </c>
      <c r="H16" s="108" t="s">
        <v>200</v>
      </c>
      <c r="I16" s="106">
        <v>32107.271046000002</v>
      </c>
      <c r="J16" s="106"/>
      <c r="K16" s="106"/>
    </row>
    <row r="17" spans="1:11" x14ac:dyDescent="0.3">
      <c r="A17" s="2" t="s">
        <v>175</v>
      </c>
      <c r="F17" s="2">
        <v>3600</v>
      </c>
      <c r="G17" s="2" t="s">
        <v>83</v>
      </c>
      <c r="H17" s="106"/>
      <c r="I17" s="106"/>
      <c r="J17" s="106"/>
      <c r="K17" s="106"/>
    </row>
    <row r="18" spans="1:11" x14ac:dyDescent="0.3">
      <c r="A18" s="2" t="s">
        <v>17</v>
      </c>
      <c r="F18" s="2">
        <v>16963.79592792426</v>
      </c>
      <c r="G18" s="2" t="s">
        <v>83</v>
      </c>
      <c r="H18" s="106" t="s">
        <v>202</v>
      </c>
      <c r="I18" s="106"/>
      <c r="J18" s="106"/>
      <c r="K18" s="106"/>
    </row>
    <row r="19" spans="1:11" x14ac:dyDescent="0.3">
      <c r="A19" s="2" t="s">
        <v>18</v>
      </c>
      <c r="F19" s="2">
        <v>17600</v>
      </c>
      <c r="G19" s="2" t="s">
        <v>83</v>
      </c>
      <c r="H19" s="106" t="s">
        <v>203</v>
      </c>
      <c r="I19" s="108" t="s">
        <v>204</v>
      </c>
      <c r="J19" s="106" t="s">
        <v>207</v>
      </c>
      <c r="K19" s="106" t="s">
        <v>206</v>
      </c>
    </row>
    <row r="20" spans="1:11" x14ac:dyDescent="0.3">
      <c r="A20" s="2" t="s">
        <v>86</v>
      </c>
      <c r="F20" s="2">
        <v>1.17</v>
      </c>
      <c r="H20" s="106" t="s">
        <v>187</v>
      </c>
      <c r="I20" s="107"/>
      <c r="J20" s="107">
        <v>2718.2262085740344</v>
      </c>
      <c r="K20" s="107">
        <v>11170.995927924259</v>
      </c>
    </row>
    <row r="21" spans="1:11" x14ac:dyDescent="0.3">
      <c r="A21" s="2" t="s">
        <v>177</v>
      </c>
      <c r="F21" s="2">
        <v>2883.8453077471245</v>
      </c>
      <c r="G21" s="2" t="s">
        <v>83</v>
      </c>
      <c r="H21" s="106" t="s">
        <v>205</v>
      </c>
      <c r="I21" s="107">
        <v>2630.22</v>
      </c>
      <c r="J21" s="107">
        <v>2192.8000000000002</v>
      </c>
      <c r="K21" s="107">
        <v>2192.8000000000002</v>
      </c>
    </row>
    <row r="22" spans="1:11" x14ac:dyDescent="0.3">
      <c r="A22" s="2" t="s">
        <v>21</v>
      </c>
      <c r="F22" s="2">
        <v>1.29</v>
      </c>
      <c r="H22" s="106" t="s">
        <v>189</v>
      </c>
      <c r="I22" s="107">
        <v>3600</v>
      </c>
      <c r="J22" s="107">
        <v>3600</v>
      </c>
      <c r="K22" s="107">
        <v>3600</v>
      </c>
    </row>
    <row r="23" spans="1:11" x14ac:dyDescent="0.3">
      <c r="A23" s="2" t="s">
        <v>177</v>
      </c>
      <c r="F23" s="2">
        <v>10859.815958344701</v>
      </c>
      <c r="G23" s="2" t="s">
        <v>83</v>
      </c>
      <c r="H23" s="108" t="s">
        <v>190</v>
      </c>
      <c r="I23" s="107">
        <v>17600</v>
      </c>
      <c r="J23" s="107">
        <v>17600</v>
      </c>
      <c r="K23" s="107">
        <v>17600</v>
      </c>
    </row>
    <row r="24" spans="1:11" x14ac:dyDescent="0.3">
      <c r="A24" s="2" t="s">
        <v>100</v>
      </c>
      <c r="F24" s="2">
        <v>34563.795927924264</v>
      </c>
      <c r="G24" s="2" t="s">
        <v>83</v>
      </c>
      <c r="H24" s="108" t="s">
        <v>195</v>
      </c>
      <c r="I24" s="107">
        <v>1059.1374000000001</v>
      </c>
      <c r="J24" s="107">
        <v>1446.874455457586</v>
      </c>
      <c r="K24" s="107">
        <v>2883.8453077471245</v>
      </c>
    </row>
    <row r="25" spans="1:11" x14ac:dyDescent="0.3">
      <c r="A25" s="2" t="s">
        <v>118</v>
      </c>
      <c r="F25" s="2">
        <v>48307.457194016089</v>
      </c>
      <c r="G25" s="2" t="s">
        <v>83</v>
      </c>
      <c r="H25" s="108" t="s">
        <v>196</v>
      </c>
      <c r="I25" s="107">
        <v>7217.913646</v>
      </c>
      <c r="J25" s="107">
        <v>7991.7911925691697</v>
      </c>
      <c r="K25" s="107">
        <v>10859.815958344701</v>
      </c>
    </row>
    <row r="26" spans="1:11" x14ac:dyDescent="0.3">
      <c r="H26" s="108" t="s">
        <v>191</v>
      </c>
      <c r="I26" s="107">
        <v>32107.271046000002</v>
      </c>
      <c r="J26" s="107">
        <v>35549.691856600795</v>
      </c>
      <c r="K26" s="107">
        <v>48307.457194016089</v>
      </c>
    </row>
    <row r="27" spans="1:11" x14ac:dyDescent="0.3">
      <c r="A27" s="2" t="s">
        <v>184</v>
      </c>
    </row>
    <row r="28" spans="1:11" x14ac:dyDescent="0.3">
      <c r="A28" s="2" t="s">
        <v>119</v>
      </c>
      <c r="F28" s="2">
        <v>2630.22</v>
      </c>
      <c r="G28" s="2" t="s">
        <v>83</v>
      </c>
      <c r="I28" s="12"/>
    </row>
    <row r="29" spans="1:11" x14ac:dyDescent="0.3">
      <c r="A29" s="2" t="s">
        <v>130</v>
      </c>
      <c r="F29" s="2">
        <v>3600</v>
      </c>
      <c r="G29" s="2" t="s">
        <v>83</v>
      </c>
      <c r="H29" s="12"/>
      <c r="I29" s="105"/>
      <c r="J29" s="101"/>
      <c r="K29" s="101"/>
    </row>
    <row r="30" spans="1:11" x14ac:dyDescent="0.3">
      <c r="A30" s="2" t="s">
        <v>186</v>
      </c>
      <c r="F30" s="2">
        <v>6230.2199999999993</v>
      </c>
      <c r="G30" s="2" t="s">
        <v>83</v>
      </c>
      <c r="H30" s="12"/>
      <c r="I30" s="105"/>
      <c r="J30" s="101"/>
      <c r="K30" s="101"/>
    </row>
    <row r="31" spans="1:11" x14ac:dyDescent="0.3">
      <c r="A31" s="2" t="s">
        <v>179</v>
      </c>
      <c r="F31" s="2">
        <v>1059.1374000000001</v>
      </c>
      <c r="G31" s="2" t="s">
        <v>83</v>
      </c>
      <c r="H31" s="12"/>
      <c r="I31" s="105"/>
      <c r="J31" s="101"/>
      <c r="K31" s="101"/>
    </row>
    <row r="32" spans="1:11" x14ac:dyDescent="0.3">
      <c r="A32" s="2" t="s">
        <v>181</v>
      </c>
      <c r="F32" s="2">
        <v>17600</v>
      </c>
      <c r="G32" s="2" t="s">
        <v>83</v>
      </c>
      <c r="H32" s="12"/>
      <c r="I32" s="105"/>
      <c r="J32" s="101"/>
      <c r="K32" s="101"/>
    </row>
    <row r="33" spans="1:11" x14ac:dyDescent="0.3">
      <c r="A33" s="2" t="s">
        <v>180</v>
      </c>
      <c r="F33" s="2">
        <v>7217.913646</v>
      </c>
      <c r="G33" s="2" t="s">
        <v>83</v>
      </c>
      <c r="H33" s="12"/>
      <c r="I33" s="105"/>
      <c r="J33" s="101"/>
      <c r="K33" s="101"/>
    </row>
    <row r="34" spans="1:11" x14ac:dyDescent="0.3">
      <c r="A34" s="2" t="s">
        <v>112</v>
      </c>
      <c r="F34" s="2">
        <v>23830.22</v>
      </c>
      <c r="G34" s="2" t="s">
        <v>83</v>
      </c>
      <c r="I34" s="101"/>
      <c r="J34" s="101"/>
      <c r="K34" s="101"/>
    </row>
    <row r="35" spans="1:11" x14ac:dyDescent="0.3">
      <c r="A35" s="2" t="s">
        <v>113</v>
      </c>
      <c r="F35" s="2">
        <v>32107.271046000002</v>
      </c>
      <c r="G35" s="2" t="s">
        <v>83</v>
      </c>
      <c r="I35" s="101"/>
      <c r="J35" s="101"/>
      <c r="K35" s="101"/>
    </row>
    <row r="39" spans="1:11" x14ac:dyDescent="0.3">
      <c r="A39" s="2" t="s">
        <v>126</v>
      </c>
      <c r="F39" s="2">
        <v>52139.80799999999</v>
      </c>
      <c r="G39" s="2" t="s">
        <v>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2742-7690-4CBF-BB79-2720AEA4F6AE}">
  <dimension ref="A1:X28"/>
  <sheetViews>
    <sheetView workbookViewId="0">
      <selection activeCell="Q26" sqref="Q26"/>
    </sheetView>
  </sheetViews>
  <sheetFormatPr defaultRowHeight="14.4" x14ac:dyDescent="0.3"/>
  <cols>
    <col min="1" max="1" width="10.21875" customWidth="1"/>
    <col min="6" max="6" width="9.21875" bestFit="1" customWidth="1"/>
    <col min="8" max="8" width="10" customWidth="1"/>
    <col min="9" max="10" width="10.77734375" customWidth="1"/>
    <col min="12" max="12" width="16.44140625" customWidth="1"/>
    <col min="14" max="14" width="9.88671875" customWidth="1"/>
  </cols>
  <sheetData>
    <row r="1" spans="1:24" ht="15" thickBot="1" x14ac:dyDescent="0.35">
      <c r="A1" s="18" t="s">
        <v>61</v>
      </c>
      <c r="B1" s="20" t="s">
        <v>58</v>
      </c>
      <c r="C1" s="20"/>
      <c r="D1" s="20"/>
      <c r="E1" s="20"/>
      <c r="F1" s="20"/>
      <c r="G1" s="20"/>
      <c r="H1" s="20"/>
      <c r="I1" s="21"/>
      <c r="J1" s="24"/>
      <c r="K1" s="71" t="s">
        <v>62</v>
      </c>
      <c r="L1" s="52"/>
      <c r="M1" s="52"/>
      <c r="N1" s="53"/>
    </row>
    <row r="2" spans="1:24" x14ac:dyDescent="0.3">
      <c r="A2" s="16" t="s">
        <v>54</v>
      </c>
      <c r="B2" s="2" t="s">
        <v>34</v>
      </c>
      <c r="C2" s="2"/>
      <c r="D2" s="2"/>
      <c r="E2" s="2"/>
      <c r="F2" s="2"/>
      <c r="G2" s="2"/>
      <c r="H2" s="2">
        <v>320</v>
      </c>
      <c r="I2" s="3" t="s">
        <v>30</v>
      </c>
      <c r="J2" s="2"/>
      <c r="K2" s="1" t="s">
        <v>63</v>
      </c>
      <c r="L2" s="2"/>
      <c r="M2" s="32">
        <v>6.0221399999999997E+23</v>
      </c>
      <c r="N2" s="3" t="s">
        <v>43</v>
      </c>
    </row>
    <row r="3" spans="1:24" x14ac:dyDescent="0.3">
      <c r="A3" s="16"/>
      <c r="B3" s="2"/>
      <c r="C3" s="2"/>
      <c r="D3" s="2"/>
      <c r="E3" s="2"/>
      <c r="F3" s="2"/>
      <c r="G3" s="2"/>
      <c r="H3" s="2"/>
      <c r="I3" s="3"/>
      <c r="J3" s="2"/>
      <c r="K3" s="1" t="s">
        <v>42</v>
      </c>
      <c r="L3" s="2"/>
      <c r="M3" s="32">
        <v>1.60218E-19</v>
      </c>
      <c r="N3" s="3" t="s">
        <v>44</v>
      </c>
    </row>
    <row r="4" spans="1:24" x14ac:dyDescent="0.3">
      <c r="A4" s="16"/>
      <c r="B4" s="2"/>
      <c r="C4" s="2"/>
      <c r="D4" s="2"/>
      <c r="E4" s="2"/>
      <c r="F4" s="2"/>
      <c r="G4" s="2"/>
      <c r="H4" s="2"/>
      <c r="I4" s="3"/>
      <c r="J4" s="2"/>
      <c r="K4" s="1" t="s">
        <v>64</v>
      </c>
      <c r="L4" s="2"/>
      <c r="M4" s="2">
        <v>1E-3</v>
      </c>
      <c r="N4" s="3"/>
    </row>
    <row r="5" spans="1:24" x14ac:dyDescent="0.3">
      <c r="A5" s="16" t="s">
        <v>55</v>
      </c>
      <c r="B5" s="2" t="s">
        <v>36</v>
      </c>
      <c r="C5" s="2"/>
      <c r="D5" s="2"/>
      <c r="E5" s="2"/>
      <c r="F5" s="2"/>
      <c r="G5" s="2"/>
      <c r="H5" s="2">
        <v>391.6</v>
      </c>
      <c r="I5" s="3" t="s">
        <v>40</v>
      </c>
      <c r="J5" s="2"/>
      <c r="K5" s="1" t="s">
        <v>66</v>
      </c>
      <c r="L5" s="2"/>
      <c r="M5" s="2">
        <v>4</v>
      </c>
      <c r="N5" s="3"/>
    </row>
    <row r="6" spans="1:24" x14ac:dyDescent="0.3">
      <c r="A6" s="16" t="s">
        <v>55</v>
      </c>
      <c r="B6" s="2" t="s">
        <v>37</v>
      </c>
      <c r="C6" s="2"/>
      <c r="D6" s="2"/>
      <c r="E6" s="2"/>
      <c r="F6" s="2"/>
      <c r="G6" s="2"/>
      <c r="H6" s="2">
        <v>307.10000000000002</v>
      </c>
      <c r="I6" s="3" t="s">
        <v>40</v>
      </c>
      <c r="J6" s="2"/>
      <c r="K6" s="1" t="s">
        <v>65</v>
      </c>
      <c r="L6" s="2"/>
      <c r="M6" s="2">
        <v>97.87</v>
      </c>
      <c r="N6" s="3" t="s">
        <v>45</v>
      </c>
    </row>
    <row r="7" spans="1:24" x14ac:dyDescent="0.3">
      <c r="A7" s="16" t="s">
        <v>55</v>
      </c>
      <c r="B7" s="2" t="s">
        <v>38</v>
      </c>
      <c r="C7" s="2"/>
      <c r="D7" s="2"/>
      <c r="E7" s="2"/>
      <c r="F7" s="2"/>
      <c r="G7" s="2"/>
      <c r="H7" s="2">
        <v>3.97</v>
      </c>
      <c r="I7" s="3" t="s">
        <v>40</v>
      </c>
      <c r="J7" s="2"/>
      <c r="K7" s="1" t="s">
        <v>68</v>
      </c>
      <c r="L7" s="2"/>
      <c r="M7" s="2">
        <v>22</v>
      </c>
      <c r="N7" s="3"/>
    </row>
    <row r="8" spans="1:24" x14ac:dyDescent="0.3">
      <c r="A8" s="16" t="s">
        <v>56</v>
      </c>
      <c r="B8" s="2" t="s">
        <v>57</v>
      </c>
      <c r="C8" s="2"/>
      <c r="D8" s="2"/>
      <c r="E8" s="2"/>
      <c r="F8" s="2"/>
      <c r="G8" s="2"/>
      <c r="H8" s="2">
        <v>-1.786</v>
      </c>
      <c r="I8" s="3" t="s">
        <v>41</v>
      </c>
      <c r="J8" s="2"/>
      <c r="K8" s="1" t="s">
        <v>76</v>
      </c>
      <c r="L8" s="2"/>
      <c r="M8" s="2">
        <v>198.13</v>
      </c>
      <c r="N8" s="3" t="s">
        <v>45</v>
      </c>
    </row>
    <row r="9" spans="1:24" x14ac:dyDescent="0.3">
      <c r="A9" s="16"/>
      <c r="B9" s="2" t="s">
        <v>60</v>
      </c>
      <c r="C9" s="2"/>
      <c r="D9" s="2"/>
      <c r="E9" s="2"/>
      <c r="F9" s="2"/>
      <c r="G9" s="2"/>
      <c r="H9" s="15">
        <f>M2*H8*M3*M4*M5</f>
        <v>-689.29257382588798</v>
      </c>
      <c r="I9" s="3" t="s">
        <v>40</v>
      </c>
      <c r="J9" s="2"/>
      <c r="K9" s="1" t="s">
        <v>49</v>
      </c>
      <c r="L9" s="2"/>
      <c r="M9" s="2">
        <v>58.693399999999997</v>
      </c>
      <c r="N9" s="3" t="s">
        <v>45</v>
      </c>
    </row>
    <row r="10" spans="1:24" x14ac:dyDescent="0.3">
      <c r="A10" s="16"/>
      <c r="B10" s="2"/>
      <c r="C10" s="2"/>
      <c r="D10" s="2"/>
      <c r="E10" s="2"/>
      <c r="F10" s="2"/>
      <c r="G10" s="2"/>
      <c r="H10" s="2"/>
      <c r="I10" s="3"/>
      <c r="J10" s="2"/>
      <c r="K10" s="1" t="s">
        <v>70</v>
      </c>
      <c r="L10" s="2"/>
      <c r="M10" s="2">
        <f>(M9*2)+M8</f>
        <v>315.51679999999999</v>
      </c>
      <c r="N10" s="3" t="s">
        <v>45</v>
      </c>
    </row>
    <row r="11" spans="1:24" ht="15" thickBot="1" x14ac:dyDescent="0.35">
      <c r="A11" s="16"/>
      <c r="B11" s="2" t="s">
        <v>39</v>
      </c>
      <c r="C11" s="2"/>
      <c r="D11" s="2"/>
      <c r="E11" s="2"/>
      <c r="F11" s="2"/>
      <c r="G11" s="2"/>
      <c r="H11" s="2">
        <f>H5+H6+H7+H9</f>
        <v>13.377426174112088</v>
      </c>
      <c r="I11" s="3" t="s">
        <v>40</v>
      </c>
      <c r="J11" s="2"/>
      <c r="K11" s="4" t="s">
        <v>67</v>
      </c>
      <c r="L11" s="5"/>
      <c r="M11" s="5"/>
      <c r="N11" s="6"/>
    </row>
    <row r="12" spans="1:24" x14ac:dyDescent="0.3">
      <c r="A12" s="16"/>
      <c r="B12" s="2" t="s">
        <v>59</v>
      </c>
      <c r="C12" s="2"/>
      <c r="D12" s="2"/>
      <c r="E12" s="2"/>
      <c r="F12" s="2"/>
      <c r="G12" s="2"/>
      <c r="H12" s="2">
        <f>(M4*H11)/(M4*M6)</f>
        <v>0.13668566643621219</v>
      </c>
      <c r="I12" s="3" t="s">
        <v>30</v>
      </c>
      <c r="J12" s="2"/>
    </row>
    <row r="13" spans="1:24" x14ac:dyDescent="0.3">
      <c r="A13" s="16"/>
      <c r="B13" s="2"/>
      <c r="C13" s="2"/>
      <c r="D13" s="2"/>
      <c r="E13" s="2"/>
      <c r="F13" s="2"/>
      <c r="G13" s="2"/>
      <c r="H13" s="2"/>
      <c r="I13" s="3"/>
      <c r="J13" s="2"/>
      <c r="K13" s="13" t="s">
        <v>53</v>
      </c>
    </row>
    <row r="14" spans="1:24" ht="15" thickBot="1" x14ac:dyDescent="0.35">
      <c r="A14" s="16"/>
      <c r="B14" s="19" t="s">
        <v>35</v>
      </c>
      <c r="C14" s="19"/>
      <c r="D14" s="19"/>
      <c r="E14" s="19"/>
      <c r="F14" s="19"/>
      <c r="G14" s="19"/>
      <c r="H14" s="19">
        <f>H2/H12</f>
        <v>2341.1379433068505</v>
      </c>
      <c r="I14" s="22"/>
      <c r="J14" s="12"/>
      <c r="K14" s="14" t="s">
        <v>54</v>
      </c>
      <c r="L14" s="113" t="s">
        <v>108</v>
      </c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</row>
    <row r="15" spans="1:24" ht="15" thickBot="1" x14ac:dyDescent="0.35">
      <c r="A15" s="61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</row>
    <row r="16" spans="1:24" ht="15" thickBot="1" x14ac:dyDescent="0.35">
      <c r="A16" s="60"/>
      <c r="B16" s="25" t="s">
        <v>73</v>
      </c>
      <c r="C16" s="26"/>
      <c r="D16" s="26"/>
      <c r="E16" s="26"/>
      <c r="F16" s="26"/>
      <c r="G16" s="26"/>
      <c r="H16" s="26"/>
      <c r="I16" s="27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</row>
    <row r="17" spans="1:23" ht="14.4" customHeight="1" x14ac:dyDescent="0.3">
      <c r="A17" s="60" t="s">
        <v>55</v>
      </c>
      <c r="B17" s="1" t="s">
        <v>46</v>
      </c>
      <c r="C17" s="2"/>
      <c r="D17" s="2"/>
      <c r="E17" s="2"/>
      <c r="F17" s="2"/>
      <c r="G17" s="2"/>
      <c r="H17" s="2">
        <v>232.7</v>
      </c>
      <c r="I17" s="3" t="s">
        <v>40</v>
      </c>
    </row>
    <row r="18" spans="1:23" x14ac:dyDescent="0.3">
      <c r="A18" s="60" t="s">
        <v>55</v>
      </c>
      <c r="B18" s="1" t="s">
        <v>47</v>
      </c>
      <c r="C18" s="2"/>
      <c r="D18" s="2"/>
      <c r="E18" s="2"/>
      <c r="F18" s="2"/>
      <c r="G18" s="2"/>
      <c r="H18" s="2">
        <v>410.2</v>
      </c>
      <c r="I18" s="3" t="s">
        <v>40</v>
      </c>
      <c r="K18" s="14" t="s">
        <v>55</v>
      </c>
      <c r="L18" s="114" t="s">
        <v>109</v>
      </c>
      <c r="M18" s="114"/>
      <c r="N18" s="114"/>
      <c r="O18" s="114"/>
      <c r="P18" s="114"/>
      <c r="Q18" s="114"/>
      <c r="R18" s="114"/>
      <c r="S18" s="114"/>
      <c r="T18" s="114"/>
      <c r="U18" s="114"/>
      <c r="V18" s="114"/>
    </row>
    <row r="19" spans="1:23" x14ac:dyDescent="0.3">
      <c r="A19" s="60" t="s">
        <v>55</v>
      </c>
      <c r="B19" s="1" t="s">
        <v>48</v>
      </c>
      <c r="C19" s="2"/>
      <c r="D19" s="2"/>
      <c r="E19" s="2"/>
      <c r="F19" s="2"/>
      <c r="G19" s="2"/>
      <c r="H19" s="2">
        <v>236</v>
      </c>
      <c r="I19" s="3" t="s">
        <v>40</v>
      </c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</row>
    <row r="20" spans="1:23" x14ac:dyDescent="0.3">
      <c r="A20" s="60" t="s">
        <v>55</v>
      </c>
      <c r="B20" s="1" t="s">
        <v>38</v>
      </c>
      <c r="C20" s="2"/>
      <c r="D20" s="2"/>
      <c r="E20" s="2"/>
      <c r="F20" s="2"/>
      <c r="G20" s="2"/>
      <c r="H20" s="2">
        <f>H7</f>
        <v>3.97</v>
      </c>
      <c r="I20" s="3" t="s">
        <v>40</v>
      </c>
    </row>
    <row r="21" spans="1:23" x14ac:dyDescent="0.3">
      <c r="A21" s="60" t="s">
        <v>56</v>
      </c>
      <c r="B21" s="1" t="s">
        <v>74</v>
      </c>
      <c r="C21" s="2"/>
      <c r="D21" s="2"/>
      <c r="E21" s="2"/>
      <c r="F21" s="2"/>
      <c r="G21" s="2"/>
      <c r="H21" s="2">
        <v>-1.242</v>
      </c>
      <c r="I21" s="3" t="s">
        <v>41</v>
      </c>
      <c r="K21" s="14" t="s">
        <v>56</v>
      </c>
      <c r="L21" s="115" t="s">
        <v>110</v>
      </c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</row>
    <row r="22" spans="1:23" x14ac:dyDescent="0.3">
      <c r="A22" s="60"/>
      <c r="B22" s="1" t="s">
        <v>69</v>
      </c>
      <c r="C22" s="2"/>
      <c r="D22" s="2"/>
      <c r="E22" s="2"/>
      <c r="F22" s="2"/>
      <c r="G22" s="2"/>
      <c r="H22" s="15">
        <f>H21*M2*M3*M4*M7</f>
        <v>-2636.3704209432476</v>
      </c>
      <c r="I22" s="3" t="s">
        <v>40</v>
      </c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</row>
    <row r="23" spans="1:23" x14ac:dyDescent="0.3">
      <c r="A23" s="60"/>
      <c r="B23" s="1"/>
      <c r="C23" s="2"/>
      <c r="D23" s="2"/>
      <c r="E23" s="2"/>
      <c r="F23" s="2"/>
      <c r="G23" s="2"/>
      <c r="H23" s="2"/>
      <c r="I23" s="3"/>
    </row>
    <row r="24" spans="1:23" ht="14.4" customHeight="1" x14ac:dyDescent="0.3">
      <c r="A24" s="60"/>
      <c r="B24" s="1" t="s">
        <v>72</v>
      </c>
      <c r="C24" s="2"/>
      <c r="D24" s="2"/>
      <c r="E24" s="2"/>
      <c r="F24" s="2"/>
      <c r="G24" s="2"/>
      <c r="H24" s="2">
        <f>(2*H17)+(8*H18)+(3*H19)+(3*H20)+H22</f>
        <v>1830.5395790567522</v>
      </c>
      <c r="I24" s="3" t="s">
        <v>40</v>
      </c>
    </row>
    <row r="25" spans="1:23" x14ac:dyDescent="0.3">
      <c r="A25" s="60"/>
      <c r="B25" s="1" t="s">
        <v>71</v>
      </c>
      <c r="C25" s="2"/>
      <c r="D25" s="2"/>
      <c r="E25" s="2"/>
      <c r="F25" s="2"/>
      <c r="G25" s="2"/>
      <c r="H25" s="2">
        <f>(H24*M4)/(M4*M10)</f>
        <v>5.8017182573376518</v>
      </c>
      <c r="I25" s="3" t="s">
        <v>30</v>
      </c>
    </row>
    <row r="26" spans="1:23" x14ac:dyDescent="0.3">
      <c r="A26" s="60"/>
      <c r="B26" s="1"/>
      <c r="C26" s="2"/>
      <c r="D26" s="2"/>
      <c r="E26" s="2"/>
      <c r="F26" s="2"/>
      <c r="G26" s="2"/>
      <c r="H26" s="2"/>
      <c r="I26" s="3"/>
    </row>
    <row r="27" spans="1:23" ht="15" thickBot="1" x14ac:dyDescent="0.35">
      <c r="A27" s="60"/>
      <c r="B27" s="28" t="s">
        <v>50</v>
      </c>
      <c r="C27" s="29"/>
      <c r="D27" s="29"/>
      <c r="E27" s="29"/>
      <c r="F27" s="29"/>
      <c r="G27" s="29"/>
      <c r="H27" s="29">
        <f>H25*H14</f>
        <v>13582.622748629276</v>
      </c>
      <c r="I27" s="30" t="s">
        <v>30</v>
      </c>
    </row>
    <row r="28" spans="1:23" ht="15" thickBot="1" x14ac:dyDescent="0.35">
      <c r="A28" s="2"/>
      <c r="B28" s="64" t="s">
        <v>75</v>
      </c>
      <c r="C28" s="5"/>
      <c r="D28" s="5"/>
      <c r="E28" s="5"/>
      <c r="F28" s="5"/>
      <c r="G28" s="5"/>
      <c r="H28" s="5"/>
      <c r="I28" s="6"/>
      <c r="J28" s="7"/>
      <c r="K28" s="8"/>
      <c r="L28" s="8"/>
      <c r="M28" s="8"/>
      <c r="N28" s="8"/>
      <c r="O28" s="9"/>
    </row>
  </sheetData>
  <mergeCells count="3">
    <mergeCell ref="L14:X16"/>
    <mergeCell ref="L18:V19"/>
    <mergeCell ref="L21:W2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799C-6EB5-4642-9F09-2DA8F39BAF7B}">
  <dimension ref="A1:AB57"/>
  <sheetViews>
    <sheetView tabSelected="1" zoomScaleNormal="100" workbookViewId="0">
      <selection activeCell="S16" sqref="S16"/>
    </sheetView>
  </sheetViews>
  <sheetFormatPr defaultRowHeight="14.4" x14ac:dyDescent="0.3"/>
  <cols>
    <col min="1" max="1" width="10.44140625" style="61" customWidth="1"/>
    <col min="2" max="2" width="8.88671875" style="2" customWidth="1"/>
    <col min="3" max="5" width="8.88671875" style="2"/>
    <col min="6" max="6" width="13.109375" style="2" customWidth="1"/>
    <col min="7" max="7" width="8.88671875" style="2"/>
    <col min="8" max="8" width="9.5546875" style="2" customWidth="1"/>
    <col min="9" max="9" width="11.6640625" style="2" customWidth="1"/>
    <col min="10" max="10" width="8.88671875" style="2" customWidth="1"/>
    <col min="11" max="11" width="11.77734375" style="61" customWidth="1"/>
    <col min="12" max="13" width="8.88671875" style="2"/>
    <col min="14" max="14" width="11.33203125" style="2" customWidth="1"/>
    <col min="15" max="15" width="8.88671875" style="2"/>
    <col min="16" max="17" width="10.88671875" style="2" customWidth="1"/>
    <col min="18" max="18" width="14.88671875" style="2" customWidth="1"/>
    <col min="19" max="19" width="8.88671875" style="2"/>
    <col min="20" max="20" width="11.5546875" style="2" customWidth="1"/>
    <col min="21" max="16384" width="8.88671875" style="2"/>
  </cols>
  <sheetData>
    <row r="1" spans="1:28" ht="15" thickBot="1" x14ac:dyDescent="0.35">
      <c r="A1" s="18" t="s">
        <v>144</v>
      </c>
      <c r="B1" s="81" t="s">
        <v>101</v>
      </c>
      <c r="C1" s="82"/>
      <c r="D1" s="82"/>
      <c r="E1" s="82"/>
      <c r="F1" s="82"/>
      <c r="G1" s="82"/>
      <c r="H1" s="82"/>
      <c r="I1" s="83"/>
      <c r="K1" s="18" t="s">
        <v>148</v>
      </c>
      <c r="L1" s="8" t="s">
        <v>160</v>
      </c>
      <c r="M1" s="8"/>
      <c r="N1" s="8"/>
      <c r="O1" s="8"/>
      <c r="P1" s="8"/>
      <c r="Q1" s="8"/>
      <c r="R1" s="9"/>
      <c r="T1" s="18" t="s">
        <v>144</v>
      </c>
      <c r="U1" s="121" t="s">
        <v>245</v>
      </c>
      <c r="V1" s="122"/>
      <c r="W1" s="122"/>
      <c r="X1" s="122"/>
      <c r="Y1" s="122"/>
      <c r="Z1" s="122"/>
      <c r="AA1" s="122"/>
      <c r="AB1" s="123"/>
    </row>
    <row r="2" spans="1:28" ht="14.4" customHeight="1" thickBot="1" x14ac:dyDescent="0.35">
      <c r="A2" s="97"/>
      <c r="B2" s="57"/>
      <c r="C2" s="58"/>
      <c r="D2" s="58"/>
      <c r="E2" s="58"/>
      <c r="F2" s="58"/>
      <c r="G2" s="58"/>
      <c r="H2" s="58"/>
      <c r="I2" s="59"/>
      <c r="K2" s="16"/>
      <c r="L2" s="116" t="s">
        <v>173</v>
      </c>
      <c r="M2" s="117"/>
      <c r="N2" s="117"/>
      <c r="O2" s="117"/>
      <c r="P2" s="117"/>
      <c r="Q2" s="117"/>
      <c r="R2" s="118"/>
      <c r="S2" s="62"/>
      <c r="T2" s="97"/>
      <c r="U2" s="124"/>
      <c r="V2" s="125"/>
      <c r="W2" s="125"/>
      <c r="X2" s="125"/>
      <c r="Y2" s="125"/>
      <c r="Z2" s="125"/>
      <c r="AA2" s="125"/>
      <c r="AB2" s="126"/>
    </row>
    <row r="3" spans="1:28" x14ac:dyDescent="0.3">
      <c r="A3" s="16" t="s">
        <v>54</v>
      </c>
      <c r="B3" s="1" t="s">
        <v>133</v>
      </c>
      <c r="G3" s="2">
        <v>16.422000000000001</v>
      </c>
      <c r="H3" s="2" t="s">
        <v>27</v>
      </c>
      <c r="I3" s="3"/>
      <c r="K3" s="16"/>
      <c r="L3" s="119"/>
      <c r="M3" s="111"/>
      <c r="N3" s="111"/>
      <c r="O3" s="111"/>
      <c r="P3" s="111"/>
      <c r="Q3" s="111"/>
      <c r="R3" s="120"/>
      <c r="S3" s="62"/>
      <c r="T3" s="16" t="s">
        <v>54</v>
      </c>
      <c r="U3" s="1" t="s">
        <v>133</v>
      </c>
      <c r="Z3" s="2">
        <v>16.422000000000001</v>
      </c>
      <c r="AA3" s="2" t="s">
        <v>27</v>
      </c>
      <c r="AB3" s="3"/>
    </row>
    <row r="4" spans="1:28" ht="14.4" customHeight="1" x14ac:dyDescent="0.3">
      <c r="A4" s="16" t="s">
        <v>54</v>
      </c>
      <c r="B4" s="1" t="s">
        <v>28</v>
      </c>
      <c r="G4" s="2">
        <v>119</v>
      </c>
      <c r="H4" s="2" t="s">
        <v>29</v>
      </c>
      <c r="I4" s="3"/>
      <c r="K4" s="16" t="s">
        <v>54</v>
      </c>
      <c r="L4" s="119" t="s">
        <v>145</v>
      </c>
      <c r="M4" s="111"/>
      <c r="N4" s="111"/>
      <c r="O4" s="111"/>
      <c r="P4" s="111"/>
      <c r="Q4" s="111"/>
      <c r="R4" s="120"/>
      <c r="S4" s="62"/>
      <c r="T4" s="16" t="s">
        <v>54</v>
      </c>
      <c r="U4" s="1" t="s">
        <v>28</v>
      </c>
      <c r="Z4" s="2">
        <v>119</v>
      </c>
      <c r="AA4" s="2" t="s">
        <v>29</v>
      </c>
      <c r="AB4" s="3"/>
    </row>
    <row r="5" spans="1:28" ht="14.4" customHeight="1" x14ac:dyDescent="0.3">
      <c r="A5" s="16"/>
      <c r="B5" s="1" t="s">
        <v>134</v>
      </c>
      <c r="G5" s="2">
        <f>G3/G4</f>
        <v>0.13800000000000001</v>
      </c>
      <c r="H5" s="2" t="s">
        <v>30</v>
      </c>
      <c r="I5" s="3"/>
      <c r="K5" s="16"/>
      <c r="L5" s="119"/>
      <c r="M5" s="111"/>
      <c r="N5" s="111"/>
      <c r="O5" s="111"/>
      <c r="P5" s="111"/>
      <c r="Q5" s="111"/>
      <c r="R5" s="120"/>
      <c r="S5" s="62"/>
      <c r="T5" s="16"/>
      <c r="U5" s="1" t="s">
        <v>134</v>
      </c>
      <c r="Z5" s="2">
        <f>Z3/Z4</f>
        <v>0.13800000000000001</v>
      </c>
      <c r="AA5" s="2" t="s">
        <v>30</v>
      </c>
      <c r="AB5" s="3"/>
    </row>
    <row r="6" spans="1:28" x14ac:dyDescent="0.3">
      <c r="A6" s="16"/>
      <c r="B6" s="1"/>
      <c r="I6" s="3"/>
      <c r="K6" s="16" t="s">
        <v>54</v>
      </c>
      <c r="L6" s="2" t="s">
        <v>169</v>
      </c>
      <c r="R6" s="3"/>
      <c r="T6" s="16"/>
      <c r="U6" s="1"/>
      <c r="AB6" s="3"/>
    </row>
    <row r="7" spans="1:28" x14ac:dyDescent="0.3">
      <c r="A7" s="16" t="s">
        <v>55</v>
      </c>
      <c r="B7" s="1" t="s">
        <v>135</v>
      </c>
      <c r="G7" s="2">
        <v>96</v>
      </c>
      <c r="H7" s="2" t="s">
        <v>29</v>
      </c>
      <c r="I7" s="3"/>
      <c r="K7" s="16" t="s">
        <v>56</v>
      </c>
      <c r="L7" s="2" t="s">
        <v>161</v>
      </c>
      <c r="R7" s="3"/>
      <c r="T7" s="16" t="s">
        <v>55</v>
      </c>
      <c r="U7" s="1" t="s">
        <v>135</v>
      </c>
      <c r="Z7" s="2">
        <v>96</v>
      </c>
      <c r="AA7" s="2" t="s">
        <v>29</v>
      </c>
      <c r="AB7" s="3"/>
    </row>
    <row r="8" spans="1:28" x14ac:dyDescent="0.3">
      <c r="A8" s="16"/>
      <c r="B8" s="1" t="s">
        <v>136</v>
      </c>
      <c r="G8" s="2">
        <f>G7*G5</f>
        <v>13.248000000000001</v>
      </c>
      <c r="H8" s="2" t="s">
        <v>27</v>
      </c>
      <c r="I8" s="3"/>
      <c r="K8" s="16"/>
      <c r="L8" s="12" t="s">
        <v>166</v>
      </c>
      <c r="R8" s="3"/>
      <c r="T8" s="16"/>
      <c r="U8" s="1" t="s">
        <v>136</v>
      </c>
      <c r="Z8" s="2">
        <f>Z7*Z5</f>
        <v>13.248000000000001</v>
      </c>
      <c r="AA8" s="2" t="s">
        <v>27</v>
      </c>
      <c r="AB8" s="3"/>
    </row>
    <row r="9" spans="1:28" x14ac:dyDescent="0.3">
      <c r="A9" s="16"/>
      <c r="B9" s="1"/>
      <c r="I9" s="3"/>
      <c r="K9" s="16"/>
      <c r="L9" s="12" t="s">
        <v>168</v>
      </c>
      <c r="R9" s="3"/>
      <c r="T9" s="16"/>
      <c r="U9" s="1"/>
      <c r="AB9" s="3"/>
    </row>
    <row r="10" spans="1:28" x14ac:dyDescent="0.3">
      <c r="A10" s="16"/>
      <c r="B10" s="1"/>
      <c r="C10" s="2" t="s">
        <v>137</v>
      </c>
      <c r="I10" s="3"/>
      <c r="K10" s="16"/>
      <c r="L10" s="12" t="s">
        <v>220</v>
      </c>
      <c r="R10" s="3"/>
      <c r="T10" s="16"/>
      <c r="U10" s="1"/>
      <c r="V10" s="2" t="s">
        <v>137</v>
      </c>
      <c r="AB10" s="3"/>
    </row>
    <row r="11" spans="1:28" x14ac:dyDescent="0.3">
      <c r="A11" s="16"/>
      <c r="B11" s="1"/>
      <c r="I11" s="3"/>
      <c r="K11" s="16" t="s">
        <v>56</v>
      </c>
      <c r="L11" s="78" t="s">
        <v>32</v>
      </c>
      <c r="M11" s="78"/>
      <c r="N11" s="78"/>
      <c r="O11" s="78"/>
      <c r="P11" s="78"/>
      <c r="R11" s="3"/>
      <c r="T11" s="16"/>
      <c r="U11" s="1"/>
      <c r="AB11" s="3"/>
    </row>
    <row r="12" spans="1:28" x14ac:dyDescent="0.3">
      <c r="A12" s="16"/>
      <c r="B12" s="1" t="s">
        <v>138</v>
      </c>
      <c r="G12" s="2">
        <f>'MOF vehicle production'!H32</f>
        <v>254.54545454545453</v>
      </c>
      <c r="H12" s="2" t="s">
        <v>10</v>
      </c>
      <c r="I12" s="3"/>
      <c r="K12" s="16" t="s">
        <v>56</v>
      </c>
      <c r="L12" s="23" t="s">
        <v>31</v>
      </c>
      <c r="M12" s="23"/>
      <c r="N12" s="23"/>
      <c r="O12" s="23"/>
      <c r="P12" s="23"/>
      <c r="R12" s="3"/>
      <c r="T12" s="16"/>
      <c r="U12" s="1" t="s">
        <v>138</v>
      </c>
      <c r="Z12" s="2">
        <f>'MOF vehicle production'!H32</f>
        <v>254.54545454545453</v>
      </c>
      <c r="AA12" s="2" t="s">
        <v>10</v>
      </c>
      <c r="AB12" s="3"/>
    </row>
    <row r="13" spans="1:28" x14ac:dyDescent="0.3">
      <c r="A13" s="16"/>
      <c r="B13" s="1" t="s">
        <v>139</v>
      </c>
      <c r="G13" s="2">
        <f>'Embodied energy of MOF material'!H27</f>
        <v>13582.622748629276</v>
      </c>
      <c r="H13" s="2" t="s">
        <v>30</v>
      </c>
      <c r="I13" s="3"/>
      <c r="K13" s="16" t="s">
        <v>56</v>
      </c>
      <c r="L13" s="73" t="s">
        <v>149</v>
      </c>
      <c r="M13" s="73"/>
      <c r="N13" s="73"/>
      <c r="O13" s="73"/>
      <c r="P13" s="73"/>
      <c r="R13" s="3"/>
      <c r="T13" s="16" t="s">
        <v>80</v>
      </c>
      <c r="U13" s="102" t="s">
        <v>242</v>
      </c>
      <c r="V13" s="102"/>
      <c r="W13" s="102"/>
      <c r="X13" s="102"/>
      <c r="Y13" s="102"/>
      <c r="Z13" s="102">
        <v>91300</v>
      </c>
      <c r="AA13" s="102" t="s">
        <v>243</v>
      </c>
      <c r="AB13" s="3"/>
    </row>
    <row r="14" spans="1:28" ht="15" thickBot="1" x14ac:dyDescent="0.35">
      <c r="A14" s="16"/>
      <c r="B14" s="1" t="s">
        <v>140</v>
      </c>
      <c r="G14" s="2">
        <f>G12*G13</f>
        <v>3457394.8814692697</v>
      </c>
      <c r="H14" s="2" t="s">
        <v>27</v>
      </c>
      <c r="I14" s="3"/>
      <c r="K14" s="17" t="s">
        <v>56</v>
      </c>
      <c r="L14" s="86" t="s">
        <v>150</v>
      </c>
      <c r="M14" s="86"/>
      <c r="N14" s="86"/>
      <c r="O14" s="86"/>
      <c r="P14" s="86"/>
      <c r="Q14" s="5"/>
      <c r="R14" s="6"/>
      <c r="T14" s="16"/>
      <c r="U14" s="1" t="s">
        <v>139</v>
      </c>
      <c r="Z14" s="2">
        <f>Z13/907.85</f>
        <v>100.56727432945971</v>
      </c>
      <c r="AA14" s="2" t="s">
        <v>30</v>
      </c>
      <c r="AB14" s="3"/>
    </row>
    <row r="15" spans="1:28" ht="15" thickBot="1" x14ac:dyDescent="0.35">
      <c r="A15" s="16"/>
      <c r="B15" s="1" t="s">
        <v>140</v>
      </c>
      <c r="G15" s="2">
        <f>G14/1000</f>
        <v>3457.3948814692699</v>
      </c>
      <c r="H15" s="2" t="s">
        <v>51</v>
      </c>
      <c r="I15" s="3"/>
      <c r="T15" s="16"/>
      <c r="U15" s="1" t="s">
        <v>140</v>
      </c>
      <c r="Z15" s="2">
        <f>Z12*Z14</f>
        <v>25598.942556589744</v>
      </c>
      <c r="AA15" s="2" t="s">
        <v>27</v>
      </c>
      <c r="AB15" s="3"/>
    </row>
    <row r="16" spans="1:28" ht="15" thickBot="1" x14ac:dyDescent="0.35">
      <c r="A16" s="16"/>
      <c r="B16" s="1"/>
      <c r="I16" s="3"/>
      <c r="K16" s="98" t="s">
        <v>87</v>
      </c>
      <c r="L16" s="91" t="s">
        <v>162</v>
      </c>
      <c r="M16" s="92"/>
      <c r="N16" s="92"/>
      <c r="O16" s="92"/>
      <c r="P16" s="92"/>
      <c r="Q16" s="92"/>
      <c r="R16" s="93"/>
      <c r="T16" s="16"/>
      <c r="U16" s="1"/>
      <c r="AB16" s="3"/>
    </row>
    <row r="17" spans="1:28" x14ac:dyDescent="0.3">
      <c r="A17" s="16" t="s">
        <v>56</v>
      </c>
      <c r="B17" s="1" t="s">
        <v>141</v>
      </c>
      <c r="G17" s="2">
        <v>940</v>
      </c>
      <c r="H17" s="2" t="s">
        <v>33</v>
      </c>
      <c r="I17" s="3"/>
      <c r="K17" s="99" t="s">
        <v>78</v>
      </c>
      <c r="L17" s="1" t="s">
        <v>102</v>
      </c>
      <c r="Q17" s="2">
        <f>'Embodied energy of MOF material'!H2</f>
        <v>320</v>
      </c>
      <c r="R17" s="3" t="s">
        <v>33</v>
      </c>
      <c r="T17" s="16" t="s">
        <v>56</v>
      </c>
      <c r="U17" s="1" t="s">
        <v>141</v>
      </c>
      <c r="Z17" s="2">
        <v>940</v>
      </c>
      <c r="AA17" s="2" t="s">
        <v>33</v>
      </c>
      <c r="AB17" s="3"/>
    </row>
    <row r="18" spans="1:28" x14ac:dyDescent="0.3">
      <c r="A18" s="16" t="s">
        <v>56</v>
      </c>
      <c r="B18" s="1" t="s">
        <v>142</v>
      </c>
      <c r="G18" s="2">
        <v>581</v>
      </c>
      <c r="H18" s="2" t="s">
        <v>33</v>
      </c>
      <c r="I18" s="3"/>
      <c r="K18" s="16"/>
      <c r="L18" s="31" t="s">
        <v>163</v>
      </c>
      <c r="Q18" s="2">
        <f>80*Q17</f>
        <v>25600</v>
      </c>
      <c r="R18" s="3" t="s">
        <v>103</v>
      </c>
      <c r="T18" s="16" t="s">
        <v>56</v>
      </c>
      <c r="U18" s="1" t="s">
        <v>142</v>
      </c>
      <c r="Z18" s="2">
        <v>581</v>
      </c>
      <c r="AA18" s="2" t="s">
        <v>33</v>
      </c>
      <c r="AB18" s="3"/>
    </row>
    <row r="19" spans="1:28" x14ac:dyDescent="0.3">
      <c r="A19" s="16" t="s">
        <v>56</v>
      </c>
      <c r="B19" s="1" t="s">
        <v>151</v>
      </c>
      <c r="G19" s="2">
        <v>744</v>
      </c>
      <c r="H19" s="2" t="s">
        <v>33</v>
      </c>
      <c r="I19" s="3"/>
      <c r="K19" s="16"/>
      <c r="L19" s="1"/>
      <c r="R19" s="3"/>
      <c r="T19" s="16" t="s">
        <v>56</v>
      </c>
      <c r="U19" s="1" t="s">
        <v>151</v>
      </c>
      <c r="Z19" s="2">
        <v>744</v>
      </c>
      <c r="AA19" s="2" t="s">
        <v>33</v>
      </c>
      <c r="AB19" s="3"/>
    </row>
    <row r="20" spans="1:28" x14ac:dyDescent="0.3">
      <c r="A20" s="16" t="s">
        <v>56</v>
      </c>
      <c r="B20" s="1" t="s">
        <v>152</v>
      </c>
      <c r="G20" s="12">
        <v>369</v>
      </c>
      <c r="H20" s="2" t="s">
        <v>33</v>
      </c>
      <c r="I20" s="3"/>
      <c r="K20" s="16" t="s">
        <v>79</v>
      </c>
      <c r="L20" s="31" t="s">
        <v>268</v>
      </c>
      <c r="Q20" s="2">
        <v>2318</v>
      </c>
      <c r="R20" s="3" t="s">
        <v>105</v>
      </c>
      <c r="T20" s="16" t="s">
        <v>56</v>
      </c>
      <c r="U20" s="1" t="s">
        <v>152</v>
      </c>
      <c r="Z20" s="12">
        <v>369</v>
      </c>
      <c r="AA20" s="2" t="s">
        <v>33</v>
      </c>
      <c r="AB20" s="3"/>
    </row>
    <row r="21" spans="1:28" x14ac:dyDescent="0.3">
      <c r="A21" s="16"/>
      <c r="B21" s="1"/>
      <c r="I21" s="3"/>
      <c r="K21" s="16"/>
      <c r="L21" s="128" t="s">
        <v>165</v>
      </c>
      <c r="M21" s="129"/>
      <c r="N21" s="129"/>
      <c r="O21" s="129"/>
      <c r="P21" s="129"/>
      <c r="Q21" s="134">
        <f>Q20*'MOF vehicle production'!T5</f>
        <v>259356.38399999993</v>
      </c>
      <c r="R21" s="132" t="s">
        <v>164</v>
      </c>
      <c r="T21" s="16"/>
      <c r="U21" s="1"/>
      <c r="AB21" s="3"/>
    </row>
    <row r="22" spans="1:28" ht="15" thickBot="1" x14ac:dyDescent="0.35">
      <c r="A22" s="16"/>
      <c r="B22" s="1" t="s">
        <v>167</v>
      </c>
      <c r="G22" s="2">
        <v>80</v>
      </c>
      <c r="H22" s="2" t="s">
        <v>20</v>
      </c>
      <c r="I22" s="3"/>
      <c r="K22" s="17"/>
      <c r="L22" s="130"/>
      <c r="M22" s="131"/>
      <c r="N22" s="131"/>
      <c r="O22" s="131"/>
      <c r="P22" s="131"/>
      <c r="Q22" s="135"/>
      <c r="R22" s="133"/>
      <c r="T22" s="16"/>
      <c r="U22" s="1" t="s">
        <v>167</v>
      </c>
      <c r="Z22" s="2">
        <v>80</v>
      </c>
      <c r="AA22" s="2" t="s">
        <v>20</v>
      </c>
      <c r="AB22" s="3"/>
    </row>
    <row r="23" spans="1:28" ht="15" thickBot="1" x14ac:dyDescent="0.35">
      <c r="A23" s="16"/>
      <c r="B23" s="1" t="s">
        <v>216</v>
      </c>
      <c r="G23" s="2">
        <f>G17*G22</f>
        <v>75200</v>
      </c>
      <c r="H23" s="2" t="s">
        <v>27</v>
      </c>
      <c r="I23" s="3"/>
      <c r="T23" s="16"/>
      <c r="U23" s="1" t="s">
        <v>216</v>
      </c>
      <c r="Z23" s="2">
        <f>Z17*Z22</f>
        <v>75200</v>
      </c>
      <c r="AA23" s="2" t="s">
        <v>27</v>
      </c>
      <c r="AB23" s="3"/>
    </row>
    <row r="24" spans="1:28" ht="15" thickBot="1" x14ac:dyDescent="0.35">
      <c r="A24" s="16"/>
      <c r="B24" s="1" t="s">
        <v>217</v>
      </c>
      <c r="G24" s="2">
        <f>G18*G22</f>
        <v>46480</v>
      </c>
      <c r="H24" s="2" t="s">
        <v>27</v>
      </c>
      <c r="I24" s="3"/>
      <c r="K24" s="98" t="s">
        <v>87</v>
      </c>
      <c r="L24" s="94" t="s">
        <v>171</v>
      </c>
      <c r="M24" s="95"/>
      <c r="N24" s="95"/>
      <c r="O24" s="95"/>
      <c r="P24" s="95"/>
      <c r="Q24" s="95"/>
      <c r="R24" s="96"/>
      <c r="T24" s="16"/>
      <c r="U24" s="1" t="s">
        <v>217</v>
      </c>
      <c r="Z24" s="2">
        <f>Z18*Z22</f>
        <v>46480</v>
      </c>
      <c r="AA24" s="2" t="s">
        <v>27</v>
      </c>
      <c r="AB24" s="3"/>
    </row>
    <row r="25" spans="1:28" x14ac:dyDescent="0.3">
      <c r="A25" s="16"/>
      <c r="B25" s="1" t="s">
        <v>218</v>
      </c>
      <c r="G25" s="2">
        <f>G22*G19</f>
        <v>59520</v>
      </c>
      <c r="H25" s="12" t="s">
        <v>27</v>
      </c>
      <c r="I25" s="3"/>
      <c r="K25" s="97"/>
      <c r="L25" s="1"/>
      <c r="R25" s="3"/>
      <c r="T25" s="16"/>
      <c r="U25" s="1" t="s">
        <v>218</v>
      </c>
      <c r="Z25" s="2">
        <f>Z22*Z19</f>
        <v>59520</v>
      </c>
      <c r="AA25" s="12" t="s">
        <v>27</v>
      </c>
      <c r="AB25" s="3"/>
    </row>
    <row r="26" spans="1:28" x14ac:dyDescent="0.3">
      <c r="A26" s="16"/>
      <c r="B26" s="1" t="s">
        <v>219</v>
      </c>
      <c r="G26" s="2">
        <f>G22*G20</f>
        <v>29520</v>
      </c>
      <c r="H26" s="12" t="s">
        <v>27</v>
      </c>
      <c r="I26" s="3"/>
      <c r="K26" s="16" t="s">
        <v>54</v>
      </c>
      <c r="L26" s="1" t="s">
        <v>172</v>
      </c>
      <c r="Q26" s="2">
        <v>16.2</v>
      </c>
      <c r="R26" s="3" t="s">
        <v>27</v>
      </c>
      <c r="T26" s="16"/>
      <c r="U26" s="1" t="s">
        <v>219</v>
      </c>
      <c r="Z26" s="2">
        <f>Z22*Z20</f>
        <v>29520</v>
      </c>
      <c r="AA26" s="12" t="s">
        <v>27</v>
      </c>
      <c r="AB26" s="3"/>
    </row>
    <row r="27" spans="1:28" x14ac:dyDescent="0.3">
      <c r="A27" s="16"/>
      <c r="B27" s="1"/>
      <c r="I27" s="3"/>
      <c r="K27" s="16"/>
      <c r="L27" s="1" t="s">
        <v>167</v>
      </c>
      <c r="Q27" s="2">
        <v>80</v>
      </c>
      <c r="R27" s="3" t="s">
        <v>20</v>
      </c>
      <c r="T27" s="16"/>
      <c r="U27" s="1"/>
      <c r="AB27" s="3"/>
    </row>
    <row r="28" spans="1:28" x14ac:dyDescent="0.3">
      <c r="A28" s="16"/>
      <c r="B28" s="1"/>
      <c r="C28" s="12" t="s">
        <v>159</v>
      </c>
      <c r="I28" s="3"/>
      <c r="K28" s="16" t="s">
        <v>56</v>
      </c>
      <c r="L28" s="1" t="s">
        <v>221</v>
      </c>
      <c r="Q28" s="2">
        <v>940</v>
      </c>
      <c r="R28" s="3" t="s">
        <v>33</v>
      </c>
      <c r="T28" s="16"/>
      <c r="U28" s="1"/>
      <c r="V28" s="12" t="s">
        <v>159</v>
      </c>
      <c r="AB28" s="3"/>
    </row>
    <row r="29" spans="1:28" x14ac:dyDescent="0.3">
      <c r="A29" s="16"/>
      <c r="B29" s="1"/>
      <c r="I29" s="3"/>
      <c r="K29" s="16" t="s">
        <v>56</v>
      </c>
      <c r="L29" s="1" t="s">
        <v>222</v>
      </c>
      <c r="Q29" s="2">
        <v>581</v>
      </c>
      <c r="R29" s="3" t="s">
        <v>33</v>
      </c>
      <c r="T29" s="16"/>
      <c r="U29" s="1"/>
      <c r="AB29" s="3"/>
    </row>
    <row r="30" spans="1:28" x14ac:dyDescent="0.3">
      <c r="A30" s="16"/>
      <c r="B30" s="79" t="s">
        <v>153</v>
      </c>
      <c r="C30" s="78"/>
      <c r="D30" s="78"/>
      <c r="E30" s="78"/>
      <c r="F30" s="78"/>
      <c r="G30" s="78">
        <f>$G$14+G23+$G$8</f>
        <v>3532608.1294692699</v>
      </c>
      <c r="H30" s="78" t="s">
        <v>143</v>
      </c>
      <c r="I30" s="3"/>
      <c r="K30" s="16" t="s">
        <v>56</v>
      </c>
      <c r="L30" s="1" t="s">
        <v>223</v>
      </c>
      <c r="Q30" s="2">
        <v>744</v>
      </c>
      <c r="R30" s="3" t="s">
        <v>33</v>
      </c>
      <c r="T30" s="16"/>
      <c r="U30" s="79" t="s">
        <v>153</v>
      </c>
      <c r="V30" s="78"/>
      <c r="W30" s="78"/>
      <c r="X30" s="78"/>
      <c r="Y30" s="78"/>
      <c r="Z30" s="78">
        <f>$Z$15+Z23+$G$8</f>
        <v>100812.19055658975</v>
      </c>
      <c r="AA30" s="78" t="s">
        <v>143</v>
      </c>
      <c r="AB30" s="3"/>
    </row>
    <row r="31" spans="1:28" x14ac:dyDescent="0.3">
      <c r="A31" s="16"/>
      <c r="B31" s="31" t="s">
        <v>157</v>
      </c>
      <c r="G31" s="78">
        <f>G30/1000</f>
        <v>3532.6081294692699</v>
      </c>
      <c r="H31" s="78" t="s">
        <v>158</v>
      </c>
      <c r="I31" s="3"/>
      <c r="K31" s="16" t="s">
        <v>56</v>
      </c>
      <c r="L31" s="1" t="s">
        <v>224</v>
      </c>
      <c r="Q31" s="2">
        <v>369</v>
      </c>
      <c r="R31" s="3" t="s">
        <v>33</v>
      </c>
      <c r="T31" s="16"/>
      <c r="U31" s="31" t="s">
        <v>157</v>
      </c>
      <c r="Z31" s="78">
        <f>Z30/1000</f>
        <v>100.81219055658974</v>
      </c>
      <c r="AA31" s="78" t="s">
        <v>158</v>
      </c>
      <c r="AB31" s="3"/>
    </row>
    <row r="32" spans="1:28" x14ac:dyDescent="0.3">
      <c r="A32" s="16"/>
      <c r="B32" s="80" t="s">
        <v>154</v>
      </c>
      <c r="C32" s="23"/>
      <c r="D32" s="23"/>
      <c r="E32" s="23"/>
      <c r="F32" s="23"/>
      <c r="G32" s="23">
        <f>$G$14+G24+$G$8</f>
        <v>3503888.1294692699</v>
      </c>
      <c r="H32" s="23" t="s">
        <v>143</v>
      </c>
      <c r="I32" s="3"/>
      <c r="K32" s="16"/>
      <c r="L32" s="1"/>
      <c r="R32" s="3"/>
      <c r="T32" s="16"/>
      <c r="U32" s="80" t="s">
        <v>154</v>
      </c>
      <c r="V32" s="23"/>
      <c r="W32" s="23"/>
      <c r="X32" s="23"/>
      <c r="Y32" s="23"/>
      <c r="Z32" s="23">
        <f>$Z$15+Z24+$G$8</f>
        <v>72092.190556589747</v>
      </c>
      <c r="AA32" s="23" t="s">
        <v>143</v>
      </c>
      <c r="AB32" s="3"/>
    </row>
    <row r="33" spans="1:28" ht="14.4" customHeight="1" x14ac:dyDescent="0.3">
      <c r="A33" s="16"/>
      <c r="B33" s="31" t="s">
        <v>157</v>
      </c>
      <c r="G33" s="23">
        <f>G32/1000</f>
        <v>3503.8881294692701</v>
      </c>
      <c r="H33" s="23" t="s">
        <v>158</v>
      </c>
      <c r="I33" s="3"/>
      <c r="K33" s="16"/>
      <c r="L33" s="79" t="s">
        <v>153</v>
      </c>
      <c r="M33" s="78"/>
      <c r="N33" s="78"/>
      <c r="O33" s="78"/>
      <c r="P33" s="78"/>
      <c r="Q33" s="78">
        <f>($Q$27*Q28)+$Q$26</f>
        <v>75216.2</v>
      </c>
      <c r="R33" s="87" t="s">
        <v>143</v>
      </c>
      <c r="T33" s="16"/>
      <c r="U33" s="31" t="s">
        <v>157</v>
      </c>
      <c r="Z33" s="23">
        <f>Z32/1000</f>
        <v>72.092190556589742</v>
      </c>
      <c r="AA33" s="23" t="s">
        <v>158</v>
      </c>
      <c r="AB33" s="3"/>
    </row>
    <row r="34" spans="1:28" x14ac:dyDescent="0.3">
      <c r="A34" s="16"/>
      <c r="B34" s="76" t="s">
        <v>155</v>
      </c>
      <c r="C34" s="73"/>
      <c r="D34" s="73"/>
      <c r="E34" s="73"/>
      <c r="F34" s="73"/>
      <c r="G34" s="73">
        <f>$G$14+G25+$G$8</f>
        <v>3516928.1294692699</v>
      </c>
      <c r="H34" s="73" t="s">
        <v>143</v>
      </c>
      <c r="I34" s="3"/>
      <c r="K34" s="16"/>
      <c r="L34" s="31" t="s">
        <v>157</v>
      </c>
      <c r="Q34" s="78">
        <f>Q33/1000</f>
        <v>75.216200000000001</v>
      </c>
      <c r="R34" s="87" t="s">
        <v>158</v>
      </c>
      <c r="T34" s="16"/>
      <c r="U34" s="76" t="s">
        <v>155</v>
      </c>
      <c r="V34" s="73"/>
      <c r="W34" s="73"/>
      <c r="X34" s="73"/>
      <c r="Y34" s="73"/>
      <c r="Z34" s="73">
        <f>$Z$15+Z25+$G$8</f>
        <v>85132.190556589747</v>
      </c>
      <c r="AA34" s="73" t="s">
        <v>143</v>
      </c>
      <c r="AB34" s="3"/>
    </row>
    <row r="35" spans="1:28" x14ac:dyDescent="0.3">
      <c r="A35" s="16"/>
      <c r="B35" s="31" t="s">
        <v>157</v>
      </c>
      <c r="G35" s="73">
        <f>G34/1000</f>
        <v>3516.9281294692701</v>
      </c>
      <c r="H35" s="73" t="s">
        <v>158</v>
      </c>
      <c r="I35" s="3"/>
      <c r="K35" s="16"/>
      <c r="L35" s="80" t="s">
        <v>154</v>
      </c>
      <c r="M35" s="23"/>
      <c r="N35" s="23"/>
      <c r="O35" s="23"/>
      <c r="P35" s="23"/>
      <c r="Q35" s="23">
        <f>($Q$27*Q29)+$Q$26</f>
        <v>46496.2</v>
      </c>
      <c r="R35" s="88" t="s">
        <v>143</v>
      </c>
      <c r="T35" s="16"/>
      <c r="U35" s="31" t="s">
        <v>157</v>
      </c>
      <c r="Z35" s="73">
        <f>Z34/1000</f>
        <v>85.132190556589748</v>
      </c>
      <c r="AA35" s="73" t="s">
        <v>158</v>
      </c>
      <c r="AB35" s="3"/>
    </row>
    <row r="36" spans="1:28" x14ac:dyDescent="0.3">
      <c r="A36" s="16"/>
      <c r="B36" s="85" t="s">
        <v>156</v>
      </c>
      <c r="C36" s="84"/>
      <c r="D36" s="84"/>
      <c r="E36" s="84"/>
      <c r="F36" s="84"/>
      <c r="G36" s="84">
        <f>$G$14+G26+$G$8</f>
        <v>3486928.1294692699</v>
      </c>
      <c r="H36" s="84" t="s">
        <v>143</v>
      </c>
      <c r="I36" s="3"/>
      <c r="K36" s="16"/>
      <c r="L36" s="31" t="s">
        <v>157</v>
      </c>
      <c r="Q36" s="23">
        <f>Q35/1000</f>
        <v>46.496199999999995</v>
      </c>
      <c r="R36" s="88" t="s">
        <v>158</v>
      </c>
      <c r="T36" s="16"/>
      <c r="U36" s="85" t="s">
        <v>156</v>
      </c>
      <c r="V36" s="84"/>
      <c r="W36" s="84"/>
      <c r="X36" s="84"/>
      <c r="Y36" s="84"/>
      <c r="Z36" s="84">
        <f>$Z$15+Z26+$G$8</f>
        <v>55132.19055658974</v>
      </c>
      <c r="AA36" s="84" t="s">
        <v>143</v>
      </c>
      <c r="AB36" s="3"/>
    </row>
    <row r="37" spans="1:28" ht="15" thickBot="1" x14ac:dyDescent="0.35">
      <c r="A37" s="17"/>
      <c r="B37" s="64" t="s">
        <v>157</v>
      </c>
      <c r="C37" s="5"/>
      <c r="D37" s="5"/>
      <c r="E37" s="5"/>
      <c r="F37" s="5"/>
      <c r="G37" s="86">
        <f>G36/1000</f>
        <v>3486.9281294692701</v>
      </c>
      <c r="H37" s="86" t="s">
        <v>158</v>
      </c>
      <c r="I37" s="6"/>
      <c r="K37" s="16"/>
      <c r="L37" s="76" t="s">
        <v>155</v>
      </c>
      <c r="M37" s="73"/>
      <c r="N37" s="73"/>
      <c r="O37" s="73"/>
      <c r="P37" s="73"/>
      <c r="Q37" s="73">
        <f>($Q$27*Q30)+$Q$26</f>
        <v>59536.2</v>
      </c>
      <c r="R37" s="77" t="s">
        <v>143</v>
      </c>
      <c r="T37" s="17"/>
      <c r="U37" s="64" t="s">
        <v>157</v>
      </c>
      <c r="V37" s="5"/>
      <c r="W37" s="5"/>
      <c r="X37" s="5"/>
      <c r="Y37" s="5"/>
      <c r="Z37" s="86">
        <f>Z36/1000</f>
        <v>55.132190556589741</v>
      </c>
      <c r="AA37" s="86" t="s">
        <v>158</v>
      </c>
      <c r="AB37" s="6"/>
    </row>
    <row r="38" spans="1:28" x14ac:dyDescent="0.3">
      <c r="K38" s="16"/>
      <c r="L38" s="31" t="s">
        <v>157</v>
      </c>
      <c r="Q38" s="73">
        <f>Q37/1000</f>
        <v>59.536199999999994</v>
      </c>
      <c r="R38" s="77" t="s">
        <v>158</v>
      </c>
    </row>
    <row r="39" spans="1:28" x14ac:dyDescent="0.3">
      <c r="K39" s="16"/>
      <c r="L39" s="85" t="s">
        <v>156</v>
      </c>
      <c r="M39" s="84"/>
      <c r="N39" s="84"/>
      <c r="O39" s="84"/>
      <c r="P39" s="84"/>
      <c r="Q39" s="84">
        <f>($Q$27*Q31)+$Q$26</f>
        <v>29536.2</v>
      </c>
      <c r="R39" s="89" t="s">
        <v>143</v>
      </c>
    </row>
    <row r="40" spans="1:28" ht="15" thickBot="1" x14ac:dyDescent="0.35">
      <c r="K40" s="17"/>
      <c r="L40" s="64" t="s">
        <v>157</v>
      </c>
      <c r="M40" s="5"/>
      <c r="N40" s="5"/>
      <c r="O40" s="5"/>
      <c r="P40" s="5"/>
      <c r="Q40" s="86">
        <f>Q39/1000</f>
        <v>29.536200000000001</v>
      </c>
      <c r="R40" s="90" t="s">
        <v>158</v>
      </c>
    </row>
    <row r="42" spans="1:28" x14ac:dyDescent="0.3">
      <c r="A42" s="75" t="s">
        <v>77</v>
      </c>
      <c r="H42" s="61"/>
      <c r="K42" s="2"/>
    </row>
    <row r="43" spans="1:28" x14ac:dyDescent="0.3">
      <c r="A43" s="75" t="s">
        <v>54</v>
      </c>
      <c r="B43" s="110" t="s">
        <v>146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</row>
    <row r="44" spans="1:28" x14ac:dyDescent="0.3">
      <c r="A44" s="75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</row>
    <row r="45" spans="1:28" x14ac:dyDescent="0.3">
      <c r="A45" s="75" t="s">
        <v>55</v>
      </c>
      <c r="B45" s="110" t="s">
        <v>115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</row>
    <row r="46" spans="1:28" x14ac:dyDescent="0.3">
      <c r="A46" s="75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</row>
    <row r="47" spans="1:28" x14ac:dyDescent="0.3">
      <c r="A47" s="100" t="s">
        <v>56</v>
      </c>
      <c r="B47" s="111" t="s">
        <v>147</v>
      </c>
      <c r="C47" s="111"/>
      <c r="D47" s="111"/>
      <c r="E47" s="111"/>
      <c r="F47" s="111"/>
      <c r="G47" s="111"/>
      <c r="H47" s="111"/>
      <c r="K47" s="2"/>
    </row>
    <row r="48" spans="1:28" ht="14.4" customHeight="1" x14ac:dyDescent="0.3">
      <c r="A48" s="75"/>
      <c r="B48" s="111"/>
      <c r="C48" s="111"/>
      <c r="D48" s="111"/>
      <c r="E48" s="111"/>
      <c r="F48" s="111"/>
      <c r="G48" s="111"/>
      <c r="H48" s="111"/>
      <c r="K48" s="2"/>
    </row>
    <row r="49" spans="1:14" x14ac:dyDescent="0.3">
      <c r="A49" s="14" t="s">
        <v>78</v>
      </c>
      <c r="B49" s="113" t="s">
        <v>108</v>
      </c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</row>
    <row r="50" spans="1:14" x14ac:dyDescent="0.3">
      <c r="A50" s="14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</row>
    <row r="51" spans="1:14" x14ac:dyDescent="0.3">
      <c r="A51" s="14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</row>
    <row r="52" spans="1:14" ht="15.6" customHeight="1" x14ac:dyDescent="0.3">
      <c r="A52" s="75" t="s">
        <v>79</v>
      </c>
      <c r="B52" s="127" t="s">
        <v>170</v>
      </c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</row>
    <row r="53" spans="1:14" ht="14.4" customHeight="1" x14ac:dyDescent="0.3">
      <c r="A53" s="75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</row>
    <row r="54" spans="1:14" ht="14.4" customHeight="1" x14ac:dyDescent="0.3">
      <c r="A54" s="75" t="s">
        <v>80</v>
      </c>
      <c r="B54" s="110" t="s">
        <v>244</v>
      </c>
      <c r="C54" s="110"/>
      <c r="D54" s="110"/>
      <c r="E54" s="110"/>
      <c r="F54" s="110"/>
      <c r="G54" s="110"/>
      <c r="H54" s="110"/>
      <c r="I54" s="110"/>
      <c r="J54" s="110"/>
      <c r="K54" s="110"/>
    </row>
    <row r="55" spans="1:14" ht="14.4" customHeight="1" x14ac:dyDescent="0.3">
      <c r="B55" s="110"/>
      <c r="C55" s="110"/>
      <c r="D55" s="110"/>
      <c r="E55" s="110"/>
      <c r="F55" s="110"/>
      <c r="G55" s="110"/>
      <c r="H55" s="110"/>
      <c r="I55" s="110"/>
      <c r="J55" s="110"/>
      <c r="K55" s="110"/>
    </row>
    <row r="56" spans="1:14" ht="15.6" customHeight="1" x14ac:dyDescent="0.3"/>
    <row r="57" spans="1:14" ht="14.4" customHeight="1" x14ac:dyDescent="0.3"/>
  </sheetData>
  <mergeCells count="12">
    <mergeCell ref="B54:K55"/>
    <mergeCell ref="L2:R3"/>
    <mergeCell ref="L4:R5"/>
    <mergeCell ref="U1:AB2"/>
    <mergeCell ref="B49:N51"/>
    <mergeCell ref="B52:M53"/>
    <mergeCell ref="B43:N44"/>
    <mergeCell ref="B45:M46"/>
    <mergeCell ref="B47:H48"/>
    <mergeCell ref="L21:P22"/>
    <mergeCell ref="R21:R22"/>
    <mergeCell ref="Q21:Q2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500-D49C-4F78-A6EB-97391F83EBC6}">
  <dimension ref="A1:AF45"/>
  <sheetViews>
    <sheetView topLeftCell="B1" zoomScale="85" zoomScaleNormal="85" workbookViewId="0">
      <selection activeCell="X8" sqref="X8"/>
    </sheetView>
  </sheetViews>
  <sheetFormatPr defaultRowHeight="14.4" x14ac:dyDescent="0.3"/>
  <cols>
    <col min="7" max="7" width="10.44140625" customWidth="1"/>
    <col min="14" max="14" width="10.5546875" customWidth="1"/>
    <col min="21" max="21" width="10.33203125" customWidth="1"/>
  </cols>
  <sheetData>
    <row r="1" spans="1:32" x14ac:dyDescent="0.3">
      <c r="G1" t="s">
        <v>208</v>
      </c>
      <c r="H1" t="s">
        <v>211</v>
      </c>
      <c r="I1" t="s">
        <v>210</v>
      </c>
      <c r="J1" t="s">
        <v>209</v>
      </c>
      <c r="K1" t="s">
        <v>229</v>
      </c>
      <c r="L1" t="s">
        <v>230</v>
      </c>
      <c r="M1" t="s">
        <v>231</v>
      </c>
      <c r="N1" t="s">
        <v>232</v>
      </c>
      <c r="O1" t="s">
        <v>235</v>
      </c>
      <c r="S1" t="s">
        <v>254</v>
      </c>
      <c r="T1" t="s">
        <v>253</v>
      </c>
      <c r="U1" t="s">
        <v>231</v>
      </c>
      <c r="V1" t="s">
        <v>235</v>
      </c>
      <c r="Z1" t="s">
        <v>210</v>
      </c>
      <c r="AA1" t="s">
        <v>235</v>
      </c>
      <c r="AB1" t="s">
        <v>248</v>
      </c>
    </row>
    <row r="2" spans="1:32" x14ac:dyDescent="0.3">
      <c r="B2" t="s">
        <v>226</v>
      </c>
      <c r="G2">
        <v>13.248000000000001</v>
      </c>
      <c r="H2">
        <v>13.248000000000001</v>
      </c>
      <c r="I2">
        <v>13.248000000000001</v>
      </c>
      <c r="J2">
        <v>13.248000000000001</v>
      </c>
      <c r="K2">
        <v>16.2</v>
      </c>
      <c r="L2">
        <v>16.2</v>
      </c>
      <c r="M2">
        <v>16.2</v>
      </c>
      <c r="N2">
        <v>16.2</v>
      </c>
      <c r="R2" t="s">
        <v>237</v>
      </c>
      <c r="S2">
        <v>1.3247999999999999E-2</v>
      </c>
      <c r="T2">
        <f>0.001*13.248</f>
        <v>1.3247999999999999E-2</v>
      </c>
      <c r="U2">
        <f>0.001*16.2</f>
        <v>1.6199999999999999E-2</v>
      </c>
      <c r="Y2" t="s">
        <v>237</v>
      </c>
      <c r="Z2">
        <v>1.3247999999999999E-2</v>
      </c>
    </row>
    <row r="3" spans="1:32" x14ac:dyDescent="0.3">
      <c r="B3" t="s">
        <v>140</v>
      </c>
      <c r="G3" s="2">
        <v>3457394.8814692697</v>
      </c>
      <c r="H3" s="2">
        <v>25598.942556589744</v>
      </c>
      <c r="I3" s="2">
        <v>25598.942556589744</v>
      </c>
      <c r="J3" s="2">
        <v>25598.942556589744</v>
      </c>
      <c r="R3" t="s">
        <v>236</v>
      </c>
      <c r="S3">
        <f>G4</f>
        <v>3457.3948814692699</v>
      </c>
      <c r="T3">
        <v>25.598942556589744</v>
      </c>
      <c r="Y3" t="s">
        <v>238</v>
      </c>
      <c r="Z3">
        <v>59.52</v>
      </c>
      <c r="AD3" s="104"/>
      <c r="AE3" s="104" t="s">
        <v>262</v>
      </c>
      <c r="AF3" s="104" t="s">
        <v>263</v>
      </c>
    </row>
    <row r="4" spans="1:32" x14ac:dyDescent="0.3">
      <c r="B4" t="s">
        <v>157</v>
      </c>
      <c r="G4">
        <f>G3*0.001</f>
        <v>3457.3948814692699</v>
      </c>
      <c r="H4">
        <f t="shared" ref="H4:J4" si="0">H3*0.001</f>
        <v>25.598942556589744</v>
      </c>
      <c r="I4">
        <f t="shared" si="0"/>
        <v>25.598942556589744</v>
      </c>
      <c r="J4">
        <f t="shared" si="0"/>
        <v>25.598942556589744</v>
      </c>
      <c r="R4" t="s">
        <v>238</v>
      </c>
      <c r="S4">
        <v>59.52</v>
      </c>
      <c r="T4">
        <f>0.001*59520</f>
        <v>59.52</v>
      </c>
      <c r="U4">
        <f>0.001*59520</f>
        <v>59.52</v>
      </c>
      <c r="Y4" t="s">
        <v>241</v>
      </c>
      <c r="AA4" s="104">
        <f>AB4/AA8</f>
        <v>0.90129412044856372</v>
      </c>
      <c r="AB4">
        <v>233.75638399999994</v>
      </c>
      <c r="AD4" s="104" t="s">
        <v>265</v>
      </c>
      <c r="AE4" s="104"/>
      <c r="AF4" s="104">
        <v>0.90129412044856372</v>
      </c>
    </row>
    <row r="5" spans="1:32" x14ac:dyDescent="0.3">
      <c r="B5" t="s">
        <v>234</v>
      </c>
      <c r="G5">
        <f t="shared" ref="G5:N5" si="1">G6*0.001</f>
        <v>75.2</v>
      </c>
      <c r="H5">
        <f t="shared" si="1"/>
        <v>46.480000000000004</v>
      </c>
      <c r="I5">
        <f t="shared" si="1"/>
        <v>59.52</v>
      </c>
      <c r="J5">
        <f t="shared" si="1"/>
        <v>29.52</v>
      </c>
      <c r="K5">
        <f t="shared" si="1"/>
        <v>75.2</v>
      </c>
      <c r="L5">
        <f t="shared" si="1"/>
        <v>46.480000000000004</v>
      </c>
      <c r="M5">
        <f t="shared" si="1"/>
        <v>59.52</v>
      </c>
      <c r="N5">
        <f t="shared" si="1"/>
        <v>29.52</v>
      </c>
      <c r="R5" t="s">
        <v>239</v>
      </c>
      <c r="T5" s="103"/>
      <c r="V5">
        <f>25600*0.001</f>
        <v>25.6</v>
      </c>
      <c r="Y5" t="s">
        <v>250</v>
      </c>
      <c r="Z5" s="109">
        <f>AB5/Z8</f>
        <v>0.69930360784533774</v>
      </c>
      <c r="AB5">
        <f>Z2+Z3</f>
        <v>59.533248</v>
      </c>
      <c r="AD5" s="104" t="s">
        <v>251</v>
      </c>
      <c r="AE5" s="104"/>
      <c r="AF5" s="104">
        <v>9.8705879551436074E-2</v>
      </c>
    </row>
    <row r="6" spans="1:32" x14ac:dyDescent="0.3">
      <c r="B6" t="s">
        <v>227</v>
      </c>
      <c r="G6">
        <v>75200</v>
      </c>
      <c r="H6">
        <v>46480</v>
      </c>
      <c r="I6">
        <v>59520</v>
      </c>
      <c r="J6">
        <v>29520</v>
      </c>
      <c r="K6">
        <v>75200</v>
      </c>
      <c r="L6">
        <v>46480</v>
      </c>
      <c r="M6">
        <v>59520</v>
      </c>
      <c r="N6">
        <v>29520</v>
      </c>
      <c r="R6" t="s">
        <v>241</v>
      </c>
      <c r="T6" s="103"/>
      <c r="V6">
        <f>0.001*AB17</f>
        <v>233.75638399999994</v>
      </c>
      <c r="Y6" t="s">
        <v>249</v>
      </c>
      <c r="Z6" s="109">
        <f>AB6/Z8</f>
        <v>0.30069639215466226</v>
      </c>
      <c r="AB6">
        <v>25.598942556589744</v>
      </c>
      <c r="AD6" s="104" t="s">
        <v>264</v>
      </c>
      <c r="AE6" s="104">
        <v>0.69930360784533774</v>
      </c>
      <c r="AF6" s="104"/>
    </row>
    <row r="7" spans="1:32" x14ac:dyDescent="0.3">
      <c r="B7" t="s">
        <v>228</v>
      </c>
      <c r="G7" s="2">
        <v>3516928.1294692699</v>
      </c>
      <c r="H7" s="2">
        <v>72092.190556589747</v>
      </c>
      <c r="I7" s="2">
        <v>85132.190556589747</v>
      </c>
      <c r="J7" s="2">
        <v>55132.19055658974</v>
      </c>
      <c r="K7">
        <v>75216.2</v>
      </c>
      <c r="L7">
        <v>46496.2</v>
      </c>
      <c r="M7">
        <v>59536.2</v>
      </c>
      <c r="N7">
        <v>29536.2</v>
      </c>
      <c r="O7">
        <v>259356.38399999993</v>
      </c>
      <c r="R7" t="s">
        <v>228</v>
      </c>
      <c r="S7">
        <v>3516.9281294692701</v>
      </c>
      <c r="T7">
        <v>85.132190556589748</v>
      </c>
      <c r="U7">
        <v>59.536199999999994</v>
      </c>
      <c r="V7">
        <f>0.001*259356.384</f>
        <v>259.35638399999999</v>
      </c>
      <c r="Y7" t="s">
        <v>251</v>
      </c>
      <c r="AA7" s="104">
        <f>AB7/AA8</f>
        <v>9.8705879551436074E-2</v>
      </c>
      <c r="AB7">
        <v>25.6</v>
      </c>
      <c r="AD7" s="104" t="s">
        <v>249</v>
      </c>
      <c r="AE7" s="104">
        <v>0.30069639215466226</v>
      </c>
      <c r="AF7" s="104"/>
    </row>
    <row r="8" spans="1:32" x14ac:dyDescent="0.3">
      <c r="B8" t="s">
        <v>157</v>
      </c>
      <c r="G8">
        <f>G7*0.001</f>
        <v>3516.9281294692701</v>
      </c>
      <c r="H8">
        <f t="shared" ref="H8:J8" si="2">H7*0.001</f>
        <v>72.092190556589742</v>
      </c>
      <c r="I8">
        <f t="shared" si="2"/>
        <v>85.132190556589748</v>
      </c>
      <c r="J8">
        <f t="shared" si="2"/>
        <v>55.132190556589741</v>
      </c>
      <c r="K8">
        <v>75.216200000000001</v>
      </c>
      <c r="L8">
        <v>46.496199999999995</v>
      </c>
      <c r="M8">
        <v>59.536199999999994</v>
      </c>
      <c r="N8">
        <v>29.536200000000001</v>
      </c>
      <c r="Y8" t="s">
        <v>252</v>
      </c>
      <c r="Z8">
        <v>85.132190556589748</v>
      </c>
      <c r="AA8">
        <v>259.35638399999999</v>
      </c>
    </row>
    <row r="9" spans="1:32" x14ac:dyDescent="0.3">
      <c r="B9" t="s">
        <v>102</v>
      </c>
      <c r="O9">
        <v>25600</v>
      </c>
    </row>
    <row r="12" spans="1:32" ht="15" thickBot="1" x14ac:dyDescent="0.35"/>
    <row r="13" spans="1:32" x14ac:dyDescent="0.3">
      <c r="A13" s="136" t="s">
        <v>246</v>
      </c>
      <c r="B13" s="137"/>
      <c r="C13" s="137"/>
      <c r="D13" s="137"/>
      <c r="E13" s="137"/>
      <c r="F13" s="137"/>
      <c r="G13" s="138"/>
      <c r="H13" s="136" t="s">
        <v>246</v>
      </c>
      <c r="I13" s="137"/>
      <c r="J13" s="137"/>
      <c r="K13" s="137"/>
      <c r="L13" s="137"/>
      <c r="M13" s="137"/>
      <c r="N13" s="138"/>
      <c r="O13" s="136" t="s">
        <v>225</v>
      </c>
      <c r="P13" s="137"/>
      <c r="Q13" s="137"/>
      <c r="R13" s="137"/>
      <c r="S13" s="137"/>
      <c r="T13" s="137"/>
      <c r="U13" s="138"/>
      <c r="W13" s="139" t="s">
        <v>247</v>
      </c>
      <c r="X13" s="139"/>
      <c r="Y13" s="139"/>
      <c r="Z13" s="139"/>
      <c r="AA13" s="139"/>
      <c r="AB13" s="139"/>
      <c r="AC13" s="139"/>
    </row>
    <row r="14" spans="1:32" x14ac:dyDescent="0.3">
      <c r="A14" s="1" t="s">
        <v>208</v>
      </c>
      <c r="B14" s="2"/>
      <c r="C14" s="2"/>
      <c r="D14" s="2"/>
      <c r="E14" s="2"/>
      <c r="F14" s="2"/>
      <c r="G14" s="3"/>
      <c r="H14" s="1" t="s">
        <v>208</v>
      </c>
      <c r="I14" s="2"/>
      <c r="J14" s="2"/>
      <c r="K14" s="2"/>
      <c r="L14" s="2"/>
      <c r="M14" s="2"/>
      <c r="N14" s="3"/>
      <c r="O14" s="1"/>
      <c r="P14" s="2"/>
      <c r="Q14" s="2"/>
      <c r="R14" s="2"/>
      <c r="S14" s="2"/>
      <c r="T14" s="2"/>
      <c r="U14" s="3"/>
    </row>
    <row r="15" spans="1:32" x14ac:dyDescent="0.3">
      <c r="A15" s="1" t="str">
        <f>'LCA of MOFFCEV &amp; LCO BEV'!B8</f>
        <v>MOF-FCEV hydrogen tank embodied energy (no MOF)</v>
      </c>
      <c r="B15" s="2"/>
      <c r="C15" s="2"/>
      <c r="D15" s="2"/>
      <c r="E15" s="2"/>
      <c r="F15" s="2">
        <f>'LCA of MOFFCEV &amp; LCO BEV'!G8</f>
        <v>13.248000000000001</v>
      </c>
      <c r="G15" s="3" t="str">
        <f>'LCA of MOFFCEV &amp; LCO BEV'!H8</f>
        <v>MJ</v>
      </c>
      <c r="H15" s="1" t="s">
        <v>136</v>
      </c>
      <c r="I15" s="2"/>
      <c r="J15" s="2"/>
      <c r="K15" s="2"/>
      <c r="L15" s="2"/>
      <c r="M15" s="2">
        <v>13.248000000000001</v>
      </c>
      <c r="N15" s="3" t="s">
        <v>27</v>
      </c>
      <c r="O15" s="1" t="s">
        <v>229</v>
      </c>
      <c r="P15" s="2"/>
      <c r="Q15" s="2"/>
      <c r="R15" s="2"/>
      <c r="S15" s="2"/>
      <c r="T15" s="2"/>
      <c r="U15" s="3"/>
      <c r="W15" t="str">
        <f>'LCA of MOFFCEV &amp; LCO BEV'!L18</f>
        <v>Total LCO material Embodied energy</v>
      </c>
      <c r="AB15">
        <f>'LCA of MOFFCEV &amp; LCO BEV'!Q18</f>
        <v>25600</v>
      </c>
      <c r="AC15" t="str">
        <f>'LCA of MOFFCEV &amp; LCO BEV'!R18</f>
        <v>MJ/BEV</v>
      </c>
    </row>
    <row r="16" spans="1:32" ht="15" customHeight="1" x14ac:dyDescent="0.3">
      <c r="A16" s="1" t="str">
        <f>'LCA of MOFFCEV &amp; LCO BEV'!B14</f>
        <v>total embodied energy for required MOF mass</v>
      </c>
      <c r="B16" s="2"/>
      <c r="C16" s="2"/>
      <c r="D16" s="2"/>
      <c r="E16" s="2"/>
      <c r="F16" s="2">
        <f>'LCA of MOFFCEV &amp; LCO BEV'!G14</f>
        <v>3457394.8814692697</v>
      </c>
      <c r="G16" s="3" t="str">
        <f>'LCA of MOFFCEV &amp; LCO BEV'!H14</f>
        <v>MJ</v>
      </c>
      <c r="H16" s="1" t="s">
        <v>140</v>
      </c>
      <c r="I16" s="2"/>
      <c r="J16" s="2"/>
      <c r="K16" s="2"/>
      <c r="L16" s="2"/>
      <c r="M16" s="2">
        <v>25598.942556589744</v>
      </c>
      <c r="N16" s="3" t="s">
        <v>27</v>
      </c>
      <c r="O16" s="1" t="s">
        <v>213</v>
      </c>
      <c r="P16" s="2"/>
      <c r="Q16" s="2"/>
      <c r="R16" s="2"/>
      <c r="S16" s="2"/>
      <c r="T16" s="2">
        <f>'LCA of MOFFCEV &amp; LCO BEV'!G23</f>
        <v>75200</v>
      </c>
      <c r="U16" s="3" t="str">
        <f>'LCA of MOFFCEV &amp; LCO BEV'!H23</f>
        <v>MJ</v>
      </c>
      <c r="W16" t="str">
        <f>'LCA of MOFFCEV &amp; LCO BEV'!L21</f>
        <v>Total embodied energy of a Li ion battery pack assuming same kWh as MOF FCEV</v>
      </c>
      <c r="AB16">
        <f>'LCA of MOFFCEV &amp; LCO BEV'!Q21</f>
        <v>259356.38399999993</v>
      </c>
      <c r="AC16" t="str">
        <f>'LCA of MOFFCEV &amp; LCO BEV'!R21</f>
        <v>MJ/pack</v>
      </c>
    </row>
    <row r="17" spans="1:28" ht="14.4" customHeight="1" x14ac:dyDescent="0.3">
      <c r="A17" s="1" t="s">
        <v>213</v>
      </c>
      <c r="B17" s="2"/>
      <c r="C17" s="2"/>
      <c r="D17" s="2"/>
      <c r="E17" s="2"/>
      <c r="F17" s="2">
        <f>'LCA of MOFFCEV &amp; LCO BEV'!G23</f>
        <v>75200</v>
      </c>
      <c r="G17" s="3" t="str">
        <f>'LCA of MOFFCEV &amp; LCO BEV'!H23</f>
        <v>MJ</v>
      </c>
      <c r="H17" s="1" t="s">
        <v>213</v>
      </c>
      <c r="I17" s="2"/>
      <c r="J17" s="2"/>
      <c r="K17" s="2"/>
      <c r="L17" s="2"/>
      <c r="M17" s="2">
        <v>75200</v>
      </c>
      <c r="N17" s="3" t="s">
        <v>27</v>
      </c>
      <c r="O17" s="1" t="str">
        <f>'LCA of MOFFCEV &amp; LCO BEV'!L26</f>
        <v>Electricity for production of Type 4 (700 bar) hydrogen tank</v>
      </c>
      <c r="P17" s="2"/>
      <c r="Q17" s="2"/>
      <c r="R17" s="2"/>
      <c r="S17" s="2"/>
      <c r="T17" s="2">
        <f>'LCA of MOFFCEV &amp; LCO BEV'!Q26</f>
        <v>16.2</v>
      </c>
      <c r="U17" s="3" t="str">
        <f>'LCA of MOFFCEV &amp; LCO BEV'!R26</f>
        <v>MJ</v>
      </c>
      <c r="W17" t="s">
        <v>240</v>
      </c>
      <c r="AB17">
        <f>AB16-AB15</f>
        <v>233756.38399999993</v>
      </c>
    </row>
    <row r="18" spans="1:28" x14ac:dyDescent="0.3">
      <c r="A18" s="1" t="str">
        <f>'LCA of MOFFCEV &amp; LCO BEV'!B30</f>
        <v>Total production embodied energy (case 1 PEM FC)</v>
      </c>
      <c r="B18" s="2"/>
      <c r="C18" s="2"/>
      <c r="D18" s="2"/>
      <c r="E18" s="2"/>
      <c r="F18" s="2">
        <f>'LCA of MOFFCEV &amp; LCO BEV'!G30</f>
        <v>3532608.1294692699</v>
      </c>
      <c r="G18" s="3" t="str">
        <f>'LCA of MOFFCEV &amp; LCO BEV'!H30</f>
        <v>MJ/system</v>
      </c>
      <c r="H18" s="1" t="s">
        <v>153</v>
      </c>
      <c r="I18" s="2"/>
      <c r="J18" s="2"/>
      <c r="K18" s="2"/>
      <c r="L18" s="2"/>
      <c r="M18" s="2">
        <v>100812.19055658975</v>
      </c>
      <c r="N18" s="3" t="s">
        <v>143</v>
      </c>
      <c r="O18" s="1" t="str">
        <f>'LCA of MOFFCEV &amp; LCO BEV'!L33</f>
        <v>Total production embodied energy (case 1 PEM FC)</v>
      </c>
      <c r="P18" s="2"/>
      <c r="Q18" s="2"/>
      <c r="R18" s="2"/>
      <c r="S18" s="2"/>
      <c r="T18" s="2">
        <f>'LCA of MOFFCEV &amp; LCO BEV'!Q33</f>
        <v>75216.2</v>
      </c>
      <c r="U18" s="3" t="str">
        <f>'LCA of MOFFCEV &amp; LCO BEV'!R33</f>
        <v>MJ/system</v>
      </c>
    </row>
    <row r="19" spans="1:28" x14ac:dyDescent="0.3">
      <c r="A19" s="1" t="str">
        <f>'LCA of MOFFCEV &amp; LCO BEV'!B31</f>
        <v>^ in GJ</v>
      </c>
      <c r="B19" s="2"/>
      <c r="C19" s="2"/>
      <c r="D19" s="2"/>
      <c r="E19" s="2"/>
      <c r="F19" s="2">
        <f>'LCA of MOFFCEV &amp; LCO BEV'!G31</f>
        <v>3532.6081294692699</v>
      </c>
      <c r="G19" s="3" t="str">
        <f>'LCA of MOFFCEV &amp; LCO BEV'!H31</f>
        <v>GJ/system</v>
      </c>
      <c r="H19" s="1" t="s">
        <v>157</v>
      </c>
      <c r="I19" s="2"/>
      <c r="J19" s="2"/>
      <c r="K19" s="2"/>
      <c r="L19" s="2"/>
      <c r="M19" s="2">
        <v>100.81219055658974</v>
      </c>
      <c r="N19" s="3" t="s">
        <v>158</v>
      </c>
      <c r="O19" s="1" t="str">
        <f>'LCA of MOFFCEV &amp; LCO BEV'!L34</f>
        <v>^ in GJ</v>
      </c>
      <c r="P19" s="2"/>
      <c r="Q19" s="2"/>
      <c r="R19" s="2"/>
      <c r="S19" s="2"/>
      <c r="T19" s="2">
        <f>'LCA of MOFFCEV &amp; LCO BEV'!Q34</f>
        <v>75.216200000000001</v>
      </c>
      <c r="U19" s="3" t="str">
        <f>'LCA of MOFFCEV &amp; LCO BEV'!R34</f>
        <v>GJ/system</v>
      </c>
    </row>
    <row r="20" spans="1:28" x14ac:dyDescent="0.3">
      <c r="A20" s="1"/>
      <c r="B20" s="2"/>
      <c r="C20" s="2"/>
      <c r="D20" s="2"/>
      <c r="E20" s="2"/>
      <c r="F20" s="2"/>
      <c r="G20" s="3"/>
      <c r="H20" s="1"/>
      <c r="I20" s="2"/>
      <c r="J20" s="2"/>
      <c r="K20" s="2"/>
      <c r="L20" s="2"/>
      <c r="M20" s="2"/>
      <c r="N20" s="3"/>
      <c r="O20" s="1"/>
      <c r="P20" s="2"/>
      <c r="Q20" s="2"/>
      <c r="R20" s="2"/>
      <c r="S20" s="2"/>
      <c r="T20" s="2"/>
      <c r="U20" s="3"/>
    </row>
    <row r="21" spans="1:28" x14ac:dyDescent="0.3">
      <c r="A21" s="1" t="s">
        <v>211</v>
      </c>
      <c r="B21" s="2"/>
      <c r="C21" s="2"/>
      <c r="D21" s="2"/>
      <c r="E21" s="2"/>
      <c r="F21" s="2"/>
      <c r="G21" s="3"/>
      <c r="H21" s="1" t="s">
        <v>211</v>
      </c>
      <c r="I21" s="2"/>
      <c r="J21" s="2"/>
      <c r="K21" s="2"/>
      <c r="L21" s="2"/>
      <c r="M21" s="2"/>
      <c r="N21" s="3"/>
      <c r="O21" s="1"/>
      <c r="P21" s="2"/>
      <c r="Q21" s="2"/>
      <c r="R21" s="2"/>
      <c r="S21" s="2"/>
      <c r="T21" s="2"/>
      <c r="U21" s="3"/>
    </row>
    <row r="22" spans="1:28" x14ac:dyDescent="0.3">
      <c r="A22" s="1" t="str">
        <f>'LCA of MOFFCEV &amp; LCO BEV'!B8</f>
        <v>MOF-FCEV hydrogen tank embodied energy (no MOF)</v>
      </c>
      <c r="B22" s="2"/>
      <c r="C22" s="2"/>
      <c r="D22" s="2"/>
      <c r="E22" s="2"/>
      <c r="F22" s="2">
        <f>'LCA of MOFFCEV &amp; LCO BEV'!G8</f>
        <v>13.248000000000001</v>
      </c>
      <c r="G22" s="3" t="str">
        <f>'LCA of MOFFCEV &amp; LCO BEV'!H8</f>
        <v>MJ</v>
      </c>
      <c r="H22" s="1" t="s">
        <v>136</v>
      </c>
      <c r="I22" s="2"/>
      <c r="J22" s="2"/>
      <c r="K22" s="2"/>
      <c r="L22" s="2"/>
      <c r="M22" s="2">
        <v>13.248000000000001</v>
      </c>
      <c r="N22" s="3" t="s">
        <v>27</v>
      </c>
      <c r="O22" s="1" t="s">
        <v>230</v>
      </c>
      <c r="P22" s="2"/>
      <c r="Q22" s="2"/>
      <c r="R22" s="2"/>
      <c r="S22" s="2"/>
      <c r="T22" s="2"/>
      <c r="U22" s="3"/>
    </row>
    <row r="23" spans="1:28" x14ac:dyDescent="0.3">
      <c r="A23" s="1" t="str">
        <f>'LCA of MOFFCEV &amp; LCO BEV'!B14</f>
        <v>total embodied energy for required MOF mass</v>
      </c>
      <c r="B23" s="2"/>
      <c r="C23" s="2"/>
      <c r="D23" s="2"/>
      <c r="E23" s="2"/>
      <c r="F23" s="2">
        <f>'LCA of MOFFCEV &amp; LCO BEV'!G14</f>
        <v>3457394.8814692697</v>
      </c>
      <c r="G23" s="3" t="str">
        <f>'LCA of MOFFCEV &amp; LCO BEV'!H14</f>
        <v>MJ</v>
      </c>
      <c r="H23" s="1" t="s">
        <v>140</v>
      </c>
      <c r="I23" s="2"/>
      <c r="J23" s="2"/>
      <c r="K23" s="2"/>
      <c r="L23" s="2"/>
      <c r="M23" s="2">
        <v>25598.942556589744</v>
      </c>
      <c r="N23" s="3" t="s">
        <v>27</v>
      </c>
      <c r="O23" s="1" t="s">
        <v>212</v>
      </c>
      <c r="P23" s="2"/>
      <c r="Q23" s="2"/>
      <c r="R23" s="2"/>
      <c r="S23" s="2"/>
      <c r="T23" s="2">
        <f>'LCA of MOFFCEV &amp; LCO BEV'!G24</f>
        <v>46480</v>
      </c>
      <c r="U23" s="3" t="str">
        <f>'LCA of MOFFCEV &amp; LCO BEV'!H24</f>
        <v>MJ</v>
      </c>
    </row>
    <row r="24" spans="1:28" x14ac:dyDescent="0.3">
      <c r="A24" s="1" t="s">
        <v>212</v>
      </c>
      <c r="B24" s="2"/>
      <c r="C24" s="2"/>
      <c r="D24" s="2"/>
      <c r="E24" s="2"/>
      <c r="F24" s="2">
        <f>'LCA of MOFFCEV &amp; LCO BEV'!G24</f>
        <v>46480</v>
      </c>
      <c r="G24" s="3" t="str">
        <f>'LCA of MOFFCEV &amp; LCO BEV'!H24</f>
        <v>MJ</v>
      </c>
      <c r="H24" s="1" t="s">
        <v>212</v>
      </c>
      <c r="I24" s="2"/>
      <c r="J24" s="2"/>
      <c r="K24" s="2"/>
      <c r="L24" s="2"/>
      <c r="M24" s="2">
        <v>46480</v>
      </c>
      <c r="N24" s="3" t="s">
        <v>27</v>
      </c>
      <c r="O24" s="1" t="str">
        <f>'LCA of MOFFCEV &amp; LCO BEV'!L26</f>
        <v>Electricity for production of Type 4 (700 bar) hydrogen tank</v>
      </c>
      <c r="P24" s="2"/>
      <c r="Q24" s="2"/>
      <c r="R24" s="2"/>
      <c r="S24" s="2"/>
      <c r="T24" s="2">
        <f>'LCA of MOFFCEV &amp; LCO BEV'!Q26</f>
        <v>16.2</v>
      </c>
      <c r="U24" s="3" t="str">
        <f>'LCA of MOFFCEV &amp; LCO BEV'!R26</f>
        <v>MJ</v>
      </c>
    </row>
    <row r="25" spans="1:28" x14ac:dyDescent="0.3">
      <c r="A25" s="1" t="str">
        <f>'LCA of MOFFCEV &amp; LCO BEV'!B32</f>
        <v>Total production embodied energy (case 2 PEM FC)</v>
      </c>
      <c r="B25" s="2"/>
      <c r="C25" s="2"/>
      <c r="D25" s="2"/>
      <c r="E25" s="2"/>
      <c r="F25" s="2">
        <f>'LCA of MOFFCEV &amp; LCO BEV'!G32</f>
        <v>3503888.1294692699</v>
      </c>
      <c r="G25" s="3" t="str">
        <f>'LCA of MOFFCEV &amp; LCO BEV'!H32</f>
        <v>MJ/system</v>
      </c>
      <c r="H25" s="1" t="s">
        <v>154</v>
      </c>
      <c r="I25" s="2"/>
      <c r="J25" s="2"/>
      <c r="K25" s="2"/>
      <c r="L25" s="2"/>
      <c r="M25" s="2">
        <v>72092.190556589747</v>
      </c>
      <c r="N25" s="3" t="s">
        <v>143</v>
      </c>
      <c r="O25" s="1" t="str">
        <f>'LCA of MOFFCEV &amp; LCO BEV'!L35</f>
        <v>Total production embodied energy (case 2 PEM FC)</v>
      </c>
      <c r="P25" s="2"/>
      <c r="Q25" s="2"/>
      <c r="R25" s="2"/>
      <c r="S25" s="2"/>
      <c r="T25" s="2">
        <f>'LCA of MOFFCEV &amp; LCO BEV'!Q35</f>
        <v>46496.2</v>
      </c>
      <c r="U25" s="3" t="str">
        <f>'LCA of MOFFCEV &amp; LCO BEV'!R35</f>
        <v>MJ/system</v>
      </c>
    </row>
    <row r="26" spans="1:28" x14ac:dyDescent="0.3">
      <c r="A26" s="1" t="str">
        <f>'LCA of MOFFCEV &amp; LCO BEV'!B33</f>
        <v>^ in GJ</v>
      </c>
      <c r="B26" s="2"/>
      <c r="C26" s="2"/>
      <c r="D26" s="2"/>
      <c r="E26" s="2"/>
      <c r="F26" s="2">
        <f>'LCA of MOFFCEV &amp; LCO BEV'!G33</f>
        <v>3503.8881294692701</v>
      </c>
      <c r="G26" s="3" t="str">
        <f>'LCA of MOFFCEV &amp; LCO BEV'!H33</f>
        <v>GJ/system</v>
      </c>
      <c r="H26" s="1" t="s">
        <v>157</v>
      </c>
      <c r="I26" s="2"/>
      <c r="J26" s="2"/>
      <c r="K26" s="2"/>
      <c r="L26" s="2"/>
      <c r="M26" s="2">
        <v>72.092190556589742</v>
      </c>
      <c r="N26" s="3" t="s">
        <v>158</v>
      </c>
      <c r="O26" s="1" t="str">
        <f>'LCA of MOFFCEV &amp; LCO BEV'!L36</f>
        <v>^ in GJ</v>
      </c>
      <c r="P26" s="2"/>
      <c r="Q26" s="2"/>
      <c r="R26" s="2"/>
      <c r="S26" s="2"/>
      <c r="T26" s="2">
        <f>'LCA of MOFFCEV &amp; LCO BEV'!Q36</f>
        <v>46.496199999999995</v>
      </c>
      <c r="U26" s="3" t="str">
        <f>'LCA of MOFFCEV &amp; LCO BEV'!R36</f>
        <v>GJ/system</v>
      </c>
    </row>
    <row r="27" spans="1:28" x14ac:dyDescent="0.3">
      <c r="A27" s="1"/>
      <c r="B27" s="2"/>
      <c r="C27" s="2"/>
      <c r="D27" s="2"/>
      <c r="E27" s="2"/>
      <c r="F27" s="2"/>
      <c r="G27" s="3"/>
      <c r="H27" s="1"/>
      <c r="I27" s="2"/>
      <c r="J27" s="2"/>
      <c r="K27" s="2"/>
      <c r="L27" s="2"/>
      <c r="M27" s="2"/>
      <c r="N27" s="3"/>
      <c r="O27" s="1"/>
      <c r="P27" s="2"/>
      <c r="Q27" s="2"/>
      <c r="R27" s="2"/>
      <c r="S27" s="2"/>
      <c r="T27" s="2"/>
      <c r="U27" s="3"/>
    </row>
    <row r="28" spans="1:28" x14ac:dyDescent="0.3">
      <c r="A28" s="1" t="s">
        <v>210</v>
      </c>
      <c r="B28" s="2"/>
      <c r="C28" s="2"/>
      <c r="D28" s="2"/>
      <c r="E28" s="2"/>
      <c r="F28" s="2"/>
      <c r="G28" s="3"/>
      <c r="H28" s="1" t="s">
        <v>210</v>
      </c>
      <c r="I28" s="2"/>
      <c r="J28" s="2"/>
      <c r="K28" s="2"/>
      <c r="L28" s="2"/>
      <c r="M28" s="2"/>
      <c r="N28" s="3"/>
      <c r="O28" s="1"/>
      <c r="P28" s="2"/>
      <c r="Q28" s="2"/>
      <c r="R28" s="2"/>
      <c r="S28" s="2"/>
      <c r="T28" s="2"/>
      <c r="U28" s="3"/>
    </row>
    <row r="29" spans="1:28" x14ac:dyDescent="0.3">
      <c r="A29" s="1" t="str">
        <f>'LCA of MOFFCEV &amp; LCO BEV'!B8</f>
        <v>MOF-FCEV hydrogen tank embodied energy (no MOF)</v>
      </c>
      <c r="B29" s="2"/>
      <c r="C29" s="2"/>
      <c r="D29" s="2"/>
      <c r="E29" s="2"/>
      <c r="F29" s="2">
        <f>'LCA of MOFFCEV &amp; LCO BEV'!G8</f>
        <v>13.248000000000001</v>
      </c>
      <c r="G29" s="3" t="str">
        <f>'LCA of MOFFCEV &amp; LCO BEV'!H8</f>
        <v>MJ</v>
      </c>
      <c r="H29" s="1" t="s">
        <v>136</v>
      </c>
      <c r="I29" s="2"/>
      <c r="J29" s="2"/>
      <c r="K29" s="2"/>
      <c r="L29" s="2"/>
      <c r="M29" s="2">
        <v>13.248000000000001</v>
      </c>
      <c r="N29" s="3" t="s">
        <v>27</v>
      </c>
      <c r="O29" s="1" t="s">
        <v>231</v>
      </c>
      <c r="P29" s="2"/>
      <c r="Q29" s="2"/>
      <c r="R29" s="2"/>
      <c r="S29" s="2"/>
      <c r="T29" s="2"/>
      <c r="U29" s="3"/>
    </row>
    <row r="30" spans="1:28" x14ac:dyDescent="0.3">
      <c r="A30" s="1" t="str">
        <f>'LCA of MOFFCEV &amp; LCO BEV'!B14</f>
        <v>total embodied energy for required MOF mass</v>
      </c>
      <c r="B30" s="2"/>
      <c r="C30" s="2"/>
      <c r="D30" s="2"/>
      <c r="E30" s="2"/>
      <c r="F30" s="2">
        <f>'LCA of MOFFCEV &amp; LCO BEV'!G14</f>
        <v>3457394.8814692697</v>
      </c>
      <c r="G30" s="3" t="str">
        <f>'LCA of MOFFCEV &amp; LCO BEV'!H14</f>
        <v>MJ</v>
      </c>
      <c r="H30" s="1" t="s">
        <v>140</v>
      </c>
      <c r="I30" s="2"/>
      <c r="J30" s="2"/>
      <c r="K30" s="2"/>
      <c r="L30" s="2"/>
      <c r="M30" s="2">
        <v>25598.942556589744</v>
      </c>
      <c r="N30" s="3" t="s">
        <v>27</v>
      </c>
      <c r="O30" s="1" t="s">
        <v>215</v>
      </c>
      <c r="P30" s="2"/>
      <c r="Q30" s="2"/>
      <c r="R30" s="2"/>
      <c r="S30" s="2"/>
      <c r="T30" s="2">
        <f>'LCA of MOFFCEV &amp; LCO BEV'!G25</f>
        <v>59520</v>
      </c>
      <c r="U30" s="3" t="str">
        <f>'LCA of MOFFCEV &amp; LCO BEV'!H25</f>
        <v>MJ</v>
      </c>
    </row>
    <row r="31" spans="1:28" x14ac:dyDescent="0.3">
      <c r="A31" s="1" t="s">
        <v>215</v>
      </c>
      <c r="B31" s="2"/>
      <c r="C31" s="2"/>
      <c r="D31" s="2"/>
      <c r="E31" s="2"/>
      <c r="F31" s="2">
        <f>'LCA of MOFFCEV &amp; LCO BEV'!G25</f>
        <v>59520</v>
      </c>
      <c r="G31" s="3" t="str">
        <f>'LCA of MOFFCEV &amp; LCO BEV'!H25</f>
        <v>MJ</v>
      </c>
      <c r="H31" s="1" t="s">
        <v>215</v>
      </c>
      <c r="I31" s="2"/>
      <c r="J31" s="2"/>
      <c r="K31" s="2"/>
      <c r="L31" s="2"/>
      <c r="M31" s="2">
        <v>59520</v>
      </c>
      <c r="N31" s="3" t="s">
        <v>27</v>
      </c>
      <c r="O31" s="1" t="str">
        <f>'LCA of MOFFCEV &amp; LCO BEV'!L26</f>
        <v>Electricity for production of Type 4 (700 bar) hydrogen tank</v>
      </c>
      <c r="P31" s="2"/>
      <c r="Q31" s="2"/>
      <c r="R31" s="2"/>
      <c r="S31" s="2"/>
      <c r="T31" s="2">
        <f>'LCA of MOFFCEV &amp; LCO BEV'!Q26</f>
        <v>16.2</v>
      </c>
      <c r="U31" s="3" t="str">
        <f>'LCA of MOFFCEV &amp; LCO BEV'!R26</f>
        <v>MJ</v>
      </c>
    </row>
    <row r="32" spans="1:28" x14ac:dyDescent="0.3">
      <c r="A32" s="1" t="str">
        <f>'LCA of MOFFCEV &amp; LCO BEV'!B34</f>
        <v>Total production embodied energy (case 3 PEM FC)</v>
      </c>
      <c r="B32" s="2"/>
      <c r="C32" s="2"/>
      <c r="D32" s="2"/>
      <c r="E32" s="2"/>
      <c r="F32" s="2">
        <f>'LCA of MOFFCEV &amp; LCO BEV'!G34</f>
        <v>3516928.1294692699</v>
      </c>
      <c r="G32" s="3" t="str">
        <f>'LCA of MOFFCEV &amp; LCO BEV'!H34</f>
        <v>MJ/system</v>
      </c>
      <c r="H32" s="1" t="s">
        <v>155</v>
      </c>
      <c r="I32" s="2"/>
      <c r="J32" s="2"/>
      <c r="K32" s="2"/>
      <c r="L32" s="2"/>
      <c r="M32" s="2">
        <v>85132.190556589747</v>
      </c>
      <c r="N32" s="3" t="s">
        <v>143</v>
      </c>
      <c r="O32" s="1" t="str">
        <f>'LCA of MOFFCEV &amp; LCO BEV'!L37</f>
        <v>Total production embodied energy (case 3 PEM FC)</v>
      </c>
      <c r="P32" s="2"/>
      <c r="Q32" s="2"/>
      <c r="R32" s="2"/>
      <c r="S32" s="2"/>
      <c r="T32" s="2">
        <f>'LCA of MOFFCEV &amp; LCO BEV'!Q37</f>
        <v>59536.2</v>
      </c>
      <c r="U32" s="3" t="str">
        <f>'LCA of MOFFCEV &amp; LCO BEV'!R37</f>
        <v>MJ/system</v>
      </c>
    </row>
    <row r="33" spans="1:21" x14ac:dyDescent="0.3">
      <c r="A33" s="1" t="str">
        <f>'LCA of MOFFCEV &amp; LCO BEV'!B35</f>
        <v>^ in GJ</v>
      </c>
      <c r="B33" s="2"/>
      <c r="C33" s="2"/>
      <c r="D33" s="2"/>
      <c r="E33" s="2"/>
      <c r="F33" s="2">
        <f>'LCA of MOFFCEV &amp; LCO BEV'!G35</f>
        <v>3516.9281294692701</v>
      </c>
      <c r="G33" s="3" t="str">
        <f>'LCA of MOFFCEV &amp; LCO BEV'!H35</f>
        <v>GJ/system</v>
      </c>
      <c r="H33" s="1" t="s">
        <v>157</v>
      </c>
      <c r="I33" s="2"/>
      <c r="J33" s="2"/>
      <c r="K33" s="2"/>
      <c r="L33" s="2"/>
      <c r="M33" s="2">
        <v>85.132190556589748</v>
      </c>
      <c r="N33" s="3" t="s">
        <v>158</v>
      </c>
      <c r="O33" s="1" t="str">
        <f>'LCA of MOFFCEV &amp; LCO BEV'!L38</f>
        <v>^ in GJ</v>
      </c>
      <c r="P33" s="2"/>
      <c r="Q33" s="2"/>
      <c r="R33" s="2"/>
      <c r="S33" s="2"/>
      <c r="T33" s="2">
        <f>'LCA of MOFFCEV &amp; LCO BEV'!Q38</f>
        <v>59.536199999999994</v>
      </c>
      <c r="U33" s="3" t="str">
        <f>'LCA of MOFFCEV &amp; LCO BEV'!R38</f>
        <v>GJ/system</v>
      </c>
    </row>
    <row r="34" spans="1:21" x14ac:dyDescent="0.3">
      <c r="A34" s="1"/>
      <c r="B34" s="2"/>
      <c r="C34" s="2"/>
      <c r="D34" s="2"/>
      <c r="E34" s="2"/>
      <c r="F34" s="2"/>
      <c r="G34" s="3"/>
      <c r="H34" s="1"/>
      <c r="I34" s="2"/>
      <c r="J34" s="2"/>
      <c r="K34" s="2"/>
      <c r="L34" s="2"/>
      <c r="M34" s="2"/>
      <c r="N34" s="3"/>
      <c r="O34" s="1"/>
      <c r="P34" s="2"/>
      <c r="Q34" s="2"/>
      <c r="R34" s="2"/>
      <c r="S34" s="2"/>
      <c r="T34" s="2"/>
      <c r="U34" s="3"/>
    </row>
    <row r="35" spans="1:21" x14ac:dyDescent="0.3">
      <c r="A35" s="1" t="s">
        <v>209</v>
      </c>
      <c r="B35" s="2"/>
      <c r="C35" s="2"/>
      <c r="D35" s="2"/>
      <c r="E35" s="2"/>
      <c r="F35" s="2"/>
      <c r="G35" s="3"/>
      <c r="H35" s="1" t="s">
        <v>209</v>
      </c>
      <c r="I35" s="2"/>
      <c r="J35" s="2"/>
      <c r="K35" s="2"/>
      <c r="L35" s="2"/>
      <c r="M35" s="2"/>
      <c r="N35" s="3"/>
      <c r="O35" s="1"/>
      <c r="P35" s="2"/>
      <c r="Q35" s="2"/>
      <c r="R35" s="2"/>
      <c r="S35" s="2"/>
      <c r="T35" s="2"/>
      <c r="U35" s="3"/>
    </row>
    <row r="36" spans="1:21" x14ac:dyDescent="0.3">
      <c r="A36" s="1" t="str">
        <f>'LCA of MOFFCEV &amp; LCO BEV'!B8</f>
        <v>MOF-FCEV hydrogen tank embodied energy (no MOF)</v>
      </c>
      <c r="B36" s="2"/>
      <c r="C36" s="2"/>
      <c r="D36" s="2"/>
      <c r="E36" s="2"/>
      <c r="F36" s="2">
        <f>'LCA of MOFFCEV &amp; LCO BEV'!G8</f>
        <v>13.248000000000001</v>
      </c>
      <c r="G36" s="3" t="str">
        <f>'LCA of MOFFCEV &amp; LCO BEV'!H8</f>
        <v>MJ</v>
      </c>
      <c r="H36" s="1" t="s">
        <v>136</v>
      </c>
      <c r="I36" s="2"/>
      <c r="J36" s="2"/>
      <c r="K36" s="2"/>
      <c r="L36" s="2"/>
      <c r="M36" s="2">
        <v>13.248000000000001</v>
      </c>
      <c r="N36" s="3" t="s">
        <v>27</v>
      </c>
      <c r="O36" s="1" t="s">
        <v>232</v>
      </c>
      <c r="P36" s="2"/>
      <c r="Q36" s="2"/>
      <c r="R36" s="2"/>
      <c r="S36" s="2"/>
      <c r="T36" s="2"/>
      <c r="U36" s="3"/>
    </row>
    <row r="37" spans="1:21" x14ac:dyDescent="0.3">
      <c r="A37" s="1" t="str">
        <f>'LCA of MOFFCEV &amp; LCO BEV'!B14</f>
        <v>total embodied energy for required MOF mass</v>
      </c>
      <c r="B37" s="2"/>
      <c r="C37" s="2"/>
      <c r="D37" s="2"/>
      <c r="E37" s="2"/>
      <c r="F37" s="2">
        <f>'LCA of MOFFCEV &amp; LCO BEV'!G14</f>
        <v>3457394.8814692697</v>
      </c>
      <c r="G37" s="3" t="str">
        <f>'LCA of MOFFCEV &amp; LCO BEV'!H14</f>
        <v>MJ</v>
      </c>
      <c r="H37" s="1" t="s">
        <v>140</v>
      </c>
      <c r="I37" s="2"/>
      <c r="J37" s="2"/>
      <c r="K37" s="2"/>
      <c r="L37" s="2"/>
      <c r="M37" s="2">
        <v>25598.942556589744</v>
      </c>
      <c r="N37" s="3" t="s">
        <v>27</v>
      </c>
      <c r="O37" s="1" t="s">
        <v>214</v>
      </c>
      <c r="P37" s="2"/>
      <c r="Q37" s="2"/>
      <c r="R37" s="2"/>
      <c r="S37" s="2"/>
      <c r="T37" s="2">
        <f>'LCA of MOFFCEV &amp; LCO BEV'!G26</f>
        <v>29520</v>
      </c>
      <c r="U37" s="3" t="str">
        <f>'LCA of MOFFCEV &amp; LCO BEV'!H26</f>
        <v>MJ</v>
      </c>
    </row>
    <row r="38" spans="1:21" x14ac:dyDescent="0.3">
      <c r="A38" s="1" t="s">
        <v>214</v>
      </c>
      <c r="B38" s="2"/>
      <c r="C38" s="2"/>
      <c r="D38" s="2"/>
      <c r="E38" s="2"/>
      <c r="F38" s="2">
        <f>'LCA of MOFFCEV &amp; LCO BEV'!G26</f>
        <v>29520</v>
      </c>
      <c r="G38" s="3" t="str">
        <f>'LCA of MOFFCEV &amp; LCO BEV'!H26</f>
        <v>MJ</v>
      </c>
      <c r="H38" s="1" t="s">
        <v>214</v>
      </c>
      <c r="I38" s="2"/>
      <c r="J38" s="2"/>
      <c r="K38" s="2"/>
      <c r="L38" s="2"/>
      <c r="M38" s="2">
        <v>29520</v>
      </c>
      <c r="N38" s="3" t="s">
        <v>27</v>
      </c>
      <c r="O38" s="1" t="str">
        <f>'LCA of MOFFCEV &amp; LCO BEV'!L26</f>
        <v>Electricity for production of Type 4 (700 bar) hydrogen tank</v>
      </c>
      <c r="P38" s="2"/>
      <c r="Q38" s="2"/>
      <c r="R38" s="2"/>
      <c r="S38" s="2"/>
      <c r="T38" s="2">
        <f>'LCA of MOFFCEV &amp; LCO BEV'!Q26</f>
        <v>16.2</v>
      </c>
      <c r="U38" s="3" t="str">
        <f>'LCA of MOFFCEV &amp; LCO BEV'!R26</f>
        <v>MJ</v>
      </c>
    </row>
    <row r="39" spans="1:21" x14ac:dyDescent="0.3">
      <c r="A39" s="1" t="str">
        <f>'LCA of MOFFCEV &amp; LCO BEV'!B36</f>
        <v>Total production embodied energy (case 4 PEM FC)</v>
      </c>
      <c r="B39" s="2"/>
      <c r="C39" s="2"/>
      <c r="D39" s="2"/>
      <c r="E39" s="2"/>
      <c r="F39" s="2">
        <f>'LCA of MOFFCEV &amp; LCO BEV'!G36</f>
        <v>3486928.1294692699</v>
      </c>
      <c r="G39" s="3" t="str">
        <f>'LCA of MOFFCEV &amp; LCO BEV'!H36</f>
        <v>MJ/system</v>
      </c>
      <c r="H39" s="1" t="s">
        <v>156</v>
      </c>
      <c r="I39" s="2"/>
      <c r="J39" s="2"/>
      <c r="K39" s="2"/>
      <c r="L39" s="2"/>
      <c r="M39" s="2">
        <v>55132.19055658974</v>
      </c>
      <c r="N39" s="3" t="s">
        <v>143</v>
      </c>
      <c r="O39" s="1" t="str">
        <f>'LCA of MOFFCEV &amp; LCO BEV'!L39</f>
        <v>Total production embodied energy (case 4 PEM FC)</v>
      </c>
      <c r="P39" s="2"/>
      <c r="Q39" s="2"/>
      <c r="R39" s="2"/>
      <c r="S39" s="2"/>
      <c r="T39" s="2">
        <f>'LCA of MOFFCEV &amp; LCO BEV'!Q39</f>
        <v>29536.2</v>
      </c>
      <c r="U39" s="3" t="str">
        <f>'LCA of MOFFCEV &amp; LCO BEV'!R39</f>
        <v>MJ/system</v>
      </c>
    </row>
    <row r="40" spans="1:21" ht="15" thickBot="1" x14ac:dyDescent="0.35">
      <c r="A40" s="4" t="str">
        <f>'LCA of MOFFCEV &amp; LCO BEV'!B37</f>
        <v>^ in GJ</v>
      </c>
      <c r="B40" s="5"/>
      <c r="C40" s="5"/>
      <c r="D40" s="5"/>
      <c r="E40" s="5"/>
      <c r="F40" s="5">
        <f>'LCA of MOFFCEV &amp; LCO BEV'!G37</f>
        <v>3486.9281294692701</v>
      </c>
      <c r="G40" s="6" t="str">
        <f>'LCA of MOFFCEV &amp; LCO BEV'!H37</f>
        <v>GJ/system</v>
      </c>
      <c r="H40" s="4" t="s">
        <v>157</v>
      </c>
      <c r="I40" s="5"/>
      <c r="J40" s="5"/>
      <c r="K40" s="5"/>
      <c r="L40" s="5"/>
      <c r="M40" s="5">
        <v>55.132190556589741</v>
      </c>
      <c r="N40" s="6" t="s">
        <v>158</v>
      </c>
      <c r="O40" s="4" t="str">
        <f>'LCA of MOFFCEV &amp; LCO BEV'!L40</f>
        <v>^ in GJ</v>
      </c>
      <c r="P40" s="5"/>
      <c r="Q40" s="5"/>
      <c r="R40" s="5"/>
      <c r="S40" s="5"/>
      <c r="T40" s="5">
        <f>'LCA of MOFFCEV &amp; LCO BEV'!Q40</f>
        <v>29.536200000000001</v>
      </c>
      <c r="U40" s="6" t="str">
        <f>'LCA of MOFFCEV &amp; LCO BEV'!R40</f>
        <v>GJ/system</v>
      </c>
    </row>
    <row r="43" spans="1:21" x14ac:dyDescent="0.3">
      <c r="H43" t="s">
        <v>255</v>
      </c>
    </row>
    <row r="44" spans="1:21" x14ac:dyDescent="0.3">
      <c r="H44" t="s">
        <v>256</v>
      </c>
      <c r="K44" cm="1">
        <f t="array" ref="K44:L44">'LCA of MOFFCEV &amp; LCO BEV'!G13:H13</f>
        <v>13582.622748629276</v>
      </c>
      <c r="L44" t="str">
        <v>MJ/kg</v>
      </c>
    </row>
    <row r="45" spans="1:21" x14ac:dyDescent="0.3">
      <c r="H45" t="s">
        <v>257</v>
      </c>
      <c r="K45" cm="1">
        <f t="array" ref="K45:L45">'LCA of MOFFCEV &amp; LCO BEV'!Z14:AA14</f>
        <v>100.56727432945971</v>
      </c>
      <c r="L45" t="str">
        <v>MJ/kg</v>
      </c>
    </row>
  </sheetData>
  <mergeCells count="4">
    <mergeCell ref="A13:G13"/>
    <mergeCell ref="O13:U13"/>
    <mergeCell ref="H13:N13"/>
    <mergeCell ref="W13:AC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798384CF8B24EB37D937C048C7C2E" ma:contentTypeVersion="5" ma:contentTypeDescription="Create a new document." ma:contentTypeScope="" ma:versionID="d190856899af842dfd3cc313b957a2e2">
  <xsd:schema xmlns:xsd="http://www.w3.org/2001/XMLSchema" xmlns:xs="http://www.w3.org/2001/XMLSchema" xmlns:p="http://schemas.microsoft.com/office/2006/metadata/properties" xmlns:ns3="72215123-f7d9-4e72-8cc3-e3d76a37ef4f" xmlns:ns4="8509655a-19a9-45af-80a9-3a6cabca05d5" targetNamespace="http://schemas.microsoft.com/office/2006/metadata/properties" ma:root="true" ma:fieldsID="25239b318d2bed22140515dfb4ac7d0a" ns3:_="" ns4:_="">
    <xsd:import namespace="72215123-f7d9-4e72-8cc3-e3d76a37ef4f"/>
    <xsd:import namespace="8509655a-19a9-45af-80a9-3a6cabca05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15123-f7d9-4e72-8cc3-e3d76a37e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9655a-19a9-45af-80a9-3a6cabca05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0DBED4-0587-41DB-BDD1-87560A68143E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8509655a-19a9-45af-80a9-3a6cabca05d5"/>
    <ds:schemaRef ds:uri="http://schemas.microsoft.com/office/infopath/2007/PartnerControls"/>
    <ds:schemaRef ds:uri="http://schemas.openxmlformats.org/package/2006/metadata/core-properties"/>
    <ds:schemaRef ds:uri="72215123-f7d9-4e72-8cc3-e3d76a37ef4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BCFE0A2-D487-470B-864E-93D79334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72D0B-3B03-49B0-957B-6C31B8542F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15123-f7d9-4e72-8cc3-e3d76a37ef4f"/>
    <ds:schemaRef ds:uri="8509655a-19a9-45af-80a9-3a6cabca0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MOF vehicle production</vt:lpstr>
      <vt:lpstr>MOF Vehicle production graphs</vt:lpstr>
      <vt:lpstr>Embodied energy of MOF material</vt:lpstr>
      <vt:lpstr>LCA of MOFFCEV &amp; LCO BEV</vt:lpstr>
      <vt:lpstr>LCA graphs &amp;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Merino</dc:creator>
  <cp:lastModifiedBy>Elias Andraos</cp:lastModifiedBy>
  <dcterms:created xsi:type="dcterms:W3CDTF">2015-06-05T18:17:20Z</dcterms:created>
  <dcterms:modified xsi:type="dcterms:W3CDTF">2020-11-25T04:38:38Z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0x010100AA2798384CF8B24EB37D937C048C7C2E</vt:lpwstr>
  </property>
</Properties>
</file>