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G:\State_Gov_Reporting\ADMIN - POLICY\GASB\GASB 87 - Leases\Project Tracking\FY 2023-24\ARSW Review\BU 1111 DEPARTMENT OF CONSUMER AFFAIRS\"/>
    </mc:Choice>
  </mc:AlternateContent>
  <xr:revisionPtr revIDLastSave="0" documentId="13_ncr:1_{17741A45-8FD3-46EE-9BF9-965DCC7D0A90}" xr6:coauthVersionLast="47" xr6:coauthVersionMax="47" xr10:uidLastSave="{00000000-0000-0000-0000-000000000000}"/>
  <bookViews>
    <workbookView xWindow="20370" yWindow="-120" windowWidth="29040" windowHeight="15840" firstSheet="15" activeTab="17" xr2:uid="{2A7C5BED-D257-4E70-99C6-A3B9DC510C8B}"/>
  </bookViews>
  <sheets>
    <sheet name="LS-Version Changes" sheetId="2" r:id="rId1"/>
    <sheet name="LS-Fund 0069 Journal Entries" sheetId="5" r:id="rId2"/>
    <sheet name="LS-Fund 0239 Journal Entries" sheetId="6" r:id="rId3"/>
    <sheet name="LS-Fund 0305 Journal Entries" sheetId="7" r:id="rId4"/>
    <sheet name="LS-Fund 0376 Journal Entries" sheetId="8" r:id="rId5"/>
    <sheet name="LS-Fund 0421 Journal Entries" sheetId="9" r:id="rId6"/>
    <sheet name="LS-Fund 0702 Journal Entries" sheetId="10" r:id="rId7"/>
    <sheet name="LS-Fund 0735 Journal Entries" sheetId="11" r:id="rId8"/>
    <sheet name="LS-Fund 0758 Journal Entries" sheetId="12" r:id="rId9"/>
    <sheet name="LS-Fund 0761 Journal Entries" sheetId="13" r:id="rId10"/>
    <sheet name="LS-Fund 0763 Journal Entries" sheetId="14" r:id="rId11"/>
    <sheet name="LS-Fund 0767 Journal Entries" sheetId="15" r:id="rId12"/>
    <sheet name="LS-Fund 0770 Journal Entries" sheetId="16" r:id="rId13"/>
    <sheet name="LS-Fund 0771 Journal Entries" sheetId="17" r:id="rId14"/>
    <sheet name="LS-Fund 0777 Journal Entries" sheetId="18" r:id="rId15"/>
    <sheet name="LS-Fund 0779 Journal Entries" sheetId="19" r:id="rId16"/>
    <sheet name="LS-Fund 3017 Journal Entries" sheetId="20" r:id="rId17"/>
    <sheet name="LS-Lease Liabilities" sheetId="4" r:id="rId18"/>
    <sheet name="LS-Department Note Disclosure" sheetId="3" r:id="rId19"/>
    <sheet name="LS-Check Figures  " sheetId="1"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8">#REF!</definedName>
    <definedName name="AgencyCode" localSheetId="1">#REF!</definedName>
    <definedName name="AgencyCode" localSheetId="2">#REF!</definedName>
    <definedName name="AgencyCode" localSheetId="3">#REF!</definedName>
    <definedName name="AgencyCode" localSheetId="4">#REF!</definedName>
    <definedName name="AgencyCode" localSheetId="5">#REF!</definedName>
    <definedName name="AgencyCode" localSheetId="6">#REF!</definedName>
    <definedName name="AgencyCode" localSheetId="7">#REF!</definedName>
    <definedName name="AgencyCode" localSheetId="8">#REF!</definedName>
    <definedName name="AgencyCode" localSheetId="9">#REF!</definedName>
    <definedName name="AgencyCode" localSheetId="10">#REF!</definedName>
    <definedName name="AgencyCode" localSheetId="11">#REF!</definedName>
    <definedName name="AgencyCode" localSheetId="12">#REF!</definedName>
    <definedName name="AgencyCode" localSheetId="13">#REF!</definedName>
    <definedName name="AgencyCode" localSheetId="14">#REF!</definedName>
    <definedName name="AgencyCode" localSheetId="15">#REF!</definedName>
    <definedName name="AgencyCode" localSheetId="16">#REF!</definedName>
    <definedName name="AgencyCode" localSheetId="17">#REF!</definedName>
    <definedName name="AgencyCode" localSheetId="0">#REF!</definedName>
    <definedName name="AgencyCode">#REF!</definedName>
    <definedName name="AgencyCode1" localSheetId="18">#REF!</definedName>
    <definedName name="AgencyCode1" localSheetId="1">#REF!</definedName>
    <definedName name="AgencyCode1" localSheetId="2">#REF!</definedName>
    <definedName name="AgencyCode1" localSheetId="3">#REF!</definedName>
    <definedName name="AgencyCode1" localSheetId="4">#REF!</definedName>
    <definedName name="AgencyCode1" localSheetId="5">#REF!</definedName>
    <definedName name="AgencyCode1" localSheetId="6">#REF!</definedName>
    <definedName name="AgencyCode1" localSheetId="7">#REF!</definedName>
    <definedName name="AgencyCode1" localSheetId="8">#REF!</definedName>
    <definedName name="AgencyCode1" localSheetId="9">#REF!</definedName>
    <definedName name="AgencyCode1" localSheetId="10">#REF!</definedName>
    <definedName name="AgencyCode1" localSheetId="11">#REF!</definedName>
    <definedName name="AgencyCode1" localSheetId="12">#REF!</definedName>
    <definedName name="AgencyCode1" localSheetId="13">#REF!</definedName>
    <definedName name="AgencyCode1" localSheetId="14">#REF!</definedName>
    <definedName name="AgencyCode1" localSheetId="15">#REF!</definedName>
    <definedName name="AgencyCode1" localSheetId="16">#REF!</definedName>
    <definedName name="AgencyCode1" localSheetId="17">#REF!</definedName>
    <definedName name="AgencyCode1" localSheetId="0">#REF!</definedName>
    <definedName name="AgencyCode1">#REF!</definedName>
    <definedName name="AnalystGASB">[1]DeveloperInfo!$D$20</definedName>
    <definedName name="Annuity" localSheetId="18">#REF!</definedName>
    <definedName name="Annuity" localSheetId="1">#REF!</definedName>
    <definedName name="Annuity" localSheetId="2">#REF!</definedName>
    <definedName name="Annuity" localSheetId="3">#REF!</definedName>
    <definedName name="Annuity" localSheetId="4">#REF!</definedName>
    <definedName name="Annuity" localSheetId="5">#REF!</definedName>
    <definedName name="Annuity" localSheetId="6">#REF!</definedName>
    <definedName name="Annuity" localSheetId="7">#REF!</definedName>
    <definedName name="Annuity" localSheetId="8">#REF!</definedName>
    <definedName name="Annuity" localSheetId="9">#REF!</definedName>
    <definedName name="Annuity" localSheetId="10">#REF!</definedName>
    <definedName name="Annuity" localSheetId="11">#REF!</definedName>
    <definedName name="Annuity" localSheetId="12">#REF!</definedName>
    <definedName name="Annuity" localSheetId="13">#REF!</definedName>
    <definedName name="Annuity" localSheetId="14">#REF!</definedName>
    <definedName name="Annuity" localSheetId="15">#REF!</definedName>
    <definedName name="Annuity" localSheetId="16">#REF!</definedName>
    <definedName name="Annuity" localSheetId="17">#REF!</definedName>
    <definedName name="Annuity" localSheetId="0">#REF!</definedName>
    <definedName name="Annuity">#REF!</definedName>
    <definedName name="Annuity1" localSheetId="18">#REF!</definedName>
    <definedName name="Annuity1" localSheetId="1">#REF!</definedName>
    <definedName name="Annuity1" localSheetId="2">#REF!</definedName>
    <definedName name="Annuity1" localSheetId="3">#REF!</definedName>
    <definedName name="Annuity1" localSheetId="4">#REF!</definedName>
    <definedName name="Annuity1" localSheetId="5">#REF!</definedName>
    <definedName name="Annuity1" localSheetId="6">#REF!</definedName>
    <definedName name="Annuity1" localSheetId="7">#REF!</definedName>
    <definedName name="Annuity1" localSheetId="8">#REF!</definedName>
    <definedName name="Annuity1" localSheetId="9">#REF!</definedName>
    <definedName name="Annuity1" localSheetId="10">#REF!</definedName>
    <definedName name="Annuity1" localSheetId="11">#REF!</definedName>
    <definedName name="Annuity1" localSheetId="12">#REF!</definedName>
    <definedName name="Annuity1" localSheetId="13">#REF!</definedName>
    <definedName name="Annuity1" localSheetId="14">#REF!</definedName>
    <definedName name="Annuity1" localSheetId="15">#REF!</definedName>
    <definedName name="Annuity1" localSheetId="16">#REF!</definedName>
    <definedName name="Annuity1" localSheetId="17">#REF!</definedName>
    <definedName name="Annuity1" localSheetId="0">#REF!</definedName>
    <definedName name="Annuity1">#REF!</definedName>
    <definedName name="AnnuityLY" localSheetId="18">#REF!</definedName>
    <definedName name="AnnuityLY" localSheetId="1">#REF!</definedName>
    <definedName name="AnnuityLY" localSheetId="2">#REF!</definedName>
    <definedName name="AnnuityLY" localSheetId="3">#REF!</definedName>
    <definedName name="AnnuityLY" localSheetId="4">#REF!</definedName>
    <definedName name="AnnuityLY" localSheetId="5">#REF!</definedName>
    <definedName name="AnnuityLY" localSheetId="6">#REF!</definedName>
    <definedName name="AnnuityLY" localSheetId="7">#REF!</definedName>
    <definedName name="AnnuityLY" localSheetId="8">#REF!</definedName>
    <definedName name="AnnuityLY" localSheetId="9">#REF!</definedName>
    <definedName name="AnnuityLY" localSheetId="10">#REF!</definedName>
    <definedName name="AnnuityLY" localSheetId="11">#REF!</definedName>
    <definedName name="AnnuityLY" localSheetId="12">#REF!</definedName>
    <definedName name="AnnuityLY" localSheetId="13">#REF!</definedName>
    <definedName name="AnnuityLY" localSheetId="14">#REF!</definedName>
    <definedName name="AnnuityLY" localSheetId="15">#REF!</definedName>
    <definedName name="AnnuityLY" localSheetId="16">#REF!</definedName>
    <definedName name="AnnuityLY" localSheetId="17">#REF!</definedName>
    <definedName name="AnnuityLY" localSheetId="0">#REF!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8">#REF!</definedName>
    <definedName name="EmployerRates" localSheetId="1">#REF!</definedName>
    <definedName name="EmployerRates" localSheetId="2">#REF!</definedName>
    <definedName name="EmployerRates" localSheetId="3">#REF!</definedName>
    <definedName name="EmployerRates" localSheetId="4">#REF!</definedName>
    <definedName name="EmployerRates" localSheetId="5">#REF!</definedName>
    <definedName name="EmployerRates" localSheetId="6">#REF!</definedName>
    <definedName name="EmployerRates" localSheetId="7">#REF!</definedName>
    <definedName name="EmployerRates" localSheetId="8">#REF!</definedName>
    <definedName name="EmployerRates" localSheetId="9">#REF!</definedName>
    <definedName name="EmployerRates" localSheetId="10">#REF!</definedName>
    <definedName name="EmployerRates" localSheetId="11">#REF!</definedName>
    <definedName name="EmployerRates" localSheetId="12">#REF!</definedName>
    <definedName name="EmployerRates" localSheetId="13">#REF!</definedName>
    <definedName name="EmployerRates" localSheetId="14">#REF!</definedName>
    <definedName name="EmployerRates" localSheetId="15">#REF!</definedName>
    <definedName name="EmployerRates" localSheetId="16">#REF!</definedName>
    <definedName name="EmployerRates" localSheetId="17">#REF!</definedName>
    <definedName name="EmployerRates" localSheetId="0">#REF!</definedName>
    <definedName name="EmployerRates">#REF!</definedName>
    <definedName name="EmployerRates1" localSheetId="18">#REF!</definedName>
    <definedName name="EmployerRates1" localSheetId="1">#REF!</definedName>
    <definedName name="EmployerRates1" localSheetId="2">#REF!</definedName>
    <definedName name="EmployerRates1" localSheetId="3">#REF!</definedName>
    <definedName name="EmployerRates1" localSheetId="4">#REF!</definedName>
    <definedName name="EmployerRates1" localSheetId="5">#REF!</definedName>
    <definedName name="EmployerRates1" localSheetId="6">#REF!</definedName>
    <definedName name="EmployerRates1" localSheetId="7">#REF!</definedName>
    <definedName name="EmployerRates1" localSheetId="8">#REF!</definedName>
    <definedName name="EmployerRates1" localSheetId="9">#REF!</definedName>
    <definedName name="EmployerRates1" localSheetId="10">#REF!</definedName>
    <definedName name="EmployerRates1" localSheetId="11">#REF!</definedName>
    <definedName name="EmployerRates1" localSheetId="12">#REF!</definedName>
    <definedName name="EmployerRates1" localSheetId="13">#REF!</definedName>
    <definedName name="EmployerRates1" localSheetId="14">#REF!</definedName>
    <definedName name="EmployerRates1" localSheetId="15">#REF!</definedName>
    <definedName name="EmployerRates1" localSheetId="16">#REF!</definedName>
    <definedName name="EmployerRates1" localSheetId="17">#REF!</definedName>
    <definedName name="EmployerRates1" localSheetId="0">#REF!</definedName>
    <definedName name="EmployerRates1">#REF!</definedName>
    <definedName name="EmployerRatesLEO" localSheetId="18">#REF!</definedName>
    <definedName name="EmployerRatesLEO" localSheetId="1">#REF!</definedName>
    <definedName name="EmployerRatesLEO" localSheetId="2">#REF!</definedName>
    <definedName name="EmployerRatesLEO" localSheetId="3">#REF!</definedName>
    <definedName name="EmployerRatesLEO" localSheetId="4">#REF!</definedName>
    <definedName name="EmployerRatesLEO" localSheetId="5">#REF!</definedName>
    <definedName name="EmployerRatesLEO" localSheetId="6">#REF!</definedName>
    <definedName name="EmployerRatesLEO" localSheetId="7">#REF!</definedName>
    <definedName name="EmployerRatesLEO" localSheetId="8">#REF!</definedName>
    <definedName name="EmployerRatesLEO" localSheetId="9">#REF!</definedName>
    <definedName name="EmployerRatesLEO" localSheetId="10">#REF!</definedName>
    <definedName name="EmployerRatesLEO" localSheetId="11">#REF!</definedName>
    <definedName name="EmployerRatesLEO" localSheetId="12">#REF!</definedName>
    <definedName name="EmployerRatesLEO" localSheetId="13">#REF!</definedName>
    <definedName name="EmployerRatesLEO" localSheetId="14">#REF!</definedName>
    <definedName name="EmployerRatesLEO" localSheetId="15">#REF!</definedName>
    <definedName name="EmployerRatesLEO" localSheetId="16">#REF!</definedName>
    <definedName name="EmployerRatesLEO" localSheetId="17">#REF!</definedName>
    <definedName name="EmployerRatesLEO" localSheetId="0">#REF!</definedName>
    <definedName name="EmployerRatesLEO">#REF!</definedName>
    <definedName name="EmployerRatesLEO1" localSheetId="0">#REF!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8">#REF!</definedName>
    <definedName name="Pension" localSheetId="1">#REF!</definedName>
    <definedName name="Pension" localSheetId="2">#REF!</definedName>
    <definedName name="Pension" localSheetId="3">#REF!</definedName>
    <definedName name="Pension" localSheetId="4">#REF!</definedName>
    <definedName name="Pension" localSheetId="5">#REF!</definedName>
    <definedName name="Pension" localSheetId="6">#REF!</definedName>
    <definedName name="Pension" localSheetId="7">#REF!</definedName>
    <definedName name="Pension" localSheetId="8">#REF!</definedName>
    <definedName name="Pension" localSheetId="9">#REF!</definedName>
    <definedName name="Pension" localSheetId="10">#REF!</definedName>
    <definedName name="Pension" localSheetId="11">#REF!</definedName>
    <definedName name="Pension" localSheetId="12">#REF!</definedName>
    <definedName name="Pension" localSheetId="13">#REF!</definedName>
    <definedName name="Pension" localSheetId="14">#REF!</definedName>
    <definedName name="Pension" localSheetId="15">#REF!</definedName>
    <definedName name="Pension" localSheetId="16">#REF!</definedName>
    <definedName name="Pension" localSheetId="17">#REF!</definedName>
    <definedName name="Pension" localSheetId="0">#REF!</definedName>
    <definedName name="Pension">#REF!</definedName>
    <definedName name="Pension1" localSheetId="18">#REF!</definedName>
    <definedName name="Pension1" localSheetId="1">#REF!</definedName>
    <definedName name="Pension1" localSheetId="2">#REF!</definedName>
    <definedName name="Pension1" localSheetId="3">#REF!</definedName>
    <definedName name="Pension1" localSheetId="4">#REF!</definedName>
    <definedName name="Pension1" localSheetId="5">#REF!</definedName>
    <definedName name="Pension1" localSheetId="6">#REF!</definedName>
    <definedName name="Pension1" localSheetId="7">#REF!</definedName>
    <definedName name="Pension1" localSheetId="8">#REF!</definedName>
    <definedName name="Pension1" localSheetId="9">#REF!</definedName>
    <definedName name="Pension1" localSheetId="10">#REF!</definedName>
    <definedName name="Pension1" localSheetId="11">#REF!</definedName>
    <definedName name="Pension1" localSheetId="12">#REF!</definedName>
    <definedName name="Pension1" localSheetId="13">#REF!</definedName>
    <definedName name="Pension1" localSheetId="14">#REF!</definedName>
    <definedName name="Pension1" localSheetId="15">#REF!</definedName>
    <definedName name="Pension1" localSheetId="16">#REF!</definedName>
    <definedName name="Pension1" localSheetId="17">#REF!</definedName>
    <definedName name="Pension1" localSheetId="0">#REF!</definedName>
    <definedName name="Pension1">#REF!</definedName>
    <definedName name="PensionLY" localSheetId="18">#REF!</definedName>
    <definedName name="PensionLY" localSheetId="1">#REF!</definedName>
    <definedName name="PensionLY" localSheetId="2">#REF!</definedName>
    <definedName name="PensionLY" localSheetId="3">#REF!</definedName>
    <definedName name="PensionLY" localSheetId="4">#REF!</definedName>
    <definedName name="PensionLY" localSheetId="5">#REF!</definedName>
    <definedName name="PensionLY" localSheetId="6">#REF!</definedName>
    <definedName name="PensionLY" localSheetId="7">#REF!</definedName>
    <definedName name="PensionLY" localSheetId="8">#REF!</definedName>
    <definedName name="PensionLY" localSheetId="9">#REF!</definedName>
    <definedName name="PensionLY" localSheetId="10">#REF!</definedName>
    <definedName name="PensionLY" localSheetId="11">#REF!</definedName>
    <definedName name="PensionLY" localSheetId="12">#REF!</definedName>
    <definedName name="PensionLY" localSheetId="13">#REF!</definedName>
    <definedName name="PensionLY" localSheetId="14">#REF!</definedName>
    <definedName name="PensionLY" localSheetId="15">#REF!</definedName>
    <definedName name="PensionLY" localSheetId="16">#REF!</definedName>
    <definedName name="PensionLY" localSheetId="17">#REF!</definedName>
    <definedName name="PensionLY" localSheetId="0">#REF!</definedName>
    <definedName name="PensionLY">#REF!</definedName>
    <definedName name="PlanNameLongGASB">[1]DeveloperInfo!$D$7</definedName>
    <definedName name="PlanNameShortGASB">[1]DeveloperInfo!$D$8</definedName>
    <definedName name="_xlnm.Print_Area" localSheetId="18">'LS-Department Note Disclosure'!$A$1:$F$96</definedName>
    <definedName name="_xlnm.Print_Area" localSheetId="1">'LS-Fund 0069 Journal Entries'!$A$1:$R$130</definedName>
    <definedName name="_xlnm.Print_Area" localSheetId="2">'LS-Fund 0239 Journal Entries'!$A$1:$R$130</definedName>
    <definedName name="_xlnm.Print_Area" localSheetId="3">'LS-Fund 0305 Journal Entries'!$A$1:$R$130</definedName>
    <definedName name="_xlnm.Print_Area" localSheetId="4">'LS-Fund 0376 Journal Entries'!$A$1:$R$130</definedName>
    <definedName name="_xlnm.Print_Area" localSheetId="5">'LS-Fund 0421 Journal Entries'!$A$1:$R$130</definedName>
    <definedName name="_xlnm.Print_Area" localSheetId="6">'LS-Fund 0702 Journal Entries'!$A$1:$R$130</definedName>
    <definedName name="_xlnm.Print_Area" localSheetId="7">'LS-Fund 0735 Journal Entries'!$A$1:$R$130</definedName>
    <definedName name="_xlnm.Print_Area" localSheetId="8">'LS-Fund 0758 Journal Entries'!$A$1:$R$130</definedName>
    <definedName name="_xlnm.Print_Area" localSheetId="9">'LS-Fund 0761 Journal Entries'!$A$1:$R$130</definedName>
    <definedName name="_xlnm.Print_Area" localSheetId="10">'LS-Fund 0763 Journal Entries'!$A$1:$R$130</definedName>
    <definedName name="_xlnm.Print_Area" localSheetId="11">'LS-Fund 0767 Journal Entries'!$A$1:$R$130</definedName>
    <definedName name="_xlnm.Print_Area" localSheetId="12">'LS-Fund 0770 Journal Entries'!$A$1:$R$130</definedName>
    <definedName name="_xlnm.Print_Area" localSheetId="13">'LS-Fund 0771 Journal Entries'!$A$1:$R$130</definedName>
    <definedName name="_xlnm.Print_Area" localSheetId="14">'LS-Fund 0777 Journal Entries'!$A$1:$R$130</definedName>
    <definedName name="_xlnm.Print_Area" localSheetId="15">'LS-Fund 0779 Journal Entries'!$A$1:$R$130</definedName>
    <definedName name="_xlnm.Print_Area" localSheetId="16">'LS-Fund 3017 Journal Entries'!$A$1:$R$130</definedName>
    <definedName name="_xlnm.Print_Area" localSheetId="17">'LS-Lease Liabilities'!$A$1:$U$24</definedName>
    <definedName name="ProjDisc?">[1]DeveloperInfo!$D$65</definedName>
    <definedName name="ProValResults" localSheetId="18">#REF!</definedName>
    <definedName name="ProValResults" localSheetId="1">#REF!</definedName>
    <definedName name="ProValResults" localSheetId="2">#REF!</definedName>
    <definedName name="ProValResults" localSheetId="3">#REF!</definedName>
    <definedName name="ProValResults" localSheetId="4">#REF!</definedName>
    <definedName name="ProValResults" localSheetId="5">#REF!</definedName>
    <definedName name="ProValResults" localSheetId="6">#REF!</definedName>
    <definedName name="ProValResults" localSheetId="7">#REF!</definedName>
    <definedName name="ProValResults" localSheetId="8">#REF!</definedName>
    <definedName name="ProValResults" localSheetId="9">#REF!</definedName>
    <definedName name="ProValResults" localSheetId="10">#REF!</definedName>
    <definedName name="ProValResults" localSheetId="11">#REF!</definedName>
    <definedName name="ProValResults" localSheetId="12">#REF!</definedName>
    <definedName name="ProValResults" localSheetId="13">#REF!</definedName>
    <definedName name="ProValResults" localSheetId="14">#REF!</definedName>
    <definedName name="ProValResults" localSheetId="15">#REF!</definedName>
    <definedName name="ProValResults" localSheetId="16">#REF!</definedName>
    <definedName name="ProValResults" localSheetId="17">#REF!</definedName>
    <definedName name="ProValResults" localSheetId="0">#REF!</definedName>
    <definedName name="ProValResults">#REF!</definedName>
    <definedName name="ProValResults1" localSheetId="18">#REF!</definedName>
    <definedName name="ProValResults1" localSheetId="1">#REF!</definedName>
    <definedName name="ProValResults1" localSheetId="2">#REF!</definedName>
    <definedName name="ProValResults1" localSheetId="3">#REF!</definedName>
    <definedName name="ProValResults1" localSheetId="4">#REF!</definedName>
    <definedName name="ProValResults1" localSheetId="5">#REF!</definedName>
    <definedName name="ProValResults1" localSheetId="6">#REF!</definedName>
    <definedName name="ProValResults1" localSheetId="7">#REF!</definedName>
    <definedName name="ProValResults1" localSheetId="8">#REF!</definedName>
    <definedName name="ProValResults1" localSheetId="9">#REF!</definedName>
    <definedName name="ProValResults1" localSheetId="10">#REF!</definedName>
    <definedName name="ProValResults1" localSheetId="11">#REF!</definedName>
    <definedName name="ProValResults1" localSheetId="12">#REF!</definedName>
    <definedName name="ProValResults1" localSheetId="13">#REF!</definedName>
    <definedName name="ProValResults1" localSheetId="14">#REF!</definedName>
    <definedName name="ProValResults1" localSheetId="15">#REF!</definedName>
    <definedName name="ProValResults1" localSheetId="16">#REF!</definedName>
    <definedName name="ProValResults1" localSheetId="17">#REF!</definedName>
    <definedName name="ProValResults1" localSheetId="0">#REF!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8">#REF!</definedName>
    <definedName name="TableData" localSheetId="1">#REF!</definedName>
    <definedName name="TableData" localSheetId="2">#REF!</definedName>
    <definedName name="TableData" localSheetId="3">#REF!</definedName>
    <definedName name="TableData" localSheetId="4">#REF!</definedName>
    <definedName name="TableData" localSheetId="5">#REF!</definedName>
    <definedName name="TableData" localSheetId="6">#REF!</definedName>
    <definedName name="TableData" localSheetId="7">#REF!</definedName>
    <definedName name="TableData" localSheetId="8">#REF!</definedName>
    <definedName name="TableData" localSheetId="9">#REF!</definedName>
    <definedName name="TableData" localSheetId="10">#REF!</definedName>
    <definedName name="TableData" localSheetId="11">#REF!</definedName>
    <definedName name="TableData" localSheetId="12">#REF!</definedName>
    <definedName name="TableData" localSheetId="13">#REF!</definedName>
    <definedName name="TableData" localSheetId="14">#REF!</definedName>
    <definedName name="TableData" localSheetId="15">#REF!</definedName>
    <definedName name="TableData" localSheetId="16">#REF!</definedName>
    <definedName name="TableData" localSheetId="17">#REF!</definedName>
    <definedName name="TableData" localSheetId="0">#REF!</definedName>
    <definedName name="TableData">#REF!</definedName>
    <definedName name="TableData1" localSheetId="18">#REF!</definedName>
    <definedName name="TableData1" localSheetId="1">#REF!</definedName>
    <definedName name="TableData1" localSheetId="2">#REF!</definedName>
    <definedName name="TableData1" localSheetId="3">#REF!</definedName>
    <definedName name="TableData1" localSheetId="4">#REF!</definedName>
    <definedName name="TableData1" localSheetId="5">#REF!</definedName>
    <definedName name="TableData1" localSheetId="6">#REF!</definedName>
    <definedName name="TableData1" localSheetId="7">#REF!</definedName>
    <definedName name="TableData1" localSheetId="8">#REF!</definedName>
    <definedName name="TableData1" localSheetId="9">#REF!</definedName>
    <definedName name="TableData1" localSheetId="10">#REF!</definedName>
    <definedName name="TableData1" localSheetId="11">#REF!</definedName>
    <definedName name="TableData1" localSheetId="12">#REF!</definedName>
    <definedName name="TableData1" localSheetId="13">#REF!</definedName>
    <definedName name="TableData1" localSheetId="14">#REF!</definedName>
    <definedName name="TableData1" localSheetId="15">#REF!</definedName>
    <definedName name="TableData1" localSheetId="16">#REF!</definedName>
    <definedName name="TableData1" localSheetId="17">#REF!</definedName>
    <definedName name="TableData1" localSheetId="0">#REF!</definedName>
    <definedName name="TableData1">#REF!</definedName>
    <definedName name="Type" localSheetId="18">#REF!</definedName>
    <definedName name="Type" localSheetId="1">#REF!</definedName>
    <definedName name="Type" localSheetId="2">#REF!</definedName>
    <definedName name="Type" localSheetId="3">#REF!</definedName>
    <definedName name="Type" localSheetId="4">#REF!</definedName>
    <definedName name="Type" localSheetId="5">#REF!</definedName>
    <definedName name="Type" localSheetId="6">#REF!</definedName>
    <definedName name="Type" localSheetId="7">#REF!</definedName>
    <definedName name="Type" localSheetId="8">#REF!</definedName>
    <definedName name="Type" localSheetId="9">#REF!</definedName>
    <definedName name="Type" localSheetId="10">#REF!</definedName>
    <definedName name="Type" localSheetId="11">#REF!</definedName>
    <definedName name="Type" localSheetId="12">#REF!</definedName>
    <definedName name="Type" localSheetId="13">#REF!</definedName>
    <definedName name="Type" localSheetId="14">#REF!</definedName>
    <definedName name="Type" localSheetId="15">#REF!</definedName>
    <definedName name="Type" localSheetId="16">#REF!</definedName>
    <definedName name="Type" localSheetId="17">#REF!</definedName>
    <definedName name="Type" localSheetId="0">#REF!</definedName>
    <definedName name="Type">#REF!</definedName>
    <definedName name="TypeAnnuity" localSheetId="0">#REF!</definedName>
    <definedName name="TypeAnnuity">#REF!</definedName>
    <definedName name="TypeAnnuity1" localSheetId="0">#REF!</definedName>
    <definedName name="TypeAnnuity1">#REF!</definedName>
    <definedName name="TypePension" localSheetId="0">#REF!</definedName>
    <definedName name="TypePension">#REF!</definedName>
    <definedName name="TypePension1" localSheetId="0">#REF!</definedName>
    <definedName name="TypePension1">#REF!</definedName>
    <definedName name="UnfundedData" localSheetId="0">#REF!</definedName>
    <definedName name="UnfundedData">#REF!</definedName>
    <definedName name="UnfundedData1" localSheetId="0">#REF!</definedName>
    <definedName name="UnfundedData1">#REF!</definedName>
    <definedName name="UnfundedLY" localSheetId="0">#REF!</definedName>
    <definedName name="UnfundedLY">#REF!</definedName>
    <definedName name="UnfundedLY1" localSheetId="0">#REF!</definedName>
    <definedName name="UnfundedLY1">#REF!</definedName>
    <definedName name="UnfundedLYLEO1" localSheetId="0">#REF!</definedName>
    <definedName name="UnfundedLYLEO1">#REF!</definedName>
    <definedName name="UnfunedLYLEO" localSheetId="0">#REF!</definedName>
    <definedName name="UnfunedLYLEO">#REF!</definedName>
    <definedName name="VersionGASB">[1]DeveloperInfo!$D$4</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9" i="1" l="1"/>
  <c r="N68" i="1"/>
  <c r="N67" i="1"/>
  <c r="N66" i="1"/>
  <c r="N42" i="1"/>
  <c r="N16" i="1"/>
  <c r="K129" i="20" l="1"/>
  <c r="K123" i="20"/>
  <c r="L114" i="20"/>
  <c r="K114" i="20"/>
  <c r="J114" i="20"/>
  <c r="K105" i="20"/>
  <c r="J105" i="20"/>
  <c r="L105" i="20" s="1"/>
  <c r="L91" i="20"/>
  <c r="K91" i="20"/>
  <c r="J91" i="20"/>
  <c r="K77" i="20"/>
  <c r="J77" i="20"/>
  <c r="L77" i="20" s="1"/>
  <c r="K70" i="20"/>
  <c r="J70" i="20"/>
  <c r="L70" i="20" s="1"/>
  <c r="L69" i="20"/>
  <c r="K65" i="20"/>
  <c r="J65" i="20"/>
  <c r="L65" i="20" s="1"/>
  <c r="B63" i="20"/>
  <c r="L62" i="20"/>
  <c r="L59" i="20"/>
  <c r="K59" i="20"/>
  <c r="J59" i="20"/>
  <c r="K49" i="20"/>
  <c r="J49" i="20"/>
  <c r="L49" i="20" s="1"/>
  <c r="K43" i="20"/>
  <c r="J43" i="20"/>
  <c r="L43" i="20" s="1"/>
  <c r="L36" i="20"/>
  <c r="K36" i="20"/>
  <c r="J36" i="20"/>
  <c r="S25" i="20"/>
  <c r="Q24" i="20"/>
  <c r="S24" i="20" s="1"/>
  <c r="K24" i="20"/>
  <c r="S23" i="20"/>
  <c r="K23" i="20"/>
  <c r="K128" i="20" s="1"/>
  <c r="S22" i="20"/>
  <c r="K22" i="20"/>
  <c r="S21" i="20"/>
  <c r="K21" i="20"/>
  <c r="K126" i="20" s="1"/>
  <c r="S20" i="20"/>
  <c r="K20" i="20"/>
  <c r="K25" i="20" s="1"/>
  <c r="S19" i="20"/>
  <c r="P18" i="20"/>
  <c r="J18" i="20" s="1"/>
  <c r="S17" i="20"/>
  <c r="J17" i="20"/>
  <c r="K124" i="20" s="1"/>
  <c r="S16" i="20"/>
  <c r="J16" i="20"/>
  <c r="S15" i="20"/>
  <c r="J15" i="20"/>
  <c r="K122" i="20" s="1"/>
  <c r="F9" i="20"/>
  <c r="C35" i="20" s="1"/>
  <c r="K129" i="19"/>
  <c r="K123" i="19"/>
  <c r="K114" i="19"/>
  <c r="J114" i="19"/>
  <c r="L114" i="19" s="1"/>
  <c r="K105" i="19"/>
  <c r="J105" i="19"/>
  <c r="K91" i="19"/>
  <c r="J91" i="19"/>
  <c r="K77" i="19"/>
  <c r="L77" i="19" s="1"/>
  <c r="J77" i="19"/>
  <c r="K70" i="19"/>
  <c r="L70" i="19" s="1"/>
  <c r="J70" i="19"/>
  <c r="L69" i="19"/>
  <c r="K65" i="19"/>
  <c r="J65" i="19"/>
  <c r="L65" i="19" s="1"/>
  <c r="B63" i="19"/>
  <c r="L62" i="19"/>
  <c r="K59" i="19"/>
  <c r="J59" i="19"/>
  <c r="L59" i="19" s="1"/>
  <c r="K49" i="19"/>
  <c r="L49" i="19" s="1"/>
  <c r="J49" i="19"/>
  <c r="K43" i="19"/>
  <c r="J43" i="19"/>
  <c r="K36" i="19"/>
  <c r="J36" i="19"/>
  <c r="S25" i="19"/>
  <c r="Q24" i="19"/>
  <c r="S24" i="19" s="1"/>
  <c r="S23" i="19"/>
  <c r="K23" i="19"/>
  <c r="K128" i="19" s="1"/>
  <c r="S22" i="19"/>
  <c r="K22" i="19"/>
  <c r="K127" i="19" s="1"/>
  <c r="S21" i="19"/>
  <c r="K21" i="19"/>
  <c r="K126" i="19" s="1"/>
  <c r="S20" i="19"/>
  <c r="K20" i="19"/>
  <c r="K125" i="19" s="1"/>
  <c r="S19" i="19"/>
  <c r="P18" i="19"/>
  <c r="S18" i="19" s="1"/>
  <c r="S17" i="19"/>
  <c r="J17" i="19"/>
  <c r="K124" i="19" s="1"/>
  <c r="S16" i="19"/>
  <c r="J16" i="19"/>
  <c r="S15" i="19"/>
  <c r="J15" i="19"/>
  <c r="F9" i="19"/>
  <c r="C35" i="19" s="1"/>
  <c r="K129" i="18"/>
  <c r="K124" i="18"/>
  <c r="K123" i="18"/>
  <c r="L114" i="18"/>
  <c r="K114" i="18"/>
  <c r="J114" i="18"/>
  <c r="K105" i="18"/>
  <c r="J105" i="18"/>
  <c r="L105" i="18" s="1"/>
  <c r="L91" i="18"/>
  <c r="K91" i="18"/>
  <c r="J91" i="18"/>
  <c r="K77" i="18"/>
  <c r="J77" i="18"/>
  <c r="L77" i="18" s="1"/>
  <c r="K70" i="18"/>
  <c r="J70" i="18"/>
  <c r="L70" i="18" s="1"/>
  <c r="L69" i="18"/>
  <c r="L65" i="18"/>
  <c r="K65" i="18"/>
  <c r="J65" i="18"/>
  <c r="B63" i="18"/>
  <c r="L62" i="18"/>
  <c r="L59" i="18"/>
  <c r="K59" i="18"/>
  <c r="J59" i="18"/>
  <c r="K49" i="18"/>
  <c r="J49" i="18"/>
  <c r="L49" i="18" s="1"/>
  <c r="K43" i="18"/>
  <c r="J43" i="18"/>
  <c r="L43" i="18" s="1"/>
  <c r="K36" i="18"/>
  <c r="L36" i="18" s="1"/>
  <c r="J36" i="18"/>
  <c r="S25" i="18"/>
  <c r="S24" i="18"/>
  <c r="Q24" i="18"/>
  <c r="K24" i="18"/>
  <c r="S23" i="18"/>
  <c r="K23" i="18"/>
  <c r="K128" i="18" s="1"/>
  <c r="S22" i="18"/>
  <c r="K22" i="18"/>
  <c r="K127" i="18" s="1"/>
  <c r="S21" i="18"/>
  <c r="K21" i="18"/>
  <c r="K126" i="18" s="1"/>
  <c r="S20" i="18"/>
  <c r="K20" i="18"/>
  <c r="S19" i="18"/>
  <c r="P18" i="18"/>
  <c r="J18" i="18" s="1"/>
  <c r="S17" i="18"/>
  <c r="J17" i="18"/>
  <c r="S16" i="18"/>
  <c r="J16" i="18"/>
  <c r="S15" i="18"/>
  <c r="J15" i="18"/>
  <c r="F9" i="18"/>
  <c r="B100" i="18" s="1"/>
  <c r="K129" i="17"/>
  <c r="K124" i="17"/>
  <c r="K123" i="17"/>
  <c r="K114" i="17"/>
  <c r="J114" i="17"/>
  <c r="L114" i="17" s="1"/>
  <c r="K105" i="17"/>
  <c r="J105" i="17"/>
  <c r="L105" i="17" s="1"/>
  <c r="K91" i="17"/>
  <c r="J91" i="17"/>
  <c r="L91" i="17" s="1"/>
  <c r="K77" i="17"/>
  <c r="J77" i="17"/>
  <c r="L77" i="17" s="1"/>
  <c r="K70" i="17"/>
  <c r="L70" i="17" s="1"/>
  <c r="J70" i="17"/>
  <c r="L69" i="17"/>
  <c r="K65" i="17"/>
  <c r="J65" i="17"/>
  <c r="L65" i="17" s="1"/>
  <c r="B63" i="17"/>
  <c r="L62" i="17"/>
  <c r="K59" i="17"/>
  <c r="J59" i="17"/>
  <c r="L59" i="17" s="1"/>
  <c r="K49" i="17"/>
  <c r="J49" i="17"/>
  <c r="L49" i="17" s="1"/>
  <c r="K43" i="17"/>
  <c r="L43" i="17" s="1"/>
  <c r="J43" i="17"/>
  <c r="L36" i="17"/>
  <c r="K36" i="17"/>
  <c r="J36" i="17"/>
  <c r="S25" i="17"/>
  <c r="Q24" i="17"/>
  <c r="S24" i="17" s="1"/>
  <c r="K24" i="17"/>
  <c r="S23" i="17"/>
  <c r="K23" i="17"/>
  <c r="K128" i="17" s="1"/>
  <c r="S22" i="17"/>
  <c r="K22" i="17"/>
  <c r="K127" i="17" s="1"/>
  <c r="S21" i="17"/>
  <c r="K21" i="17"/>
  <c r="K126" i="17" s="1"/>
  <c r="S20" i="17"/>
  <c r="K20" i="17"/>
  <c r="K125" i="17" s="1"/>
  <c r="S19" i="17"/>
  <c r="S18" i="17"/>
  <c r="P18" i="17"/>
  <c r="J18" i="17"/>
  <c r="S17" i="17"/>
  <c r="J17" i="17"/>
  <c r="S16" i="17"/>
  <c r="J16" i="17"/>
  <c r="S15" i="17"/>
  <c r="J15" i="17"/>
  <c r="K122" i="17" s="1"/>
  <c r="F9" i="17"/>
  <c r="C104" i="17" s="1"/>
  <c r="K129" i="16"/>
  <c r="K126" i="16"/>
  <c r="K123" i="16"/>
  <c r="K114" i="16"/>
  <c r="J114" i="16"/>
  <c r="L114" i="16" s="1"/>
  <c r="L105" i="16"/>
  <c r="K105" i="16"/>
  <c r="J105" i="16"/>
  <c r="K91" i="16"/>
  <c r="J91" i="16"/>
  <c r="L91" i="16" s="1"/>
  <c r="L77" i="16"/>
  <c r="K77" i="16"/>
  <c r="J77" i="16"/>
  <c r="K70" i="16"/>
  <c r="L70" i="16" s="1"/>
  <c r="J70" i="16"/>
  <c r="L69" i="16"/>
  <c r="K65" i="16"/>
  <c r="J65" i="16"/>
  <c r="L65" i="16" s="1"/>
  <c r="B63" i="16"/>
  <c r="L62" i="16"/>
  <c r="K59" i="16"/>
  <c r="J59" i="16"/>
  <c r="L59" i="16" s="1"/>
  <c r="L49" i="16"/>
  <c r="K49" i="16"/>
  <c r="J49" i="16"/>
  <c r="K43" i="16"/>
  <c r="L43" i="16" s="1"/>
  <c r="J43" i="16"/>
  <c r="K36" i="16"/>
  <c r="J36" i="16"/>
  <c r="L36" i="16" s="1"/>
  <c r="S25" i="16"/>
  <c r="Q24" i="16"/>
  <c r="S24" i="16" s="1"/>
  <c r="S23" i="16"/>
  <c r="K23" i="16"/>
  <c r="K128" i="16" s="1"/>
  <c r="S22" i="16"/>
  <c r="K22" i="16"/>
  <c r="K127" i="16" s="1"/>
  <c r="S21" i="16"/>
  <c r="K21" i="16"/>
  <c r="S20" i="16"/>
  <c r="K20" i="16"/>
  <c r="K125" i="16" s="1"/>
  <c r="S19" i="16"/>
  <c r="S18" i="16"/>
  <c r="P18" i="16"/>
  <c r="J18" i="16"/>
  <c r="S17" i="16"/>
  <c r="J17" i="16"/>
  <c r="K124" i="16" s="1"/>
  <c r="S16" i="16"/>
  <c r="J16" i="16"/>
  <c r="S15" i="16"/>
  <c r="J15" i="16"/>
  <c r="K122" i="16" s="1"/>
  <c r="F9" i="16"/>
  <c r="C35" i="16" s="1"/>
  <c r="K129" i="15"/>
  <c r="K128" i="15"/>
  <c r="K127" i="15"/>
  <c r="K123" i="15"/>
  <c r="K114" i="15"/>
  <c r="J114" i="15"/>
  <c r="L114" i="15" s="1"/>
  <c r="L105" i="15"/>
  <c r="K105" i="15"/>
  <c r="J105" i="15"/>
  <c r="K91" i="15"/>
  <c r="J91" i="15"/>
  <c r="L91" i="15" s="1"/>
  <c r="L77" i="15"/>
  <c r="K77" i="15"/>
  <c r="J77" i="15"/>
  <c r="K70" i="15"/>
  <c r="J70" i="15"/>
  <c r="L70" i="15" s="1"/>
  <c r="L69" i="15"/>
  <c r="K65" i="15"/>
  <c r="L65" i="15" s="1"/>
  <c r="J65" i="15"/>
  <c r="B63" i="15"/>
  <c r="L62" i="15"/>
  <c r="K59" i="15"/>
  <c r="J59" i="15"/>
  <c r="L59" i="15" s="1"/>
  <c r="L49" i="15"/>
  <c r="K49" i="15"/>
  <c r="J49" i="15"/>
  <c r="K43" i="15"/>
  <c r="J43" i="15"/>
  <c r="L43" i="15" s="1"/>
  <c r="K36" i="15"/>
  <c r="J36" i="15"/>
  <c r="L36" i="15" s="1"/>
  <c r="S25" i="15"/>
  <c r="Q24" i="15"/>
  <c r="K24" i="15" s="1"/>
  <c r="S23" i="15"/>
  <c r="K23" i="15"/>
  <c r="S22" i="15"/>
  <c r="K22" i="15"/>
  <c r="S21" i="15"/>
  <c r="K21" i="15"/>
  <c r="K126" i="15" s="1"/>
  <c r="S20" i="15"/>
  <c r="K20" i="15"/>
  <c r="K125" i="15" s="1"/>
  <c r="S19" i="15"/>
  <c r="P18" i="15"/>
  <c r="S18" i="15" s="1"/>
  <c r="J18" i="15"/>
  <c r="S17" i="15"/>
  <c r="J17" i="15"/>
  <c r="K124" i="15" s="1"/>
  <c r="S16" i="15"/>
  <c r="J16" i="15"/>
  <c r="S15" i="15"/>
  <c r="J15" i="15"/>
  <c r="K122" i="15" s="1"/>
  <c r="F9" i="15"/>
  <c r="C35" i="15" s="1"/>
  <c r="L91" i="19" l="1"/>
  <c r="L36" i="19"/>
  <c r="J18" i="19"/>
  <c r="L43" i="19"/>
  <c r="L105" i="19"/>
  <c r="K26" i="20"/>
  <c r="S18" i="20"/>
  <c r="C104" i="20"/>
  <c r="C64" i="20"/>
  <c r="B100" i="20"/>
  <c r="K125" i="20"/>
  <c r="J19" i="20"/>
  <c r="J26" i="20" s="1"/>
  <c r="L26" i="20" s="1"/>
  <c r="K127" i="20"/>
  <c r="B100" i="19"/>
  <c r="K122" i="19"/>
  <c r="C104" i="19"/>
  <c r="C64" i="19"/>
  <c r="K24" i="19"/>
  <c r="J19" i="19" s="1"/>
  <c r="J26" i="19" s="1"/>
  <c r="K25" i="18"/>
  <c r="C35" i="18"/>
  <c r="K125" i="18"/>
  <c r="K122" i="18"/>
  <c r="J19" i="18"/>
  <c r="J26" i="18" s="1"/>
  <c r="L26" i="18" s="1"/>
  <c r="C104" i="18"/>
  <c r="C64" i="18"/>
  <c r="S18" i="18"/>
  <c r="K26" i="18"/>
  <c r="C35" i="17"/>
  <c r="B100" i="17"/>
  <c r="J19" i="17"/>
  <c r="C64" i="17"/>
  <c r="J26" i="17"/>
  <c r="K25" i="17"/>
  <c r="K26" i="17" s="1"/>
  <c r="C104" i="16"/>
  <c r="C64" i="16"/>
  <c r="B100" i="16"/>
  <c r="K24" i="16"/>
  <c r="J19" i="16" s="1"/>
  <c r="J26" i="16" s="1"/>
  <c r="K25" i="16"/>
  <c r="K26" i="16" s="1"/>
  <c r="J26" i="15"/>
  <c r="B100" i="15"/>
  <c r="J19" i="15"/>
  <c r="C104" i="15"/>
  <c r="S24" i="15"/>
  <c r="K25" i="15"/>
  <c r="K26" i="15" s="1"/>
  <c r="C64" i="15"/>
  <c r="K25" i="19" l="1"/>
  <c r="K26" i="19"/>
  <c r="L26" i="19" s="1"/>
  <c r="L26" i="17"/>
  <c r="L26" i="16"/>
  <c r="L26" i="15"/>
  <c r="K129" i="14" l="1"/>
  <c r="K128" i="14"/>
  <c r="K127" i="14"/>
  <c r="K126" i="14"/>
  <c r="K114" i="14"/>
  <c r="J114" i="14"/>
  <c r="L114" i="14" s="1"/>
  <c r="K105" i="14"/>
  <c r="J105" i="14"/>
  <c r="L105" i="14" s="1"/>
  <c r="K91" i="14"/>
  <c r="J91" i="14"/>
  <c r="L91" i="14" s="1"/>
  <c r="K77" i="14"/>
  <c r="J77" i="14"/>
  <c r="L77" i="14" s="1"/>
  <c r="L70" i="14"/>
  <c r="K70" i="14"/>
  <c r="J70" i="14"/>
  <c r="L69" i="14"/>
  <c r="K65" i="14"/>
  <c r="J65" i="14"/>
  <c r="L65" i="14" s="1"/>
  <c r="B63" i="14"/>
  <c r="L62" i="14"/>
  <c r="K59" i="14"/>
  <c r="J59" i="14"/>
  <c r="L59" i="14" s="1"/>
  <c r="K49" i="14"/>
  <c r="J49" i="14"/>
  <c r="L49" i="14" s="1"/>
  <c r="L43" i="14"/>
  <c r="K43" i="14"/>
  <c r="J43" i="14"/>
  <c r="K36" i="14"/>
  <c r="J36" i="14"/>
  <c r="L36" i="14" s="1"/>
  <c r="S25" i="14"/>
  <c r="Q24" i="14"/>
  <c r="S24" i="14" s="1"/>
  <c r="K24" i="14"/>
  <c r="S23" i="14"/>
  <c r="K23" i="14"/>
  <c r="S22" i="14"/>
  <c r="K22" i="14"/>
  <c r="S21" i="14"/>
  <c r="K21" i="14"/>
  <c r="S20" i="14"/>
  <c r="K20" i="14"/>
  <c r="S19" i="14"/>
  <c r="P18" i="14"/>
  <c r="S18" i="14" s="1"/>
  <c r="J18" i="14"/>
  <c r="S17" i="14"/>
  <c r="J17" i="14"/>
  <c r="K124" i="14" s="1"/>
  <c r="S16" i="14"/>
  <c r="J16" i="14"/>
  <c r="K123" i="14" s="1"/>
  <c r="S15" i="14"/>
  <c r="J15" i="14"/>
  <c r="K122" i="14" s="1"/>
  <c r="F9" i="14"/>
  <c r="C64" i="14" s="1"/>
  <c r="K129" i="13"/>
  <c r="K124" i="13"/>
  <c r="K123" i="13"/>
  <c r="K114" i="13"/>
  <c r="J114" i="13"/>
  <c r="L114" i="13" s="1"/>
  <c r="K105" i="13"/>
  <c r="J105" i="13"/>
  <c r="L105" i="13" s="1"/>
  <c r="K91" i="13"/>
  <c r="J91" i="13"/>
  <c r="L91" i="13" s="1"/>
  <c r="K77" i="13"/>
  <c r="J77" i="13"/>
  <c r="L77" i="13" s="1"/>
  <c r="K70" i="13"/>
  <c r="L70" i="13" s="1"/>
  <c r="J70" i="13"/>
  <c r="L69" i="13"/>
  <c r="K65" i="13"/>
  <c r="J65" i="13"/>
  <c r="L65" i="13" s="1"/>
  <c r="B63" i="13"/>
  <c r="L62" i="13"/>
  <c r="K59" i="13"/>
  <c r="J59" i="13"/>
  <c r="L59" i="13" s="1"/>
  <c r="K49" i="13"/>
  <c r="J49" i="13"/>
  <c r="L49" i="13" s="1"/>
  <c r="K43" i="13"/>
  <c r="L43" i="13" s="1"/>
  <c r="J43" i="13"/>
  <c r="L36" i="13"/>
  <c r="K36" i="13"/>
  <c r="J36" i="13"/>
  <c r="S25" i="13"/>
  <c r="Q24" i="13"/>
  <c r="S24" i="13" s="1"/>
  <c r="K24" i="13"/>
  <c r="S23" i="13"/>
  <c r="K23" i="13"/>
  <c r="K128" i="13" s="1"/>
  <c r="S22" i="13"/>
  <c r="K22" i="13"/>
  <c r="K127" i="13" s="1"/>
  <c r="S21" i="13"/>
  <c r="K21" i="13"/>
  <c r="K126" i="13" s="1"/>
  <c r="S20" i="13"/>
  <c r="K20" i="13"/>
  <c r="K125" i="13" s="1"/>
  <c r="S19" i="13"/>
  <c r="S18" i="13"/>
  <c r="P18" i="13"/>
  <c r="J18" i="13"/>
  <c r="S17" i="13"/>
  <c r="J17" i="13"/>
  <c r="S16" i="13"/>
  <c r="J16" i="13"/>
  <c r="S15" i="13"/>
  <c r="J15" i="13"/>
  <c r="J19" i="13" s="1"/>
  <c r="F9" i="13"/>
  <c r="B100" i="13" s="1"/>
  <c r="B100" i="14" l="1"/>
  <c r="C35" i="14"/>
  <c r="K125" i="14"/>
  <c r="K25" i="14"/>
  <c r="K26" i="14" s="1"/>
  <c r="J19" i="14"/>
  <c r="J26" i="14" s="1"/>
  <c r="L26" i="14" s="1"/>
  <c r="C104" i="14"/>
  <c r="C104" i="13"/>
  <c r="J26" i="13"/>
  <c r="C35" i="13"/>
  <c r="K122" i="13"/>
  <c r="C64" i="13"/>
  <c r="K25" i="13"/>
  <c r="K26" i="13" s="1"/>
  <c r="L26" i="13" l="1"/>
  <c r="K129" i="12" l="1"/>
  <c r="K128" i="12"/>
  <c r="K124" i="12"/>
  <c r="K114" i="12"/>
  <c r="J114" i="12"/>
  <c r="L114" i="12" s="1"/>
  <c r="K105" i="12"/>
  <c r="J105" i="12"/>
  <c r="L105" i="12" s="1"/>
  <c r="K91" i="12"/>
  <c r="J91" i="12"/>
  <c r="L91" i="12" s="1"/>
  <c r="K77" i="12"/>
  <c r="J77" i="12"/>
  <c r="L77" i="12" s="1"/>
  <c r="K70" i="12"/>
  <c r="L70" i="12" s="1"/>
  <c r="J70" i="12"/>
  <c r="L69" i="12"/>
  <c r="K65" i="12"/>
  <c r="J65" i="12"/>
  <c r="L65" i="12" s="1"/>
  <c r="B63" i="12"/>
  <c r="L62" i="12"/>
  <c r="K59" i="12"/>
  <c r="J59" i="12"/>
  <c r="L59" i="12" s="1"/>
  <c r="K49" i="12"/>
  <c r="J49" i="12"/>
  <c r="L49" i="12" s="1"/>
  <c r="K43" i="12"/>
  <c r="L43" i="12" s="1"/>
  <c r="J43" i="12"/>
  <c r="L36" i="12"/>
  <c r="K36" i="12"/>
  <c r="J36" i="12"/>
  <c r="S25" i="12"/>
  <c r="Q24" i="12"/>
  <c r="S24" i="12" s="1"/>
  <c r="K24" i="12"/>
  <c r="S23" i="12"/>
  <c r="K23" i="12"/>
  <c r="S22" i="12"/>
  <c r="K22" i="12"/>
  <c r="K127" i="12" s="1"/>
  <c r="S21" i="12"/>
  <c r="K21" i="12"/>
  <c r="K126" i="12" s="1"/>
  <c r="S20" i="12"/>
  <c r="K20" i="12"/>
  <c r="K125" i="12" s="1"/>
  <c r="S19" i="12"/>
  <c r="S18" i="12"/>
  <c r="P18" i="12"/>
  <c r="J18" i="12"/>
  <c r="K25" i="12" s="1"/>
  <c r="S17" i="12"/>
  <c r="J17" i="12"/>
  <c r="S16" i="12"/>
  <c r="J16" i="12"/>
  <c r="K123" i="12" s="1"/>
  <c r="S15" i="12"/>
  <c r="J15" i="12"/>
  <c r="F9" i="12"/>
  <c r="C64" i="12" s="1"/>
  <c r="K26" i="12" l="1"/>
  <c r="K122" i="12"/>
  <c r="J19" i="12"/>
  <c r="J26" i="12" s="1"/>
  <c r="L26" i="12" s="1"/>
  <c r="C104" i="12"/>
  <c r="C35" i="12"/>
  <c r="B100" i="12"/>
  <c r="K129" i="11" l="1"/>
  <c r="K123" i="11"/>
  <c r="K114" i="11"/>
  <c r="J114" i="11"/>
  <c r="L114" i="11" s="1"/>
  <c r="K105" i="11"/>
  <c r="J105" i="11"/>
  <c r="L105" i="11" s="1"/>
  <c r="K91" i="11"/>
  <c r="J91" i="11"/>
  <c r="L91" i="11" s="1"/>
  <c r="K77" i="11"/>
  <c r="J77" i="11"/>
  <c r="L77" i="11" s="1"/>
  <c r="K70" i="11"/>
  <c r="L70" i="11" s="1"/>
  <c r="J70" i="11"/>
  <c r="L69" i="11"/>
  <c r="K65" i="11"/>
  <c r="L65" i="11" s="1"/>
  <c r="J65" i="11"/>
  <c r="B63" i="11"/>
  <c r="L62" i="11"/>
  <c r="K59" i="11"/>
  <c r="J59" i="11"/>
  <c r="L59" i="11" s="1"/>
  <c r="K49" i="11"/>
  <c r="J49" i="11"/>
  <c r="L49" i="11" s="1"/>
  <c r="K43" i="11"/>
  <c r="L43" i="11" s="1"/>
  <c r="J43" i="11"/>
  <c r="L36" i="11"/>
  <c r="K36" i="11"/>
  <c r="J36" i="11"/>
  <c r="S25" i="11"/>
  <c r="Q24" i="11"/>
  <c r="S24" i="11" s="1"/>
  <c r="K24" i="11"/>
  <c r="S23" i="11"/>
  <c r="K23" i="11"/>
  <c r="K128" i="11" s="1"/>
  <c r="S22" i="11"/>
  <c r="K22" i="11"/>
  <c r="K127" i="11" s="1"/>
  <c r="S21" i="11"/>
  <c r="K21" i="11"/>
  <c r="K126" i="11" s="1"/>
  <c r="S20" i="11"/>
  <c r="K20" i="11"/>
  <c r="K125" i="11" s="1"/>
  <c r="S19" i="11"/>
  <c r="S18" i="11"/>
  <c r="P18" i="11"/>
  <c r="J18" i="11"/>
  <c r="S17" i="11"/>
  <c r="J17" i="11"/>
  <c r="K124" i="11" s="1"/>
  <c r="S16" i="11"/>
  <c r="J16" i="11"/>
  <c r="S15" i="11"/>
  <c r="J15" i="11"/>
  <c r="K25" i="11" s="1"/>
  <c r="K26" i="11" s="1"/>
  <c r="F9" i="11"/>
  <c r="C35" i="11" s="1"/>
  <c r="B100" i="11" l="1"/>
  <c r="C104" i="11"/>
  <c r="C64" i="11"/>
  <c r="J19" i="11"/>
  <c r="J26" i="11"/>
  <c r="L26" i="11" s="1"/>
  <c r="K122" i="11"/>
  <c r="K129" i="10" l="1"/>
  <c r="K124" i="10"/>
  <c r="K114" i="10"/>
  <c r="J114" i="10"/>
  <c r="L114" i="10" s="1"/>
  <c r="K105" i="10"/>
  <c r="J105" i="10"/>
  <c r="L105" i="10" s="1"/>
  <c r="K91" i="10"/>
  <c r="J91" i="10"/>
  <c r="L91" i="10" s="1"/>
  <c r="K77" i="10"/>
  <c r="J77" i="10"/>
  <c r="L77" i="10" s="1"/>
  <c r="K70" i="10"/>
  <c r="L70" i="10" s="1"/>
  <c r="J70" i="10"/>
  <c r="L69" i="10"/>
  <c r="K65" i="10"/>
  <c r="J65" i="10"/>
  <c r="L65" i="10" s="1"/>
  <c r="B63" i="10"/>
  <c r="L62" i="10"/>
  <c r="K59" i="10"/>
  <c r="J59" i="10"/>
  <c r="L59" i="10" s="1"/>
  <c r="K49" i="10"/>
  <c r="J49" i="10"/>
  <c r="L49" i="10" s="1"/>
  <c r="K43" i="10"/>
  <c r="L43" i="10" s="1"/>
  <c r="J43" i="10"/>
  <c r="L36" i="10"/>
  <c r="K36" i="10"/>
  <c r="J36" i="10"/>
  <c r="S25" i="10"/>
  <c r="Q24" i="10"/>
  <c r="S24" i="10" s="1"/>
  <c r="K24" i="10"/>
  <c r="S23" i="10"/>
  <c r="K23" i="10"/>
  <c r="K128" i="10" s="1"/>
  <c r="S22" i="10"/>
  <c r="K22" i="10"/>
  <c r="K127" i="10" s="1"/>
  <c r="S21" i="10"/>
  <c r="K21" i="10"/>
  <c r="K126" i="10" s="1"/>
  <c r="S20" i="10"/>
  <c r="K20" i="10"/>
  <c r="K125" i="10" s="1"/>
  <c r="S19" i="10"/>
  <c r="S18" i="10"/>
  <c r="P18" i="10"/>
  <c r="J18" i="10"/>
  <c r="S17" i="10"/>
  <c r="J17" i="10"/>
  <c r="S16" i="10"/>
  <c r="J16" i="10"/>
  <c r="K123" i="10" s="1"/>
  <c r="S15" i="10"/>
  <c r="J15" i="10"/>
  <c r="F9" i="10"/>
  <c r="C35" i="10" s="1"/>
  <c r="B100" i="10" l="1"/>
  <c r="C64" i="10"/>
  <c r="K122" i="10"/>
  <c r="J19" i="10"/>
  <c r="J26" i="10" s="1"/>
  <c r="C104" i="10"/>
  <c r="K25" i="10"/>
  <c r="K26" i="10" s="1"/>
  <c r="L26" i="10" l="1"/>
  <c r="K129" i="9" l="1"/>
  <c r="K123" i="9"/>
  <c r="K114" i="9"/>
  <c r="J114" i="9"/>
  <c r="L114" i="9" s="1"/>
  <c r="K105" i="9"/>
  <c r="J105" i="9"/>
  <c r="L105" i="9" s="1"/>
  <c r="K91" i="9"/>
  <c r="J91" i="9"/>
  <c r="L91" i="9" s="1"/>
  <c r="K77" i="9"/>
  <c r="J77" i="9"/>
  <c r="L77" i="9" s="1"/>
  <c r="K70" i="9"/>
  <c r="L70" i="9" s="1"/>
  <c r="J70" i="9"/>
  <c r="L69" i="9"/>
  <c r="L65" i="9"/>
  <c r="K65" i="9"/>
  <c r="J65" i="9"/>
  <c r="B63" i="9"/>
  <c r="L62" i="9"/>
  <c r="K59" i="9"/>
  <c r="J59" i="9"/>
  <c r="L59" i="9" s="1"/>
  <c r="K49" i="9"/>
  <c r="J49" i="9"/>
  <c r="L49" i="9" s="1"/>
  <c r="K43" i="9"/>
  <c r="L43" i="9" s="1"/>
  <c r="J43" i="9"/>
  <c r="L36" i="9"/>
  <c r="K36" i="9"/>
  <c r="J36" i="9"/>
  <c r="S25" i="9"/>
  <c r="S24" i="9"/>
  <c r="Q24" i="9"/>
  <c r="K24" i="9"/>
  <c r="S23" i="9"/>
  <c r="K23" i="9"/>
  <c r="K128" i="9" s="1"/>
  <c r="S22" i="9"/>
  <c r="K22" i="9"/>
  <c r="K127" i="9" s="1"/>
  <c r="S21" i="9"/>
  <c r="K21" i="9"/>
  <c r="K126" i="9" s="1"/>
  <c r="S20" i="9"/>
  <c r="K20" i="9"/>
  <c r="K125" i="9" s="1"/>
  <c r="S19" i="9"/>
  <c r="S18" i="9"/>
  <c r="P18" i="9"/>
  <c r="J18" i="9"/>
  <c r="S17" i="9"/>
  <c r="J17" i="9"/>
  <c r="K124" i="9" s="1"/>
  <c r="S16" i="9"/>
  <c r="J16" i="9"/>
  <c r="S15" i="9"/>
  <c r="J15" i="9"/>
  <c r="K25" i="9" s="1"/>
  <c r="K26" i="9" s="1"/>
  <c r="F9" i="9"/>
  <c r="B100" i="9" s="1"/>
  <c r="C64" i="9" l="1"/>
  <c r="K122" i="9"/>
  <c r="J19" i="9"/>
  <c r="C35" i="9"/>
  <c r="J26" i="9"/>
  <c r="L26" i="9" s="1"/>
  <c r="C104" i="9"/>
  <c r="K129" i="8" l="1"/>
  <c r="K124" i="8"/>
  <c r="K123" i="8"/>
  <c r="K114" i="8"/>
  <c r="J114" i="8"/>
  <c r="L114" i="8" s="1"/>
  <c r="K105" i="8"/>
  <c r="J105" i="8"/>
  <c r="L105" i="8" s="1"/>
  <c r="K91" i="8"/>
  <c r="J91" i="8"/>
  <c r="L91" i="8" s="1"/>
  <c r="K77" i="8"/>
  <c r="J77" i="8"/>
  <c r="L77" i="8" s="1"/>
  <c r="K70" i="8"/>
  <c r="L70" i="8" s="1"/>
  <c r="J70" i="8"/>
  <c r="L69" i="8"/>
  <c r="K65" i="8"/>
  <c r="J65" i="8"/>
  <c r="L65" i="8" s="1"/>
  <c r="B63" i="8"/>
  <c r="L62" i="8"/>
  <c r="K59" i="8"/>
  <c r="J59" i="8"/>
  <c r="L59" i="8" s="1"/>
  <c r="K49" i="8"/>
  <c r="J49" i="8"/>
  <c r="L49" i="8" s="1"/>
  <c r="K43" i="8"/>
  <c r="L43" i="8" s="1"/>
  <c r="J43" i="8"/>
  <c r="L36" i="8"/>
  <c r="K36" i="8"/>
  <c r="J36" i="8"/>
  <c r="S25" i="8"/>
  <c r="Q24" i="8"/>
  <c r="S24" i="8" s="1"/>
  <c r="K24" i="8"/>
  <c r="S23" i="8"/>
  <c r="K23" i="8"/>
  <c r="K128" i="8" s="1"/>
  <c r="S22" i="8"/>
  <c r="K22" i="8"/>
  <c r="K127" i="8" s="1"/>
  <c r="S21" i="8"/>
  <c r="K21" i="8"/>
  <c r="K126" i="8" s="1"/>
  <c r="S20" i="8"/>
  <c r="K20" i="8"/>
  <c r="K125" i="8" s="1"/>
  <c r="S19" i="8"/>
  <c r="S18" i="8"/>
  <c r="P18" i="8"/>
  <c r="J18" i="8"/>
  <c r="S17" i="8"/>
  <c r="J17" i="8"/>
  <c r="S16" i="8"/>
  <c r="J16" i="8"/>
  <c r="S15" i="8"/>
  <c r="J15" i="8"/>
  <c r="F9" i="8"/>
  <c r="C35" i="8" s="1"/>
  <c r="K122" i="8" l="1"/>
  <c r="J19" i="8"/>
  <c r="J26" i="8" s="1"/>
  <c r="L26" i="8" s="1"/>
  <c r="C64" i="8"/>
  <c r="B100" i="8"/>
  <c r="C104" i="8"/>
  <c r="K25" i="8"/>
  <c r="K26" i="8" s="1"/>
  <c r="K129" i="7" l="1"/>
  <c r="K124" i="7"/>
  <c r="K123" i="7"/>
  <c r="K114" i="7"/>
  <c r="J114" i="7"/>
  <c r="L114" i="7" s="1"/>
  <c r="K105" i="7"/>
  <c r="J105" i="7"/>
  <c r="L105" i="7" s="1"/>
  <c r="K91" i="7"/>
  <c r="J91" i="7"/>
  <c r="L91" i="7" s="1"/>
  <c r="K77" i="7"/>
  <c r="J77" i="7"/>
  <c r="L77" i="7" s="1"/>
  <c r="K70" i="7"/>
  <c r="L70" i="7" s="1"/>
  <c r="J70" i="7"/>
  <c r="L69" i="7"/>
  <c r="L65" i="7"/>
  <c r="K65" i="7"/>
  <c r="J65" i="7"/>
  <c r="B63" i="7"/>
  <c r="L62" i="7"/>
  <c r="K59" i="7"/>
  <c r="J59" i="7"/>
  <c r="L59" i="7" s="1"/>
  <c r="K49" i="7"/>
  <c r="J49" i="7"/>
  <c r="L49" i="7" s="1"/>
  <c r="K43" i="7"/>
  <c r="L43" i="7" s="1"/>
  <c r="J43" i="7"/>
  <c r="K36" i="7"/>
  <c r="J36" i="7"/>
  <c r="L36" i="7" s="1"/>
  <c r="S25" i="7"/>
  <c r="S24" i="7"/>
  <c r="Q24" i="7"/>
  <c r="K24" i="7"/>
  <c r="S23" i="7"/>
  <c r="K23" i="7"/>
  <c r="K128" i="7" s="1"/>
  <c r="S22" i="7"/>
  <c r="K22" i="7"/>
  <c r="K127" i="7" s="1"/>
  <c r="S21" i="7"/>
  <c r="K21" i="7"/>
  <c r="K126" i="7" s="1"/>
  <c r="S20" i="7"/>
  <c r="K20" i="7"/>
  <c r="K25" i="7" s="1"/>
  <c r="K26" i="7" s="1"/>
  <c r="S19" i="7"/>
  <c r="S18" i="7"/>
  <c r="P18" i="7"/>
  <c r="J18" i="7"/>
  <c r="S17" i="7"/>
  <c r="J17" i="7"/>
  <c r="S16" i="7"/>
  <c r="J16" i="7"/>
  <c r="S15" i="7"/>
  <c r="J15" i="7"/>
  <c r="J19" i="7" s="1"/>
  <c r="F9" i="7"/>
  <c r="B100" i="7" s="1"/>
  <c r="K122" i="7" l="1"/>
  <c r="C104" i="7"/>
  <c r="C64" i="7"/>
  <c r="C35" i="7"/>
  <c r="K125" i="7"/>
  <c r="J26" i="7"/>
  <c r="L26" i="7" s="1"/>
  <c r="K129" i="6" l="1"/>
  <c r="K128" i="6"/>
  <c r="K123" i="6"/>
  <c r="K114" i="6"/>
  <c r="J114" i="6"/>
  <c r="L114" i="6" s="1"/>
  <c r="L105" i="6"/>
  <c r="K105" i="6"/>
  <c r="J105" i="6"/>
  <c r="K91" i="6"/>
  <c r="J91" i="6"/>
  <c r="L91" i="6" s="1"/>
  <c r="L77" i="6"/>
  <c r="K77" i="6"/>
  <c r="J77" i="6"/>
  <c r="K70" i="6"/>
  <c r="L70" i="6" s="1"/>
  <c r="J70" i="6"/>
  <c r="L69" i="6"/>
  <c r="K65" i="6"/>
  <c r="J65" i="6"/>
  <c r="L65" i="6" s="1"/>
  <c r="B63" i="6"/>
  <c r="L62" i="6"/>
  <c r="K59" i="6"/>
  <c r="J59" i="6"/>
  <c r="L59" i="6" s="1"/>
  <c r="L49" i="6"/>
  <c r="K49" i="6"/>
  <c r="J49" i="6"/>
  <c r="K43" i="6"/>
  <c r="L43" i="6" s="1"/>
  <c r="J43" i="6"/>
  <c r="L36" i="6"/>
  <c r="K36" i="6"/>
  <c r="J36" i="6"/>
  <c r="S25" i="6"/>
  <c r="Q24" i="6"/>
  <c r="S24" i="6" s="1"/>
  <c r="S23" i="6"/>
  <c r="K23" i="6"/>
  <c r="S22" i="6"/>
  <c r="K22" i="6"/>
  <c r="K127" i="6" s="1"/>
  <c r="S21" i="6"/>
  <c r="K21" i="6"/>
  <c r="K126" i="6" s="1"/>
  <c r="S20" i="6"/>
  <c r="K20" i="6"/>
  <c r="K125" i="6" s="1"/>
  <c r="S19" i="6"/>
  <c r="S18" i="6"/>
  <c r="P18" i="6"/>
  <c r="J18" i="6"/>
  <c r="S17" i="6"/>
  <c r="J17" i="6"/>
  <c r="K124" i="6" s="1"/>
  <c r="S16" i="6"/>
  <c r="J16" i="6"/>
  <c r="S15" i="6"/>
  <c r="J15" i="6"/>
  <c r="K122" i="6" s="1"/>
  <c r="F9" i="6"/>
  <c r="B100" i="6" s="1"/>
  <c r="C64" i="6" l="1"/>
  <c r="C104" i="6"/>
  <c r="K24" i="6"/>
  <c r="C35" i="6"/>
  <c r="J19" i="6" l="1"/>
  <c r="J26" i="6" s="1"/>
  <c r="L26" i="6" s="1"/>
  <c r="K25" i="6"/>
  <c r="K26" i="6"/>
  <c r="K129" i="5" l="1"/>
  <c r="K124" i="5"/>
  <c r="K114" i="5"/>
  <c r="J114" i="5"/>
  <c r="L114" i="5" s="1"/>
  <c r="K105" i="5"/>
  <c r="J105" i="5"/>
  <c r="L105" i="5" s="1"/>
  <c r="K91" i="5"/>
  <c r="J91" i="5"/>
  <c r="L91" i="5" s="1"/>
  <c r="K77" i="5"/>
  <c r="J77" i="5"/>
  <c r="L77" i="5" s="1"/>
  <c r="K70" i="5"/>
  <c r="L70" i="5" s="1"/>
  <c r="J70" i="5"/>
  <c r="L69" i="5"/>
  <c r="K65" i="5"/>
  <c r="J65" i="5"/>
  <c r="L65" i="5" s="1"/>
  <c r="B63" i="5"/>
  <c r="L62" i="5"/>
  <c r="K59" i="5"/>
  <c r="J59" i="5"/>
  <c r="L59" i="5" s="1"/>
  <c r="K49" i="5"/>
  <c r="J49" i="5"/>
  <c r="L49" i="5" s="1"/>
  <c r="K43" i="5"/>
  <c r="L43" i="5" s="1"/>
  <c r="J43" i="5"/>
  <c r="L36" i="5"/>
  <c r="K36" i="5"/>
  <c r="J36" i="5"/>
  <c r="S25" i="5"/>
  <c r="Q24" i="5"/>
  <c r="K24" i="5" s="1"/>
  <c r="S23" i="5"/>
  <c r="K23" i="5"/>
  <c r="K128" i="5" s="1"/>
  <c r="S22" i="5"/>
  <c r="K22" i="5"/>
  <c r="K127" i="5" s="1"/>
  <c r="S21" i="5"/>
  <c r="K21" i="5"/>
  <c r="K126" i="5" s="1"/>
  <c r="S20" i="5"/>
  <c r="K20" i="5"/>
  <c r="S19" i="5"/>
  <c r="S18" i="5"/>
  <c r="P18" i="5"/>
  <c r="J18" i="5" s="1"/>
  <c r="S17" i="5"/>
  <c r="J17" i="5"/>
  <c r="S16" i="5"/>
  <c r="J16" i="5"/>
  <c r="K123" i="5" s="1"/>
  <c r="S15" i="5"/>
  <c r="J15" i="5"/>
  <c r="F9" i="5"/>
  <c r="C64" i="5" s="1"/>
  <c r="K25" i="5" l="1"/>
  <c r="J19" i="5"/>
  <c r="J26" i="5" s="1"/>
  <c r="L26" i="5" s="1"/>
  <c r="B100" i="5"/>
  <c r="K122" i="5"/>
  <c r="C104" i="5"/>
  <c r="K26" i="5"/>
  <c r="C35" i="5"/>
  <c r="K125" i="5"/>
  <c r="S24" i="5"/>
  <c r="N19" i="4" l="1"/>
  <c r="J19" i="4"/>
  <c r="H19" i="4"/>
  <c r="F19" i="4"/>
  <c r="L18" i="4"/>
  <c r="L19" i="4" s="1"/>
  <c r="N15" i="4"/>
  <c r="J15" i="4"/>
  <c r="H15" i="4"/>
  <c r="F15" i="4"/>
  <c r="L14" i="4"/>
  <c r="L15" i="4" s="1"/>
  <c r="N11" i="4"/>
  <c r="L11" i="4"/>
  <c r="J11" i="4"/>
  <c r="H11" i="4"/>
  <c r="F11" i="4"/>
  <c r="L10" i="4"/>
  <c r="P10" i="4" s="1"/>
  <c r="P11" i="4" s="1"/>
  <c r="J5" i="4"/>
  <c r="J4" i="4"/>
  <c r="F7" i="4" s="1"/>
  <c r="L7" i="4" l="1"/>
  <c r="P18" i="4"/>
  <c r="P19" i="4" s="1"/>
  <c r="P14" i="4"/>
  <c r="P15" i="4" s="1"/>
  <c r="D89" i="3"/>
  <c r="D86" i="3"/>
  <c r="D83" i="3"/>
  <c r="D78" i="3"/>
  <c r="D74" i="3"/>
  <c r="B72" i="3"/>
  <c r="B71" i="3"/>
  <c r="B70" i="3"/>
  <c r="A75" i="3" s="1"/>
  <c r="D61" i="3"/>
  <c r="D58" i="3"/>
  <c r="D55" i="3"/>
  <c r="D52" i="3"/>
  <c r="D47" i="3"/>
  <c r="D43" i="3"/>
  <c r="B41" i="3"/>
  <c r="B40" i="3"/>
  <c r="B39" i="3"/>
  <c r="A44" i="3" s="1"/>
  <c r="D30" i="3"/>
  <c r="D27" i="3"/>
  <c r="D24" i="3"/>
  <c r="D21" i="3"/>
  <c r="D16" i="3"/>
  <c r="A13" i="3"/>
  <c r="D32" i="3" s="1"/>
  <c r="D1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D92" i="3"/>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N91" i="1" l="1"/>
  <c r="N90" i="1"/>
  <c r="N89" i="1"/>
  <c r="N88" i="1"/>
  <c r="L88" i="1"/>
  <c r="N80" i="1"/>
  <c r="D80" i="1"/>
  <c r="J80" i="1" s="1"/>
  <c r="P80" i="1" s="1"/>
  <c r="N79" i="1"/>
  <c r="N78" i="1"/>
  <c r="N77" i="1"/>
  <c r="L77" i="1"/>
  <c r="D77" i="1"/>
  <c r="J77" i="1" s="1"/>
  <c r="P77" i="1" s="1"/>
  <c r="D69" i="1"/>
  <c r="J69" i="1" s="1"/>
  <c r="P69" i="1" s="1"/>
  <c r="H68" i="1"/>
  <c r="J68" i="1" s="1"/>
  <c r="P68" i="1" s="1"/>
  <c r="D68" i="1"/>
  <c r="D67" i="1"/>
  <c r="P66" i="1"/>
  <c r="L66" i="1"/>
  <c r="J66" i="1"/>
  <c r="D66" i="1"/>
  <c r="N57" i="1"/>
  <c r="B57" i="1"/>
  <c r="P57" i="1" s="1"/>
  <c r="D59" i="1" s="1"/>
  <c r="N56" i="1"/>
  <c r="P49" i="1"/>
  <c r="D51" i="1" s="1"/>
  <c r="N49" i="1"/>
  <c r="B49" i="1"/>
  <c r="N48" i="1"/>
  <c r="P42" i="1"/>
  <c r="D44" i="1" s="1"/>
  <c r="N41" i="1"/>
  <c r="N33" i="1"/>
  <c r="J33" i="1"/>
  <c r="H89" i="1" s="1"/>
  <c r="H33" i="1"/>
  <c r="H90" i="1" s="1"/>
  <c r="F33" i="1"/>
  <c r="D90" i="1" s="1"/>
  <c r="D33" i="1"/>
  <c r="D89" i="1" s="1"/>
  <c r="J89" i="1" s="1"/>
  <c r="P89" i="1" s="1"/>
  <c r="B33" i="1"/>
  <c r="L33" i="1" s="1"/>
  <c r="P33" i="1" s="1"/>
  <c r="D35" i="1" s="1"/>
  <c r="N24" i="1"/>
  <c r="J24" i="1"/>
  <c r="H78" i="1" s="1"/>
  <c r="H24" i="1"/>
  <c r="H79" i="1" s="1"/>
  <c r="F24" i="1"/>
  <c r="D79" i="1" s="1"/>
  <c r="D24" i="1"/>
  <c r="D78" i="1" s="1"/>
  <c r="B24" i="1"/>
  <c r="J16" i="1"/>
  <c r="H67" i="1" s="1"/>
  <c r="H16" i="1"/>
  <c r="J90" i="1" l="1"/>
  <c r="P90" i="1" s="1"/>
  <c r="J67" i="1"/>
  <c r="P67" i="1" s="1"/>
  <c r="D71" i="1" s="1"/>
  <c r="J79" i="1"/>
  <c r="P79" i="1" s="1"/>
  <c r="J78" i="1"/>
  <c r="P78" i="1" s="1"/>
  <c r="D91" i="1"/>
  <c r="J91" i="1" s="1"/>
  <c r="P91" i="1" s="1"/>
  <c r="L16" i="1"/>
  <c r="P16" i="1" s="1"/>
  <c r="D18" i="1" s="1"/>
  <c r="D88" i="1"/>
  <c r="J88" i="1" s="1"/>
  <c r="P88" i="1" s="1"/>
  <c r="D93" i="1" s="1"/>
  <c r="L24" i="1"/>
  <c r="P24" i="1" s="1"/>
  <c r="D26" i="1" s="1"/>
</calcChain>
</file>

<file path=xl/sharedStrings.xml><?xml version="1.0" encoding="utf-8"?>
<sst xmlns="http://schemas.openxmlformats.org/spreadsheetml/2006/main" count="2380" uniqueCount="183">
  <si>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</si>
  <si>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</si>
  <si>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</si>
  <si>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</si>
  <si>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</si>
  <si>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</si>
  <si>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</si>
  <si>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</si>
  <si>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</si>
  <si>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</si>
  <si>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Additions</t>
  </si>
  <si>
    <t>Deductions</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</si>
  <si>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</si>
  <si>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</si>
  <si>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</si>
  <si>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</si>
  <si>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</si>
  <si>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</si>
  <si>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</si>
  <si>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</si>
  <si>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</si>
  <si>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</si>
  <si>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</si>
  <si>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</si>
  <si>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</si>
  <si>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</si>
  <si>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</si>
  <si>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</si>
  <si>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</si>
  <si>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</si>
  <si>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</si>
  <si>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t>Schedule of Changes in Lease Liabilities</t>
  </si>
  <si>
    <t>Due Within One Year</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</si>
  <si>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</si>
  <si>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Version 2</t>
  </si>
  <si>
    <t>Published on SCO website in March 2024 for use for reporting periods 2022-2023 and afterwards.</t>
  </si>
  <si>
    <t>Version 3</t>
  </si>
  <si>
    <t>Published on SCO website in October 2024 for use for reporting periods 2023-2024 and afterwards.</t>
  </si>
  <si>
    <t>The GASB 87 Annual Reporting Submission Workbook is required to be updated and submitted every year. See below for the summary of changes between versions.</t>
  </si>
  <si>
    <t>Summary of Changes</t>
  </si>
  <si>
    <t>Sheet</t>
  </si>
  <si>
    <t>Feature</t>
  </si>
  <si>
    <t>Location V2</t>
  </si>
  <si>
    <t>Location V3</t>
  </si>
  <si>
    <t>Description</t>
  </si>
  <si>
    <t>Required Action</t>
  </si>
  <si>
    <t>LS-Fund #### Journal Entries</t>
  </si>
  <si>
    <t>"Difference" Guidance</t>
  </si>
  <si>
    <t>N/A</t>
  </si>
  <si>
    <t>T15-T25</t>
  </si>
  <si>
    <t>Wording was added in column T to describe what type of action needs to be taken for the "Differences" in Entry #0.</t>
  </si>
  <si>
    <t>Clarification only. Follow the guidance in column T.</t>
  </si>
  <si>
    <t>Highlighted Errors</t>
  </si>
  <si>
    <t>Multiple</t>
  </si>
  <si>
    <t>Errors such as "Debits and Credits do not equal each other" and "Accts 0848 must agree" will populate in bold and be highlighted to assist with the identification of errors.</t>
  </si>
  <si>
    <t>Clarification only. Resolve all errors before submitting.</t>
  </si>
  <si>
    <t>LS-Department Note Disclosure</t>
  </si>
  <si>
    <t>Reminder - No Decimals.</t>
  </si>
  <si>
    <t>A11, A42, A73</t>
  </si>
  <si>
    <t>Added additional wording to remind users not to enter decimals into the payment and interest table.</t>
  </si>
  <si>
    <t>Clarification only. Do not enter decimals.</t>
  </si>
  <si>
    <t>Question 4</t>
  </si>
  <si>
    <t>D29, D60, D91</t>
  </si>
  <si>
    <t>Removed dropdown menu to allow amounts to be entered in the cells in response to Question 4.</t>
  </si>
  <si>
    <t xml:space="preserve">Clarification only. </t>
  </si>
  <si>
    <t>LS-Lease Liabilities</t>
  </si>
  <si>
    <t>Reminder - Acct 0691 Only</t>
  </si>
  <si>
    <t>B22</t>
  </si>
  <si>
    <t>Added additional wording to remind users that the Schedule of Changes in Lease Liabilities is for Account 0691 only, and therefore will differ from the Report 18.</t>
  </si>
  <si>
    <t>Clarification only.</t>
  </si>
  <si>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</si>
  <si>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</si>
  <si>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</si>
  <si>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</si>
  <si>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</si>
  <si>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</si>
  <si>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</si>
  <si>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</si>
  <si>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</si>
  <si>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</si>
  <si>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2023–2024</t>
  </si>
  <si>
    <t>Organization Code:</t>
  </si>
  <si>
    <t>Organization Name:</t>
  </si>
  <si>
    <t>Department of Consumer Affairs</t>
  </si>
  <si>
    <r>
      <t xml:space="preserve">The below information must be entered manually.
</t>
    </r>
    <r>
      <rPr>
        <b/>
        <i/>
        <sz val="12"/>
        <color rgb="FFFF0000"/>
        <rFont val="Arial"/>
        <family val="2"/>
      </rPr>
      <t>DO NOT ENTER DECIMALS. PLEASE ROUND TO THE NEAREST DOLLAR.</t>
    </r>
  </si>
  <si>
    <t>Principal Payments</t>
  </si>
  <si>
    <t>Interest Payments</t>
  </si>
  <si>
    <t>1. Did your leasing arrangements have any variable payments which ARE NOT included in the measurement of the lease liability?</t>
  </si>
  <si>
    <t>No</t>
  </si>
  <si>
    <t>2. Do your leasing arrangements have any residual value guarantees provided by YOU which ARE NOT included in the measurement of the lease liability?</t>
  </si>
  <si>
    <t>II. Proprietary - INTERNAL SERVICE FUNDS</t>
  </si>
  <si>
    <t>III. Proprietary - ENTERPRISE FUNDS</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</si>
  <si>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</si>
  <si>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</si>
  <si>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</si>
  <si>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</si>
  <si>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</si>
  <si>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</si>
  <si>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</si>
  <si>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</si>
  <si>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</si>
  <si>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</si>
  <si>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</si>
  <si>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</si>
  <si>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THIS SCHEDULE IS FOR THE CHANGE IN LEASE LIABILITY (ACCOUNT 0691) ONLY. THESE AMOUNTS WILL DIFFER FROM THE REPORT 18 (ASSETS).</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</si>
  <si>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</si>
  <si>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</si>
  <si>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Organization Code (4-Digits):</t>
  </si>
  <si>
    <t>1111</t>
  </si>
  <si>
    <t>Fund Number (4-Digits):</t>
  </si>
  <si>
    <t>Fund Classification:</t>
  </si>
  <si>
    <t>Governmental</t>
  </si>
  <si>
    <t>Fund Type:</t>
  </si>
  <si>
    <t>Governmental Fund</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</si>
  <si>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</si>
  <si>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</si>
  <si>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</si>
  <si>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</si>
  <si>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</si>
  <si>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</si>
  <si>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</si>
  <si>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</si>
  <si>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</si>
  <si>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Report any "Differences" on the Report 18 Differential.</t>
  </si>
  <si>
    <t>Dr: Acct 0478 - RIGHT-TO-USE LEASED EQUIPMENT - AMORTIZABLE</t>
  </si>
  <si>
    <t>Dr: Acct 0477 - RIGHT-TO-USE LEASED BUILDINGS - AMORTIZABLE</t>
  </si>
  <si>
    <t>Dr: Acct 0950 - BEGINNING FUND BALANCE</t>
  </si>
  <si>
    <t>No action required.</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</si>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</sst>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0000"/>
    <numFmt numFmtId="166" formatCode="_(&quot;$&quot;* #,##0_);_(&quot;$&quot;* \(#,##0\);_(&quot;$&quot;* &quot;-&quot;??_);_(@_)"/>
  </numFmts>
  <fonts count="49"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1"/>
      <color theme="1"/>
      <name val="Arial"/>
      <family val="2"/>
    </font>
    <font>
      <u/>
      <sz val="11"/>
      <color theme="1"/>
      <name val="Arial"/>
      <family val="2"/>
    </font>
    <font>
      <b/>
      <sz val="11"/>
      <color theme="1"/>
      <name val="arial"/>
      <family val="2"/>
    </font>
    <font>
      <b/>
      <sz val="11"/>
      <color rgb="FFFF0000"/>
      <name val="arial"/>
      <family val="2"/>
    </font>
    <font>
      <b/>
      <sz val="11"/>
      <name val="arial"/>
      <family val="2"/>
    </font>
    <font>
      <b/>
      <sz val="16"/>
      <name val="Arial"/>
      <family val="2"/>
    </font>
    <font>
      <b/>
      <sz val="12"/>
      <name val="Arial"/>
      <family val="2"/>
    </font>
    <font>
      <sz val="12"/>
      <color theme="1"/>
      <name val="arial"/>
      <family val="2"/>
    </font>
    <font>
      <sz val="16"/>
      <color rgb="FFFF0000"/>
      <name val="Arial"/>
      <family val="2"/>
    </font>
    <font>
      <sz val="12"/>
      <name val="Arial"/>
      <family val="2"/>
    </font>
    <font>
      <sz val="12"/>
      <color rgb="FFFF0000"/>
      <name val="arial"/>
      <family val="2"/>
    </font>
    <font>
      <b/>
      <sz val="16"/>
      <color theme="8" tint="-0.249977111117893"/>
      <name val="Arial"/>
      <family val="2"/>
    </font>
    <font>
      <b/>
      <i/>
      <sz val="12"/>
      <color theme="1"/>
      <name val="Arial"/>
      <family val="2"/>
    </font>
    <font>
      <b/>
      <i/>
      <sz val="12"/>
      <color rgb="FFFF0000"/>
      <name val="Arial"/>
      <family val="2"/>
    </font>
    <font>
      <b/>
      <sz val="12"/>
      <color theme="1"/>
      <name val="arial"/>
      <family val="2"/>
    </font>
    <font>
      <sz val="14"/>
      <color theme="1"/>
      <name val="Arial Narrow"/>
      <family val="2"/>
    </font>
    <font>
      <b/>
      <sz val="16"/>
      <color theme="1"/>
      <name val="Arial Narrow"/>
      <family val="2"/>
    </font>
    <font>
      <b/>
      <sz val="14"/>
      <color theme="1"/>
      <name val="Arial Narrow"/>
      <family val="2"/>
    </font>
    <font>
      <b/>
      <i/>
      <sz val="14"/>
      <color theme="1"/>
      <name val="Arial Narrow"/>
      <family val="2"/>
    </font>
    <font>
      <b/>
      <sz val="14"/>
      <color rgb="FFFF0000"/>
      <name val="Arial Narrow"/>
      <family val="2"/>
    </font>
    <font>
      <sz val="16"/>
      <name val="Arial"/>
      <family val="2"/>
    </font>
    <font>
      <sz val="10"/>
      <color rgb="FFFF0000"/>
      <name val="arial"/>
      <family val="2"/>
    </font>
    <font>
      <b/>
      <sz val="14"/>
      <color rgb="FF00B050"/>
      <name val="Arial"/>
      <family val="2"/>
    </font>
    <font>
      <b/>
      <sz val="16"/>
      <color rgb="FFFF0000"/>
      <name val="Arial"/>
      <family val="2"/>
    </font>
    <font>
      <sz val="16"/>
      <color theme="8" tint="-0.249977111117893"/>
      <name val="Arial"/>
      <family val="2"/>
    </font>
    <font>
      <sz val="16"/>
      <color theme="1"/>
      <name val="Arial"/>
      <family val="2"/>
    </font>
    <font>
      <sz val="14"/>
      <color rgb="FFFF0000"/>
      <name val="Arial"/>
      <family val="2"/>
    </font>
    <font>
      <i/>
      <sz val="14"/>
      <color rgb="FFFF0000"/>
      <name val="Arial"/>
      <family val="2"/>
    </font>
    <font>
      <b/>
      <sz val="14"/>
      <color rgb="FFFF0000"/>
      <name val="Arial"/>
      <family val="2"/>
    </font>
    <font>
      <b/>
      <sz val="12"/>
      <color rgb="FF00B050"/>
      <name val="Arial"/>
      <family val="2"/>
    </font>
    <font>
      <i/>
      <sz val="12"/>
      <color rgb="FFFF0000"/>
      <name val="Arial"/>
      <family val="2"/>
    </font>
    <font>
      <i/>
      <sz val="12"/>
      <color theme="1"/>
      <name val="Arial"/>
      <family val="2"/>
    </font>
    <font>
      <i/>
      <sz val="12"/>
      <name val="Arial"/>
      <family val="2"/>
    </font>
    <font>
      <b/>
      <sz val="12"/>
      <color theme="8" tint="-0.249977111117893"/>
      <name val="Arial"/>
      <family val="2"/>
    </font>
    <font>
      <b/>
      <sz val="12"/>
      <color rgb="FFFF0000"/>
      <name val="Arial"/>
      <family val="2"/>
    </font>
    <font>
      <b/>
      <sz val="14"/>
      <name val="Arial"/>
      <family val="2"/>
    </font>
    <font>
      <sz val="12"/>
      <color theme="8" tint="-0.249977111117893"/>
      <name val="Arial"/>
      <family val="2"/>
    </font>
  </fonts>
  <fills count="8">
    <fill>
      <patternFill patternType="none"/>
    </fill>
    <fill>
      <patternFill patternType="gray125"/>
    </fill>
    <fill>
      <patternFill patternType="solid">
        <fgColor theme="0" tint="-0.249977111117893"/>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1" fillId="0" borderId="0"/>
    <xf numFmtId="44" fontId="1" fillId="0" borderId="0" applyFont="0" applyFill="0" applyBorder="0" applyAlignment="0" applyProtection="0"/>
  </cellStyleXfs>
  <cellXfs count="213">
    <xf numFmtId="0" fontId="0" fillId="0" borderId="0" xfId="0"/>
    <xf numFmtId="0" fontId="3" fillId="2" borderId="0" xfId="2" applyFont="1" applyFill="1"/>
    <xf numFmtId="0" fontId="4" fillId="2" borderId="0" xfId="2" applyFont="1" applyFill="1"/>
    <xf numFmtId="0" fontId="4" fillId="2" borderId="0" xfId="2" applyFont="1" applyFill="1" applyAlignment="1">
      <alignment horizontal="center"/>
    </xf>
    <xf numFmtId="0" fontId="4" fillId="2" borderId="0" xfId="2" applyFont="1" applyFill="1" applyAlignment="1">
      <alignment wrapText="1"/>
    </xf>
    <xf numFmtId="0" fontId="4" fillId="2" borderId="0" xfId="2" applyFont="1" applyFill="1" applyAlignment="1">
      <alignment horizontal="center" wrapText="1"/>
    </xf>
    <xf numFmtId="0" fontId="4" fillId="0" borderId="0" xfId="2" applyFont="1"/>
    <xf numFmtId="0" fontId="4" fillId="0" borderId="0" xfId="2" applyFont="1" applyAlignment="1">
      <alignment horizontal="center"/>
    </xf>
    <xf numFmtId="0" fontId="2" fillId="3" borderId="0" xfId="2" applyFont="1" applyFill="1"/>
    <xf numFmtId="0" fontId="1" fillId="3" borderId="0" xfId="2" applyFill="1"/>
    <xf numFmtId="0" fontId="1" fillId="3" borderId="0" xfId="2" applyFill="1" applyAlignment="1">
      <alignment horizontal="center"/>
    </xf>
    <xf numFmtId="0" fontId="1" fillId="0" borderId="0" xfId="2"/>
    <xf numFmtId="0" fontId="5" fillId="0" borderId="0" xfId="2" applyFont="1" applyAlignment="1">
      <alignment horizontal="left" vertical="top" wrapText="1"/>
    </xf>
    <xf numFmtId="0" fontId="7" fillId="0" borderId="0" xfId="2" applyFont="1" applyAlignment="1">
      <alignment vertical="top"/>
    </xf>
    <xf numFmtId="0" fontId="5" fillId="0" borderId="0" xfId="2" applyFont="1" applyAlignment="1">
      <alignment horizontal="center" vertical="top" wrapText="1"/>
    </xf>
    <xf numFmtId="0" fontId="7" fillId="0" borderId="1" xfId="2" applyFont="1" applyBorder="1" applyAlignment="1">
      <alignment horizontal="center" vertical="top" wrapText="1"/>
    </xf>
    <xf numFmtId="0" fontId="7" fillId="0" borderId="0" xfId="2" applyFont="1" applyAlignment="1">
      <alignment vertical="top" wrapText="1"/>
    </xf>
    <xf numFmtId="0" fontId="7" fillId="0" borderId="0" xfId="2" applyFont="1" applyAlignment="1">
      <alignment horizontal="center" vertical="top"/>
    </xf>
    <xf numFmtId="0" fontId="7" fillId="0" borderId="0" xfId="2" applyFont="1" applyAlignment="1">
      <alignment horizontal="center" vertical="top" wrapText="1"/>
    </xf>
    <xf numFmtId="0" fontId="8" fillId="0" borderId="0" xfId="2" applyFont="1" applyAlignment="1">
      <alignment horizontal="center" vertical="top" wrapText="1"/>
    </xf>
    <xf numFmtId="0" fontId="8" fillId="0" borderId="0" xfId="2" quotePrefix="1" applyFont="1" applyAlignment="1">
      <alignment horizontal="center" vertical="top" wrapText="1"/>
    </xf>
    <xf numFmtId="0" fontId="9" fillId="0" borderId="0" xfId="2" applyFont="1" applyAlignment="1">
      <alignment horizontal="center" vertical="top" wrapText="1"/>
    </xf>
    <xf numFmtId="0" fontId="5" fillId="0" borderId="0" xfId="2" applyFont="1" applyAlignment="1">
      <alignment vertical="top"/>
    </xf>
    <xf numFmtId="164" fontId="5" fillId="4" borderId="2" xfId="1" applyNumberFormat="1" applyFont="1" applyFill="1" applyBorder="1" applyAlignment="1" applyProtection="1">
      <alignment vertical="top"/>
      <protection locked="0"/>
    </xf>
    <xf numFmtId="164" fontId="5" fillId="0" borderId="0" xfId="1" applyNumberFormat="1" applyFont="1" applyAlignment="1" applyProtection="1">
      <alignment horizontal="center" vertical="top"/>
    </xf>
    <xf numFmtId="164" fontId="5" fillId="0" borderId="0" xfId="1" quotePrefix="1" applyNumberFormat="1" applyFont="1" applyAlignment="1" applyProtection="1">
      <alignment horizontal="center" vertical="top"/>
    </xf>
    <xf numFmtId="164" fontId="5" fillId="0" borderId="0" xfId="1" quotePrefix="1" applyNumberFormat="1" applyFont="1" applyFill="1" applyBorder="1" applyAlignment="1" applyProtection="1">
      <alignment horizontal="center" vertical="top"/>
      <protection locked="0"/>
    </xf>
    <xf numFmtId="164" fontId="5" fillId="0" borderId="2" xfId="1" applyNumberFormat="1" applyFont="1" applyBorder="1" applyAlignment="1" applyProtection="1">
      <alignment vertical="top"/>
    </xf>
    <xf numFmtId="164" fontId="5" fillId="0" borderId="0" xfId="1" quotePrefix="1" applyNumberFormat="1" applyFont="1" applyAlignment="1" applyProtection="1">
      <alignment vertical="top"/>
    </xf>
    <xf numFmtId="164" fontId="5" fillId="0" borderId="2" xfId="1" applyNumberFormat="1" applyFont="1" applyFill="1" applyBorder="1" applyAlignment="1" applyProtection="1">
      <alignment vertical="top"/>
    </xf>
    <xf numFmtId="164" fontId="5" fillId="0" borderId="0" xfId="1" applyNumberFormat="1" applyFont="1" applyAlignment="1" applyProtection="1">
      <alignment vertical="top"/>
    </xf>
    <xf numFmtId="164" fontId="10" fillId="0" borderId="2" xfId="1" applyNumberFormat="1" applyFont="1" applyBorder="1" applyAlignment="1" applyProtection="1">
      <alignment vertical="top"/>
    </xf>
    <xf numFmtId="0" fontId="5" fillId="0" borderId="0" xfId="2" applyFont="1" applyAlignment="1">
      <alignment horizontal="center" vertical="top"/>
    </xf>
    <xf numFmtId="0" fontId="11" fillId="0" borderId="0" xfId="2" applyFont="1" applyAlignment="1">
      <alignment vertical="top"/>
    </xf>
    <xf numFmtId="0" fontId="5" fillId="0" borderId="0" xfId="2" applyFont="1" applyAlignment="1">
      <alignment vertical="top" wrapText="1"/>
    </xf>
    <xf numFmtId="0" fontId="7" fillId="0" borderId="0" xfId="2" applyFont="1" applyAlignment="1">
      <alignment horizontal="left" vertical="top"/>
    </xf>
    <xf numFmtId="164" fontId="5" fillId="0" borderId="0" xfId="1" applyNumberFormat="1" applyFont="1" applyFill="1" applyBorder="1" applyAlignment="1" applyProtection="1">
      <alignment vertical="top"/>
      <protection locked="0"/>
    </xf>
    <xf numFmtId="43" fontId="5" fillId="0" borderId="0" xfId="1" quotePrefix="1" applyFont="1" applyAlignment="1" applyProtection="1">
      <alignment vertical="top"/>
    </xf>
    <xf numFmtId="43" fontId="5" fillId="0" borderId="0" xfId="1" applyFont="1" applyAlignment="1" applyProtection="1">
      <alignment vertical="top"/>
    </xf>
    <xf numFmtId="0" fontId="7" fillId="0" borderId="0" xfId="2" applyFont="1" applyAlignment="1">
      <alignment horizontal="left" vertical="top" wrapText="1"/>
    </xf>
    <xf numFmtId="0" fontId="1" fillId="0" borderId="0" xfId="2" applyAlignment="1">
      <alignment horizontal="center"/>
    </xf>
    <xf numFmtId="164" fontId="1" fillId="0" borderId="2" xfId="1" applyNumberFormat="1" applyBorder="1" applyProtection="1"/>
    <xf numFmtId="0" fontId="9" fillId="0" borderId="0" xfId="2" applyFont="1"/>
    <xf numFmtId="0" fontId="8" fillId="0" borderId="0" xfId="2" applyFont="1" applyAlignment="1">
      <alignment horizontal="right" vertical="top" wrapText="1"/>
    </xf>
    <xf numFmtId="0" fontId="10" fillId="0" borderId="0" xfId="2" applyFont="1" applyAlignment="1">
      <alignment vertical="top"/>
    </xf>
    <xf numFmtId="0" fontId="2" fillId="0" borderId="0" xfId="2" applyFont="1"/>
    <xf numFmtId="0" fontId="12" fillId="0" borderId="0" xfId="0" applyFont="1" applyAlignment="1">
      <alignment vertical="top" wrapText="1"/>
    </xf>
    <xf numFmtId="0" fontId="14" fillId="0" borderId="0" xfId="0" applyFont="1" applyAlignment="1">
      <alignment vertical="top" wrapText="1"/>
    </xf>
    <xf numFmtId="0" fontId="12" fillId="0" borderId="0" xfId="0" applyFont="1" applyAlignment="1">
      <alignment vertical="top"/>
    </xf>
    <xf numFmtId="0" fontId="15" fillId="0" borderId="0" xfId="0" applyFont="1" applyAlignment="1">
      <alignment vertical="top"/>
    </xf>
    <xf numFmtId="0" fontId="14" fillId="0" borderId="0" xfId="0" applyFont="1" applyAlignment="1">
      <alignment horizontal="right" vertical="top" wrapText="1"/>
    </xf>
    <xf numFmtId="0" fontId="16" fillId="0" borderId="0" xfId="0" applyFont="1" applyAlignment="1">
      <alignment horizontal="left" vertical="top"/>
    </xf>
    <xf numFmtId="0" fontId="14" fillId="5" borderId="1" xfId="0" applyFont="1" applyFill="1" applyBorder="1" applyAlignment="1">
      <alignment vertical="top" wrapText="1"/>
    </xf>
    <xf numFmtId="0" fontId="18" fillId="0" borderId="0" xfId="0" applyFont="1" applyAlignment="1">
      <alignment horizontal="center"/>
    </xf>
    <xf numFmtId="0" fontId="19" fillId="0" borderId="0" xfId="0" applyFont="1"/>
    <xf numFmtId="0" fontId="22" fillId="0" borderId="0" xfId="0" applyFont="1" applyAlignment="1">
      <alignment horizontal="left" vertical="top" wrapText="1"/>
    </xf>
    <xf numFmtId="0" fontId="23" fillId="0" borderId="0" xfId="0" applyFont="1" applyAlignment="1">
      <alignment horizontal="left"/>
    </xf>
    <xf numFmtId="0" fontId="18" fillId="0" borderId="0" xfId="0" applyFont="1" applyAlignment="1">
      <alignment horizontal="left"/>
    </xf>
    <xf numFmtId="0" fontId="21" fillId="0" borderId="0" xfId="0" applyFont="1" applyAlignment="1">
      <alignment horizontal="left"/>
    </xf>
    <xf numFmtId="0" fontId="26" fillId="0" borderId="0" xfId="0" applyFont="1" applyAlignment="1">
      <alignment horizontal="left"/>
    </xf>
    <xf numFmtId="0" fontId="19" fillId="6" borderId="2" xfId="0" applyFont="1" applyFill="1" applyBorder="1"/>
    <xf numFmtId="0" fontId="26" fillId="6" borderId="2" xfId="0" applyFont="1" applyFill="1" applyBorder="1" applyAlignment="1">
      <alignment horizontal="center"/>
    </xf>
    <xf numFmtId="164" fontId="22" fillId="4" borderId="2" xfId="1" applyNumberFormat="1" applyFont="1" applyFill="1" applyBorder="1" applyProtection="1">
      <protection locked="0"/>
    </xf>
    <xf numFmtId="0" fontId="26" fillId="0" borderId="0" xfId="0" applyFont="1" applyAlignment="1">
      <alignment horizontal="left" vertical="top"/>
    </xf>
    <xf numFmtId="0" fontId="19" fillId="0" borderId="0" xfId="0" applyFont="1" applyAlignment="1">
      <alignment horizontal="left" vertical="top" wrapText="1"/>
    </xf>
    <xf numFmtId="0" fontId="19" fillId="0" borderId="0" xfId="0" applyFont="1" applyAlignment="1">
      <alignment horizontal="left" vertical="top"/>
    </xf>
    <xf numFmtId="0" fontId="26" fillId="0" borderId="0" xfId="0" applyFont="1" applyAlignment="1">
      <alignment horizontal="left" vertical="top" wrapText="1"/>
    </xf>
    <xf numFmtId="0" fontId="19" fillId="0" borderId="8" xfId="0" applyFont="1" applyBorder="1" applyAlignment="1">
      <alignment vertical="top"/>
    </xf>
    <xf numFmtId="0" fontId="19" fillId="0" borderId="0" xfId="0" applyFont="1" applyAlignment="1">
      <alignment vertical="top" wrapText="1"/>
    </xf>
    <xf numFmtId="0" fontId="22" fillId="0" borderId="0" xfId="0" applyFont="1" applyAlignment="1">
      <alignment horizontal="left"/>
    </xf>
    <xf numFmtId="166" fontId="22" fillId="0" borderId="0" xfId="3" applyNumberFormat="1" applyFont="1" applyFill="1" applyBorder="1" applyProtection="1"/>
    <xf numFmtId="0" fontId="27" fillId="7" borderId="0" xfId="0" applyFont="1" applyFill="1"/>
    <xf numFmtId="38" fontId="27" fillId="7" borderId="0" xfId="0" applyNumberFormat="1" applyFont="1" applyFill="1"/>
    <xf numFmtId="0" fontId="27" fillId="7" borderId="9" xfId="0" applyFont="1" applyFill="1" applyBorder="1"/>
    <xf numFmtId="0" fontId="27" fillId="7" borderId="10" xfId="0" applyFont="1" applyFill="1" applyBorder="1"/>
    <xf numFmtId="38" fontId="27" fillId="7" borderId="10" xfId="0" applyNumberFormat="1" applyFont="1" applyFill="1" applyBorder="1"/>
    <xf numFmtId="0" fontId="27" fillId="7" borderId="11" xfId="0" applyFont="1" applyFill="1" applyBorder="1"/>
    <xf numFmtId="0" fontId="27" fillId="7" borderId="12" xfId="0" applyFont="1" applyFill="1" applyBorder="1"/>
    <xf numFmtId="0" fontId="28" fillId="7" borderId="0" xfId="0" applyFont="1" applyFill="1"/>
    <xf numFmtId="0" fontId="28" fillId="7" borderId="0" xfId="0" applyFont="1" applyFill="1" applyAlignment="1">
      <alignment horizontal="center"/>
    </xf>
    <xf numFmtId="0" fontId="27" fillId="7" borderId="13" xfId="0" applyFont="1" applyFill="1" applyBorder="1"/>
    <xf numFmtId="0" fontId="28" fillId="0" borderId="0" xfId="0" applyFont="1" applyAlignment="1" applyProtection="1">
      <alignment horizontal="center"/>
      <protection locked="0"/>
    </xf>
    <xf numFmtId="38" fontId="29" fillId="7" borderId="14" xfId="0" applyNumberFormat="1" applyFont="1" applyFill="1" applyBorder="1" applyAlignment="1">
      <alignment horizontal="center" wrapText="1"/>
    </xf>
    <xf numFmtId="0" fontId="29" fillId="7" borderId="0" xfId="0" applyFont="1" applyFill="1"/>
    <xf numFmtId="38" fontId="29" fillId="7" borderId="14" xfId="0" applyNumberFormat="1" applyFont="1" applyFill="1" applyBorder="1" applyAlignment="1">
      <alignment horizontal="center"/>
    </xf>
    <xf numFmtId="38" fontId="30" fillId="7" borderId="0" xfId="0" applyNumberFormat="1" applyFont="1" applyFill="1" applyAlignment="1">
      <alignment horizontal="center" wrapText="1"/>
    </xf>
    <xf numFmtId="38" fontId="30" fillId="7" borderId="0" xfId="0" applyNumberFormat="1" applyFont="1" applyFill="1" applyAlignment="1">
      <alignment horizontal="center"/>
    </xf>
    <xf numFmtId="38" fontId="29" fillId="7" borderId="0" xfId="0" applyNumberFormat="1" applyFont="1" applyFill="1" applyAlignment="1">
      <alignment horizontal="center" wrapText="1"/>
    </xf>
    <xf numFmtId="166" fontId="27" fillId="4" borderId="0" xfId="3" applyNumberFormat="1" applyFont="1" applyFill="1" applyProtection="1">
      <protection locked="0"/>
    </xf>
    <xf numFmtId="164" fontId="27" fillId="7" borderId="0" xfId="1" applyNumberFormat="1" applyFont="1" applyFill="1"/>
    <xf numFmtId="166" fontId="27" fillId="7" borderId="0" xfId="3" applyNumberFormat="1" applyFont="1" applyFill="1"/>
    <xf numFmtId="166" fontId="27" fillId="7" borderId="15" xfId="3" applyNumberFormat="1" applyFont="1" applyFill="1" applyBorder="1"/>
    <xf numFmtId="164" fontId="27" fillId="7" borderId="0" xfId="1" quotePrefix="1" applyNumberFormat="1" applyFont="1" applyFill="1"/>
    <xf numFmtId="164" fontId="27" fillId="7" borderId="0" xfId="1" applyNumberFormat="1" applyFont="1" applyFill="1" applyBorder="1"/>
    <xf numFmtId="0" fontId="27" fillId="7" borderId="16" xfId="0" applyFont="1" applyFill="1" applyBorder="1"/>
    <xf numFmtId="0" fontId="27" fillId="7" borderId="14" xfId="0" applyFont="1" applyFill="1" applyBorder="1"/>
    <xf numFmtId="38" fontId="27" fillId="7" borderId="14" xfId="0" applyNumberFormat="1" applyFont="1" applyFill="1" applyBorder="1"/>
    <xf numFmtId="0" fontId="27" fillId="7" borderId="17" xfId="0" applyFont="1" applyFill="1" applyBorder="1"/>
    <xf numFmtId="0" fontId="31" fillId="7" borderId="0" xfId="0" applyFont="1" applyFill="1"/>
    <xf numFmtId="0" fontId="18" fillId="0" borderId="0" xfId="0" applyFont="1" applyAlignment="1">
      <alignment vertical="top" wrapText="1"/>
    </xf>
    <xf numFmtId="0" fontId="19" fillId="0" borderId="0" xfId="0" applyFont="1" applyAlignment="1">
      <alignment vertical="top"/>
    </xf>
    <xf numFmtId="0" fontId="22" fillId="0" borderId="0" xfId="0" applyFont="1" applyAlignment="1">
      <alignment vertical="center"/>
    </xf>
    <xf numFmtId="0" fontId="33" fillId="0" borderId="0" xfId="0" applyFont="1" applyAlignment="1">
      <alignment vertical="center"/>
    </xf>
    <xf numFmtId="0" fontId="18" fillId="0" borderId="0" xfId="0" applyFont="1" applyAlignment="1">
      <alignment horizontal="left" vertical="top"/>
    </xf>
    <xf numFmtId="0" fontId="22" fillId="0" borderId="0" xfId="0" applyFont="1" applyAlignment="1">
      <alignment horizontal="left" vertical="top"/>
    </xf>
    <xf numFmtId="0" fontId="22" fillId="0" borderId="0" xfId="0" quotePrefix="1" applyFont="1" applyAlignment="1">
      <alignment horizontal="left" vertical="top"/>
    </xf>
    <xf numFmtId="0" fontId="34" fillId="0" borderId="0" xfId="0" applyFont="1" applyAlignment="1">
      <alignment vertical="center"/>
    </xf>
    <xf numFmtId="166" fontId="22" fillId="0" borderId="0" xfId="3" applyNumberFormat="1" applyFont="1" applyAlignment="1" applyProtection="1">
      <alignment horizontal="left" vertical="top"/>
    </xf>
    <xf numFmtId="0" fontId="35" fillId="6" borderId="0" xfId="0" applyFont="1" applyFill="1" applyAlignment="1">
      <alignment horizontal="left"/>
    </xf>
    <xf numFmtId="166" fontId="35" fillId="6" borderId="0" xfId="0" applyNumberFormat="1" applyFont="1" applyFill="1"/>
    <xf numFmtId="166" fontId="36" fillId="6" borderId="0" xfId="0" applyNumberFormat="1" applyFont="1" applyFill="1"/>
    <xf numFmtId="166" fontId="36" fillId="6" borderId="0" xfId="3" applyNumberFormat="1" applyFont="1" applyFill="1" applyProtection="1"/>
    <xf numFmtId="166" fontId="36" fillId="6" borderId="0" xfId="0" applyNumberFormat="1" applyFont="1" applyFill="1" applyAlignment="1">
      <alignment horizontal="left"/>
    </xf>
    <xf numFmtId="0" fontId="20" fillId="0" borderId="0" xfId="0" applyFont="1" applyAlignment="1">
      <alignment horizontal="left" vertical="top"/>
    </xf>
    <xf numFmtId="0" fontId="37" fillId="0" borderId="0" xfId="0" applyFont="1" applyAlignment="1">
      <alignment vertical="top"/>
    </xf>
    <xf numFmtId="0" fontId="38" fillId="0" borderId="18" xfId="0" applyFont="1" applyBorder="1" applyAlignment="1">
      <alignment horizontal="center" vertical="top" wrapText="1"/>
    </xf>
    <xf numFmtId="0" fontId="39" fillId="0" borderId="0" xfId="0" applyFont="1" applyAlignment="1">
      <alignment horizontal="left"/>
    </xf>
    <xf numFmtId="0" fontId="38" fillId="0" borderId="0" xfId="0" applyFont="1" applyAlignment="1">
      <alignment vertical="top"/>
    </xf>
    <xf numFmtId="166" fontId="40" fillId="0" borderId="0" xfId="0" applyNumberFormat="1" applyFont="1"/>
    <xf numFmtId="166" fontId="40" fillId="0" borderId="0" xfId="3" applyNumberFormat="1" applyFont="1" applyProtection="1"/>
    <xf numFmtId="166" fontId="40" fillId="0" borderId="0" xfId="0" applyNumberFormat="1" applyFont="1" applyAlignment="1">
      <alignment horizontal="left"/>
    </xf>
    <xf numFmtId="44" fontId="40" fillId="0" borderId="0" xfId="3" applyFont="1" applyProtection="1"/>
    <xf numFmtId="0" fontId="22" fillId="0" borderId="18" xfId="0" applyFont="1" applyBorder="1" applyAlignment="1">
      <alignment horizontal="center" vertical="top" wrapText="1"/>
    </xf>
    <xf numFmtId="166" fontId="39" fillId="0" borderId="0" xfId="0" applyNumberFormat="1" applyFont="1" applyAlignment="1">
      <alignment horizontal="left"/>
    </xf>
    <xf numFmtId="166" fontId="41" fillId="0" borderId="0" xfId="0" applyNumberFormat="1" applyFont="1"/>
    <xf numFmtId="166" fontId="41" fillId="0" borderId="0" xfId="3" applyNumberFormat="1" applyFont="1" applyProtection="1"/>
    <xf numFmtId="166" fontId="41" fillId="0" borderId="0" xfId="0" applyNumberFormat="1" applyFont="1" applyAlignment="1">
      <alignment horizontal="left"/>
    </xf>
    <xf numFmtId="0" fontId="38" fillId="0" borderId="2" xfId="0" applyFont="1" applyBorder="1" applyAlignment="1">
      <alignment horizontal="center" vertical="top"/>
    </xf>
    <xf numFmtId="0" fontId="42" fillId="0" borderId="0" xfId="0" applyFont="1" applyAlignment="1">
      <alignment horizontal="right" vertical="top"/>
    </xf>
    <xf numFmtId="166" fontId="21" fillId="0" borderId="0" xfId="0" applyNumberFormat="1" applyFont="1"/>
    <xf numFmtId="166" fontId="18" fillId="0" borderId="0" xfId="0" applyNumberFormat="1" applyFont="1"/>
    <xf numFmtId="166" fontId="18" fillId="0" borderId="0" xfId="3" applyNumberFormat="1" applyFont="1" applyProtection="1"/>
    <xf numFmtId="166" fontId="18" fillId="0" borderId="0" xfId="0" applyNumberFormat="1" applyFont="1" applyAlignment="1">
      <alignment horizontal="left"/>
    </xf>
    <xf numFmtId="164" fontId="21" fillId="6" borderId="0" xfId="1" applyNumberFormat="1" applyFont="1" applyFill="1" applyProtection="1"/>
    <xf numFmtId="164" fontId="21" fillId="4" borderId="0" xfId="1" applyNumberFormat="1" applyFont="1" applyFill="1" applyProtection="1">
      <protection locked="0"/>
    </xf>
    <xf numFmtId="164" fontId="19" fillId="0" borderId="0" xfId="1" applyNumberFormat="1" applyFont="1" applyFill="1" applyAlignment="1">
      <alignment vertical="top"/>
    </xf>
    <xf numFmtId="164" fontId="19" fillId="0" borderId="0" xfId="0" applyNumberFormat="1" applyFont="1" applyAlignment="1">
      <alignment vertical="top"/>
    </xf>
    <xf numFmtId="0" fontId="42" fillId="0" borderId="0" xfId="0" applyFont="1" applyAlignment="1">
      <alignment vertical="top"/>
    </xf>
    <xf numFmtId="0" fontId="22" fillId="0" borderId="0" xfId="0" applyFont="1" applyAlignment="1">
      <alignment vertical="top" wrapText="1"/>
    </xf>
    <xf numFmtId="164" fontId="19" fillId="6" borderId="0" xfId="1" applyNumberFormat="1" applyFont="1" applyFill="1" applyAlignment="1">
      <alignment vertical="top"/>
    </xf>
    <xf numFmtId="0" fontId="43" fillId="0" borderId="0" xfId="0" applyFont="1" applyAlignment="1">
      <alignment vertical="top"/>
    </xf>
    <xf numFmtId="44" fontId="21" fillId="0" borderId="0" xfId="3" applyFont="1" applyProtection="1"/>
    <xf numFmtId="0" fontId="44" fillId="0" borderId="0" xfId="0" applyFont="1" applyAlignment="1">
      <alignment horizontal="right" vertical="top" wrapText="1"/>
    </xf>
    <xf numFmtId="166" fontId="45" fillId="0" borderId="0" xfId="0" applyNumberFormat="1" applyFont="1"/>
    <xf numFmtId="166" fontId="45" fillId="0" borderId="0" xfId="3" applyNumberFormat="1" applyFont="1" applyFill="1" applyProtection="1"/>
    <xf numFmtId="166" fontId="45" fillId="0" borderId="0" xfId="0" applyNumberFormat="1" applyFont="1" applyAlignment="1">
      <alignment horizontal="left"/>
    </xf>
    <xf numFmtId="44" fontId="22" fillId="0" borderId="0" xfId="3" applyFont="1" applyProtection="1"/>
    <xf numFmtId="0" fontId="21" fillId="0" borderId="0" xfId="0" applyFont="1" applyAlignment="1">
      <alignment vertical="top"/>
    </xf>
    <xf numFmtId="166" fontId="21" fillId="0" borderId="0" xfId="0" applyNumberFormat="1" applyFont="1" applyAlignment="1">
      <alignment horizontal="left"/>
    </xf>
    <xf numFmtId="166" fontId="45" fillId="0" borderId="0" xfId="3" applyNumberFormat="1" applyFont="1" applyProtection="1"/>
    <xf numFmtId="44" fontId="46" fillId="0" borderId="0" xfId="3" applyFont="1" applyProtection="1"/>
    <xf numFmtId="0" fontId="22" fillId="0" borderId="0" xfId="0" applyFont="1" applyAlignment="1">
      <alignment vertical="top"/>
    </xf>
    <xf numFmtId="166" fontId="47" fillId="0" borderId="0" xfId="0" applyNumberFormat="1" applyFont="1" applyAlignment="1">
      <alignment horizontal="left"/>
    </xf>
    <xf numFmtId="166" fontId="32" fillId="0" borderId="0" xfId="0" applyNumberFormat="1" applyFont="1" applyAlignment="1">
      <alignment horizontal="left"/>
    </xf>
    <xf numFmtId="164" fontId="21" fillId="0" borderId="0" xfId="1" applyNumberFormat="1" applyFont="1" applyProtection="1"/>
    <xf numFmtId="0" fontId="26" fillId="0" borderId="0" xfId="0" applyFont="1"/>
    <xf numFmtId="164" fontId="21" fillId="0" borderId="0" xfId="1" applyNumberFormat="1" applyFont="1" applyFill="1" applyProtection="1"/>
    <xf numFmtId="164" fontId="21" fillId="4" borderId="0" xfId="1" applyNumberFormat="1" applyFont="1" applyFill="1" applyAlignment="1" applyProtection="1">
      <protection locked="0"/>
    </xf>
    <xf numFmtId="164" fontId="21" fillId="0" borderId="0" xfId="1" applyNumberFormat="1" applyFont="1"/>
    <xf numFmtId="166" fontId="38" fillId="0" borderId="0" xfId="3" applyNumberFormat="1" applyFont="1" applyAlignment="1" applyProtection="1">
      <alignment vertical="top"/>
    </xf>
    <xf numFmtId="164" fontId="21" fillId="0" borderId="0" xfId="1" applyNumberFormat="1" applyFont="1" applyAlignment="1">
      <alignment vertical="top"/>
    </xf>
    <xf numFmtId="44" fontId="22" fillId="0" borderId="0" xfId="3" applyFont="1" applyFill="1" applyProtection="1"/>
    <xf numFmtId="0" fontId="38" fillId="0" borderId="18" xfId="0" applyFont="1" applyBorder="1" applyAlignment="1">
      <alignment horizontal="center"/>
    </xf>
    <xf numFmtId="0" fontId="38" fillId="0" borderId="0" xfId="0" applyFont="1"/>
    <xf numFmtId="166" fontId="38" fillId="0" borderId="0" xfId="3" applyNumberFormat="1" applyFont="1" applyProtection="1"/>
    <xf numFmtId="0" fontId="21" fillId="0" borderId="0" xfId="0" applyFont="1"/>
    <xf numFmtId="166" fontId="21" fillId="0" borderId="0" xfId="3" applyNumberFormat="1" applyFont="1" applyProtection="1"/>
    <xf numFmtId="0" fontId="22" fillId="0" borderId="0" xfId="0" applyFont="1" applyAlignment="1">
      <alignment horizontal="center"/>
    </xf>
    <xf numFmtId="0" fontId="48" fillId="0" borderId="0" xfId="0" applyFont="1"/>
    <xf numFmtId="0" fontId="35" fillId="0" borderId="19" xfId="0" applyFont="1" applyBorder="1" applyAlignment="1">
      <alignment horizontal="left"/>
    </xf>
    <xf numFmtId="166" fontId="35" fillId="0" borderId="21" xfId="0" applyNumberFormat="1" applyFont="1" applyBorder="1"/>
    <xf numFmtId="166" fontId="36" fillId="0" borderId="21" xfId="0" applyNumberFormat="1" applyFont="1" applyBorder="1"/>
    <xf numFmtId="166" fontId="36" fillId="0" borderId="21" xfId="3" applyNumberFormat="1" applyFont="1" applyFill="1" applyBorder="1" applyProtection="1"/>
    <xf numFmtId="166" fontId="36" fillId="0" borderId="20" xfId="3" applyNumberFormat="1" applyFont="1" applyFill="1" applyBorder="1" applyProtection="1"/>
    <xf numFmtId="0" fontId="26" fillId="0" borderId="0" xfId="0" applyFont="1" applyAlignment="1">
      <alignment horizontal="center" vertical="top"/>
    </xf>
    <xf numFmtId="164" fontId="19" fillId="6" borderId="0" xfId="0" applyNumberFormat="1" applyFont="1" applyFill="1" applyAlignment="1">
      <alignment vertical="top"/>
    </xf>
    <xf numFmtId="166" fontId="22" fillId="0" borderId="0" xfId="3" applyNumberFormat="1" applyFont="1" applyAlignment="1" applyProtection="1">
      <alignment vertical="top"/>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1" xfId="0" applyFont="1" applyBorder="1" applyAlignment="1">
      <alignment horizontal="left" vertical="top" wrapText="1"/>
    </xf>
    <xf numFmtId="0" fontId="12" fillId="0" borderId="7" xfId="0" applyFont="1" applyBorder="1" applyAlignment="1">
      <alignment horizontal="left" vertical="top" wrapText="1"/>
    </xf>
    <xf numFmtId="0" fontId="18" fillId="0" borderId="0" xfId="0" applyFont="1" applyAlignment="1">
      <alignment horizontal="left" vertical="top"/>
    </xf>
    <xf numFmtId="0" fontId="22" fillId="0" borderId="0" xfId="0" applyFont="1" applyAlignment="1">
      <alignment horizontal="left" vertical="top"/>
    </xf>
    <xf numFmtId="0" fontId="38" fillId="0" borderId="19" xfId="0" applyFont="1" applyBorder="1" applyAlignment="1">
      <alignment horizontal="center" vertical="top"/>
    </xf>
    <xf numFmtId="0" fontId="38" fillId="0" borderId="20" xfId="0" applyFont="1" applyBorder="1" applyAlignment="1">
      <alignment horizontal="center" vertical="top"/>
    </xf>
    <xf numFmtId="166" fontId="39" fillId="0" borderId="0" xfId="0" applyNumberFormat="1" applyFont="1" applyAlignment="1">
      <alignment horizontal="left" vertical="top" wrapText="1"/>
    </xf>
    <xf numFmtId="165" fontId="22" fillId="4" borderId="0" xfId="0" quotePrefix="1" applyNumberFormat="1" applyFont="1" applyFill="1" applyAlignment="1" applyProtection="1">
      <alignment horizontal="left" vertical="top"/>
      <protection locked="0"/>
    </xf>
    <xf numFmtId="49" fontId="22" fillId="4" borderId="0" xfId="1" applyNumberFormat="1" applyFont="1" applyFill="1" applyBorder="1" applyAlignment="1" applyProtection="1">
      <alignment horizontal="left"/>
      <protection locked="0"/>
    </xf>
    <xf numFmtId="0" fontId="17" fillId="0" borderId="0" xfId="0" applyFont="1" applyAlignment="1">
      <alignment horizontal="center" vertical="top" wrapText="1"/>
    </xf>
    <xf numFmtId="0" fontId="22" fillId="4" borderId="0" xfId="0" applyFont="1" applyFill="1" applyAlignment="1" applyProtection="1">
      <alignment horizontal="left" vertical="top"/>
      <protection locked="0"/>
    </xf>
    <xf numFmtId="44" fontId="22" fillId="4" borderId="0" xfId="3" applyFont="1" applyFill="1" applyAlignment="1" applyProtection="1">
      <alignment horizontal="left" vertical="top"/>
      <protection locked="0"/>
    </xf>
    <xf numFmtId="0" fontId="19" fillId="0" borderId="8" xfId="0" applyFont="1" applyBorder="1" applyAlignment="1">
      <alignment horizontal="left" vertical="top" wrapText="1"/>
    </xf>
    <xf numFmtId="0" fontId="19" fillId="0" borderId="0" xfId="0" applyFont="1" applyAlignment="1">
      <alignment horizontal="left" vertical="top" wrapText="1"/>
    </xf>
    <xf numFmtId="0" fontId="19" fillId="0" borderId="8" xfId="0" applyFont="1" applyBorder="1" applyAlignment="1">
      <alignment horizontal="left" wrapText="1"/>
    </xf>
    <xf numFmtId="0" fontId="19" fillId="0" borderId="0" xfId="0" applyFont="1" applyAlignment="1">
      <alignment horizontal="left" wrapText="1"/>
    </xf>
    <xf numFmtId="0" fontId="21" fillId="0" borderId="0" xfId="0" applyFont="1" applyAlignment="1">
      <alignment horizontal="left"/>
    </xf>
    <xf numFmtId="165" fontId="21" fillId="0" borderId="0" xfId="0" applyNumberFormat="1" applyFont="1" applyAlignment="1">
      <alignment horizontal="left"/>
    </xf>
    <xf numFmtId="0" fontId="24" fillId="0" borderId="0" xfId="0" applyFont="1" applyAlignment="1">
      <alignment horizontal="center" wrapText="1"/>
    </xf>
    <xf numFmtId="0" fontId="24" fillId="0" borderId="0" xfId="0" applyFont="1" applyAlignment="1">
      <alignment horizontal="center"/>
    </xf>
    <xf numFmtId="0" fontId="26" fillId="0" borderId="0" xfId="0" applyFont="1" applyAlignment="1">
      <alignment horizontal="left"/>
    </xf>
    <xf numFmtId="165" fontId="21" fillId="4" borderId="0" xfId="0" applyNumberFormat="1" applyFont="1" applyFill="1" applyAlignment="1" applyProtection="1">
      <alignment horizontal="left"/>
      <protection locked="0"/>
    </xf>
    <xf numFmtId="0" fontId="21" fillId="4" borderId="0" xfId="0" applyFont="1" applyFill="1" applyAlignment="1" applyProtection="1">
      <alignment horizontal="left"/>
      <protection locked="0"/>
    </xf>
    <xf numFmtId="0" fontId="21" fillId="4" borderId="0" xfId="0" applyFont="1" applyFill="1" applyProtection="1">
      <protection locked="0"/>
    </xf>
    <xf numFmtId="0" fontId="17" fillId="0" borderId="0" xfId="0" applyFont="1" applyAlignment="1">
      <alignment horizontal="center" vertical="center" wrapText="1"/>
    </xf>
    <xf numFmtId="0" fontId="20" fillId="0" borderId="0" xfId="0" applyFont="1" applyAlignment="1">
      <alignment horizontal="left" vertical="top" wrapText="1"/>
    </xf>
    <xf numFmtId="0" fontId="21" fillId="0" borderId="0" xfId="0" applyFont="1" applyAlignment="1">
      <alignment vertical="top" wrapText="1"/>
    </xf>
    <xf numFmtId="0" fontId="21" fillId="0" borderId="0" xfId="0" applyFont="1" applyAlignment="1">
      <alignment horizontal="left" wrapText="1"/>
    </xf>
    <xf numFmtId="0" fontId="7" fillId="0" borderId="1" xfId="2" applyFont="1" applyBorder="1" applyAlignment="1">
      <alignment horizontal="center" vertical="top"/>
    </xf>
    <xf numFmtId="0" fontId="5" fillId="0" borderId="0" xfId="2" applyFont="1" applyAlignment="1">
      <alignment horizontal="left" vertical="top" wrapText="1"/>
    </xf>
    <xf numFmtId="0" fontId="6" fillId="4" borderId="0" xfId="2" applyFont="1" applyFill="1" applyAlignment="1">
      <alignment horizontal="left" vertical="top" wrapText="1"/>
    </xf>
    <xf numFmtId="0" fontId="7" fillId="0" borderId="1" xfId="2" applyFont="1" applyBorder="1" applyAlignment="1">
      <alignment horizontal="center" vertical="top" wrapText="1"/>
    </xf>
  </cellXfs>
  <cellStyles count="4">
    <cellStyle name="Comma" xfId="1" builtinId="3"/>
    <cellStyle name="Currency" xfId="3" builtinId="4"/>
    <cellStyle name="Normal" xfId="0" builtinId="0"/>
    <cellStyle name="Normal 2" xfId="2" xr:uid="{84946027-2597-4F15-8F78-58DFCA032E99}"/>
  </cellStyles>
  <dxfs count="2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069_FY2023-24_GASB_87_Annual_Reporting_Submission_Workbook.xlsx" TargetMode="External"/><Relationship Id="rId1" Type="http://schemas.openxmlformats.org/officeDocument/2006/relationships/externalLinkPath" Target="BU%201111_Fund%200069_FY2023-24_GASB_87_Annual_Reporting_Submission_Workbook.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239_FY2023-24_GASB_87_Annual_Reporting_Submission_Workbook.xlsx" TargetMode="External"/><Relationship Id="rId1" Type="http://schemas.openxmlformats.org/officeDocument/2006/relationships/externalLinkPath" Target="BU%201111_Fund%200239_FY2023-24_GASB_87_Annual_Reporting_Submission_Workbook.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305_FY2023-24_GASB_87_Annual_Reporting_Submission_Workbook.xlsx" TargetMode="External"/><Relationship Id="rId1" Type="http://schemas.openxmlformats.org/officeDocument/2006/relationships/externalLinkPath" Target="BU%201111_Fund%200305_FY2023-24_GASB_87_Annual_Reporting_Submission_Workbook.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376_FY2023-24_GASB_87_Annual_Reporting_Submission_Workbook.xlsx" TargetMode="External"/><Relationship Id="rId1" Type="http://schemas.openxmlformats.org/officeDocument/2006/relationships/externalLinkPath" Target="BU%201111_Fund%200376_FY2023-24_GASB_87_Annual_Reporting_Submission_Workbook.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421_FY2023-24_GASB_87_Annual_Reporting_Submission_Workbook.xlsx" TargetMode="External"/><Relationship Id="rId1" Type="http://schemas.openxmlformats.org/officeDocument/2006/relationships/externalLinkPath" Target="BU%201111_Fund%200421_FY2023-24_GASB_87_Annual_Reporting_Submission_Workbook.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702_FY2023-24_GASB_87_Annual_Reporting_Submission_Workbook.xlsx" TargetMode="External"/><Relationship Id="rId1" Type="http://schemas.openxmlformats.org/officeDocument/2006/relationships/externalLinkPath" Target="BU%201111_Fund%200702_FY2023-24_GASB_87_Annual_Reporting_Submission_Workbook.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735_FY2023-24_GASB_87_Annual_Reporting_Submission_Workbook.xlsx" TargetMode="External"/><Relationship Id="rId1" Type="http://schemas.openxmlformats.org/officeDocument/2006/relationships/externalLinkPath" Target="BU%201111_Fund%200735_FY2023-24_GASB_87_Annual_Reporting_Submission_Workbook.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758_FY2023-24_GASB_87_Annual_Reporting_Submission_Workbook.xlsx" TargetMode="External"/><Relationship Id="rId1" Type="http://schemas.openxmlformats.org/officeDocument/2006/relationships/externalLinkPath" Target="BU%201111_Fund%200758_FY2023-24_GASB_87_Annual_Reporting_Submission_Workbook.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761_FY2023-24_GASB_87_Annual_Reporting_Submission_Workbook.xlsx" TargetMode="External"/><Relationship Id="rId1" Type="http://schemas.openxmlformats.org/officeDocument/2006/relationships/externalLinkPath" Target="BU%201111_Fund%200761_FY2023-24_GASB_87_Annual_Reporting_Submission_Workbook.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763_FY2023-24_GASB_87_Annual_Reporting_Submission_Workbook.xlsx" TargetMode="External"/><Relationship Id="rId1" Type="http://schemas.openxmlformats.org/officeDocument/2006/relationships/externalLinkPath" Target="BU%201111_Fund%200763_FY2023-24_GASB_87_Annual_Reporting_Submission_Workbook.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767_FY2023-24_GASB_87_Annual_Reporting_Submission_Workbook.xlsx" TargetMode="External"/><Relationship Id="rId1" Type="http://schemas.openxmlformats.org/officeDocument/2006/relationships/externalLinkPath" Target="BU%201111_Fund%200767_FY2023-24_GASB_87_Annual_Reporting_Submission_Workbook.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770_FY2023-24_GASB_87_Annual_Reporting_Submission_Workbook.xlsx" TargetMode="External"/><Relationship Id="rId1" Type="http://schemas.openxmlformats.org/officeDocument/2006/relationships/externalLinkPath" Target="BU%201111_Fund%200770_FY2023-24_GASB_87_Annual_Reporting_Submission_Workbook.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771_FY2023-24_GASB_87_Annual_Reporting_Submission_Workbook.xlsx" TargetMode="External"/><Relationship Id="rId1" Type="http://schemas.openxmlformats.org/officeDocument/2006/relationships/externalLinkPath" Target="BU%201111_Fund%200771_FY2023-24_GASB_87_Annual_Reporting_Submission_Workbook.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777_FY2023-24_GASB_87_Annual_Reporting_Submission_Workbook.xlsx" TargetMode="External"/><Relationship Id="rId1" Type="http://schemas.openxmlformats.org/officeDocument/2006/relationships/externalLinkPath" Target="BU%201111_Fund%200777_FY2023-24_GASB_87_Annual_Reporting_Submission_Workbook.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0779_FY2023-24_GASB_87_Annual_Reporting_Submission_Workbook.xlsx" TargetMode="External"/><Relationship Id="rId1" Type="http://schemas.openxmlformats.org/officeDocument/2006/relationships/externalLinkPath" Target="BU%201111_Fund%200779_FY2023-24_GASB_87_Annual_Reporting_Submission_Workbook.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State_Gov_Reporting\ADMIN%20-%20POLICY\GASB\GASB%2087%20-%20Leases\Project%20Tracking\FY%202023-24\ARSW%20Review\BU%201111%20DEPARTMENT%20OF%20CONSUMER%20AFFAIRS\BU%201111_Fund%203017_FY2023-24_GASB_87_Annual_Reporting_Submission_Workbook.xlsx" TargetMode="External"/><Relationship Id="rId1" Type="http://schemas.openxmlformats.org/officeDocument/2006/relationships/externalLinkPath" Target="BU%201111_Fund%203017_FY2023-24_GASB_87_Annual_Reporting_Submission_Workbook.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ACCT\G%20E%20N%20E%20R%20A%20L%20%20%20L%20E%20D%20G%20E%20R\Monthly\Assets\GASB%2087\GAAP%20Annual%20Reporting\FY2023-24\Working%20files\BU%201111_FY2023-24_GASB_87_LS-Department%20Note%20Disclosure,%20Lease%20Liability%20&amp;%20Check%20Figures.xlsx" TargetMode="External"/><Relationship Id="rId1" Type="http://schemas.openxmlformats.org/officeDocument/2006/relationships/externalLinkPath" Target="/ACCT/G%20E%20N%20E%20R%20A%20L%20%20%20L%20E%20D%20G%20E%20R/Monthly/Assets/GASB%2087/GAAP%20Annual%20Reporting/FY2023-24/Working%20files/BU%201111_FY2023-24_GASB_87_LS-Department%20Note%20Disclosure,%20Lease%20Liability%20&amp;%20Check%20Figure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ACCT\G%20E%20N%20E%20R%20A%20L%20%20%20L%20E%20D%20G%20E%20R\Monthly\Assets\GASB%2087\GAAP%20Annual%20Reporting\FY2023-24\Working%20files\BU%201111_FY2023-24_GASB_87_LS-Department%20Note%20Disclosure,%20Lease%20Liability%20&amp;%20Check%20Figures%20V2.xlsx" TargetMode="External"/><Relationship Id="rId1" Type="http://schemas.openxmlformats.org/officeDocument/2006/relationships/externalLinkPath" Target="/ACCT/G%20E%20N%20E%20R%20A%20L%20%20%20L%20E%20D%20G%20E%20R/Monthly/Assets/GASB%2087/GAAP%20Annual%20Reporting/FY2023-24/Working%20files/BU%201111_FY2023-24_GASB_87_LS-Department%20Note%20Disclosure,%20Lease%20Liability%20&amp;%20Check%20Figures%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069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239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305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376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421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702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735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758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761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763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767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770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771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777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779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3017 Journal Entr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xxxx Journal Entries"/>
      <sheetName val="LS-Department Note Disclosure"/>
      <sheetName val="LS-Lease Liabilities"/>
      <sheetName val="LS-Check Figures  "/>
    </sheetNames>
    <sheetDataSet>
      <sheetData sheetId="0"/>
      <sheetData sheetId="1"/>
      <sheetData sheetId="2"/>
      <sheetData sheetId="3">
        <row r="3">
          <cell r="F3" t="str">
            <v>2023–2024</v>
          </cell>
        </row>
      </sheetData>
      <sheetData sheetId="4">
        <row r="9">
          <cell r="B9">
            <v>1111</v>
          </cell>
        </row>
        <row r="10">
          <cell r="B10" t="str">
            <v>Department of Consumer Affairs</v>
          </cell>
        </row>
      </sheetData>
      <sheetData sheetId="5"/>
      <sheetData sheetId="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xxxx Journal Entries"/>
      <sheetName val="LS-Department Note Disclosure"/>
      <sheetName val="LS-Lease Liabilities"/>
      <sheetName val="LS-Check Figures  "/>
    </sheetNames>
    <sheetDataSet>
      <sheetData sheetId="0"/>
      <sheetData sheetId="1"/>
      <sheetData sheetId="2"/>
      <sheetData sheetId="3">
        <row r="8">
          <cell r="F8" t="str">
            <v>Governmental Fund</v>
          </cell>
        </row>
        <row r="23">
          <cell r="K23">
            <v>0</v>
          </cell>
        </row>
      </sheetData>
      <sheetData sheetId="4">
        <row r="8">
          <cell r="B8" t="str">
            <v>2023–2024</v>
          </cell>
        </row>
        <row r="13">
          <cell r="A13" t="str">
            <v>2024–2025</v>
          </cell>
        </row>
        <row r="44">
          <cell r="A44" t="str">
            <v>2024–2025</v>
          </cell>
        </row>
        <row r="75">
          <cell r="A75" t="str">
            <v>2024–2025</v>
          </cell>
        </row>
      </sheetData>
      <sheetData sheetId="5">
        <row r="10">
          <cell r="F10">
            <v>28785185</v>
          </cell>
        </row>
        <row r="14">
          <cell r="F14">
            <v>0</v>
          </cell>
          <cell r="H14">
            <v>0</v>
          </cell>
          <cell r="J14">
            <v>0</v>
          </cell>
          <cell r="N14">
            <v>0</v>
          </cell>
        </row>
        <row r="18">
          <cell r="F18">
            <v>0</v>
          </cell>
          <cell r="H18">
            <v>0</v>
          </cell>
          <cell r="J18">
            <v>0</v>
          </cell>
          <cell r="N18">
            <v>0</v>
          </cell>
        </row>
      </sheetData>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4C3C3-BD17-465D-B1ED-945BF77D2F9E}">
  <sheetPr>
    <tabColor theme="9" tint="0.59999389629810485"/>
  </sheetPr>
  <dimension ref="A1:F16"/>
  <sheetViews>
    <sheetView zoomScale="90" zoomScaleNormal="90" workbookViewId="0">
      <pane ySplit="10" topLeftCell="A11" activePane="bottomLeft" state="frozen"/>
      <selection activeCell="A5" sqref="A5:Q7"/>
      <selection pane="bottomLeft" activeCell="E13" sqref="E13"/>
    </sheetView>
  </sheetViews>
  <sheetFormatPr defaultColWidth="8.85546875" defaultRowHeight="14.25" x14ac:dyDescent="0.25"/>
  <cols>
    <col min="1" max="1" width="18.85546875" style="46" customWidth="1"/>
    <col min="2" max="2" width="21.5703125" style="46" customWidth="1"/>
    <col min="3" max="4" width="14.140625" style="46" customWidth="1"/>
    <col min="5" max="5" width="65.7109375" style="46" customWidth="1"/>
    <col min="6" max="6" width="26.28515625" style="46" customWidth="1"/>
    <col min="7" max="16384" width="8.85546875" style="46"/>
  </cols>
  <sheetData>
    <row r="1" spans="1:6" x14ac:dyDescent="0.25">
      <c r="A1" s="177" t="s">
        <v>33</v>
      </c>
      <c r="B1" s="178"/>
      <c r="C1" s="178"/>
      <c r="D1" s="178"/>
      <c r="E1" s="178"/>
      <c r="F1" s="179"/>
    </row>
    <row r="2" spans="1:6" x14ac:dyDescent="0.25">
      <c r="A2" s="180"/>
      <c r="B2" s="181"/>
      <c r="C2" s="181"/>
      <c r="D2" s="181"/>
      <c r="E2" s="181"/>
      <c r="F2" s="182"/>
    </row>
    <row r="4" spans="1:6" ht="15" x14ac:dyDescent="0.25">
      <c r="A4" s="47" t="s">
        <v>34</v>
      </c>
      <c r="B4" s="48" t="s">
        <v>35</v>
      </c>
    </row>
    <row r="5" spans="1:6" ht="15" x14ac:dyDescent="0.25">
      <c r="A5" s="47" t="s">
        <v>36</v>
      </c>
      <c r="B5" s="48" t="s">
        <v>37</v>
      </c>
    </row>
    <row r="6" spans="1:6" ht="15" x14ac:dyDescent="0.25">
      <c r="A6" s="47"/>
      <c r="B6" s="48"/>
    </row>
    <row r="7" spans="1:6" ht="15" x14ac:dyDescent="0.25">
      <c r="A7" s="49" t="s">
        <v>38</v>
      </c>
      <c r="B7" s="48"/>
    </row>
    <row r="8" spans="1:6" ht="15" x14ac:dyDescent="0.25">
      <c r="B8" s="50"/>
      <c r="C8" s="48"/>
    </row>
    <row r="9" spans="1:6" ht="15" x14ac:dyDescent="0.25">
      <c r="A9" s="51" t="s">
        <v>39</v>
      </c>
    </row>
    <row r="10" spans="1:6" ht="15" x14ac:dyDescent="0.25">
      <c r="A10" s="52" t="s">
        <v>40</v>
      </c>
      <c r="B10" s="52" t="s">
        <v>41</v>
      </c>
      <c r="C10" s="52" t="s">
        <v>42</v>
      </c>
      <c r="D10" s="52" t="s">
        <v>43</v>
      </c>
      <c r="E10" s="52" t="s">
        <v>44</v>
      </c>
      <c r="F10" s="52" t="s">
        <v>45</v>
      </c>
    </row>
    <row r="11" spans="1:6" ht="28.5" x14ac:dyDescent="0.25">
      <c r="A11" s="46" t="s">
        <v>46</v>
      </c>
      <c r="B11" s="46" t="s">
        <v>47</v>
      </c>
      <c r="C11" s="46" t="s">
        <v>48</v>
      </c>
      <c r="D11" s="46" t="s">
        <v>49</v>
      </c>
      <c r="E11" s="46" t="s">
        <v>50</v>
      </c>
      <c r="F11" s="46" t="s">
        <v>51</v>
      </c>
    </row>
    <row r="12" spans="1:6" ht="42.75" x14ac:dyDescent="0.25">
      <c r="A12" s="46" t="s">
        <v>46</v>
      </c>
      <c r="B12" s="46" t="s">
        <v>52</v>
      </c>
      <c r="C12" s="46" t="s">
        <v>53</v>
      </c>
      <c r="D12" s="46" t="s">
        <v>53</v>
      </c>
      <c r="E12" s="46" t="s">
        <v>54</v>
      </c>
      <c r="F12" s="46" t="s">
        <v>55</v>
      </c>
    </row>
    <row r="13" spans="1:6" ht="28.5" x14ac:dyDescent="0.25">
      <c r="A13" s="46" t="s">
        <v>56</v>
      </c>
      <c r="B13" s="46" t="s">
        <v>57</v>
      </c>
      <c r="C13" s="46" t="s">
        <v>58</v>
      </c>
      <c r="D13" s="46" t="s">
        <v>58</v>
      </c>
      <c r="E13" s="46" t="s">
        <v>59</v>
      </c>
      <c r="F13" s="46" t="s">
        <v>60</v>
      </c>
    </row>
    <row r="14" spans="1:6" ht="28.5" x14ac:dyDescent="0.25">
      <c r="A14" s="46" t="s">
        <v>56</v>
      </c>
      <c r="B14" s="46" t="s">
        <v>61</v>
      </c>
      <c r="C14" s="46" t="s">
        <v>62</v>
      </c>
      <c r="D14" s="46" t="s">
        <v>62</v>
      </c>
      <c r="E14" s="46" t="s">
        <v>63</v>
      </c>
      <c r="F14" s="46" t="s">
        <v>64</v>
      </c>
    </row>
    <row r="15" spans="1:6" ht="42.75" x14ac:dyDescent="0.25">
      <c r="A15" s="46" t="s">
        <v>65</v>
      </c>
      <c r="B15" s="46" t="s">
        <v>66</v>
      </c>
      <c r="C15" s="46" t="s">
        <v>48</v>
      </c>
      <c r="D15" s="46" t="s">
        <v>67</v>
      </c>
      <c r="E15" s="46" t="s">
        <v>68</v>
      </c>
      <c r="F15" s="46" t="s">
        <v>69</v>
      </c>
    </row>
    <row r="16" spans="1:6" ht="85.5" x14ac:dyDescent="0.25">
      <c r="A16" s="46" t="s">
        <v>65</v>
      </c>
      <c r="B16" s="46" t="s">
        <v>70</v>
      </c>
      <c r="C16" s="46" t="s">
        <v>53</v>
      </c>
      <c r="D16" s="46" t="s">
        <v>53</v>
      </c>
      <c r="E16" s="46" t="s">
        <v>71</v>
      </c>
      <c r="F16" s="46" t="s">
        <v>72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E0955-E392-4F37-AC22-3D12B5873919}">
  <sheetPr>
    <tabColor theme="9" tint="0.59999389629810485"/>
    <pageSetUpPr fitToPage="1"/>
  </sheetPr>
  <dimension ref="A1:T193"/>
  <sheetViews>
    <sheetView topLeftCell="A81" zoomScale="70" zoomScaleNormal="70" workbookViewId="0">
      <selection activeCell="N23" sqref="N23"/>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69</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Fund",VLOOKUP(F5,[2]qryIndex02a!$A$2:$K$654,4,FALSE)),"Unidentified")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 t="shared" ref="S15:S19" si="0">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 t="shared" si="0"/>
        <v>0</v>
      </c>
      <c r="T16" s="137" t="s">
        <v>123</v>
      </c>
    </row>
    <row r="17" spans="1:20" ht="16.5" customHeight="1" x14ac:dyDescent="0.25">
      <c r="A17" s="128" t="s">
        <v>121</v>
      </c>
      <c r="B17" s="129" t="s">
        <v>125</v>
      </c>
      <c r="C17" s="129"/>
      <c r="D17" s="129"/>
      <c r="E17" s="130"/>
      <c r="F17" s="131"/>
      <c r="G17" s="131"/>
      <c r="H17" s="132"/>
      <c r="I17" s="132"/>
      <c r="J17" s="133">
        <f>M17</f>
        <v>3651728</v>
      </c>
      <c r="M17" s="134">
        <v>3651728</v>
      </c>
      <c r="P17" s="134">
        <v>3651728</v>
      </c>
      <c r="Q17" s="135"/>
      <c r="S17" s="136">
        <f t="shared" si="0"/>
        <v>0</v>
      </c>
      <c r="T17" s="137" t="s">
        <v>123</v>
      </c>
    </row>
    <row r="18" spans="1:20" ht="16.5" customHeight="1" x14ac:dyDescent="0.25">
      <c r="A18" s="138"/>
      <c r="B18" s="129" t="s">
        <v>126</v>
      </c>
      <c r="C18" s="129"/>
      <c r="D18" s="129"/>
      <c r="E18" s="130"/>
      <c r="F18" s="131"/>
      <c r="G18" s="131"/>
      <c r="H18" s="132"/>
      <c r="I18" s="132"/>
      <c r="J18" s="133">
        <f>P18</f>
        <v>11814</v>
      </c>
      <c r="M18" s="134">
        <v>11814</v>
      </c>
      <c r="P18" s="139">
        <f>IF(SUM($Q$20:$Q$23)&gt;SUM($P$15:$P$17),SUM($Q$20:$Q$23)-SUM($P$15:$P$17),0)</f>
        <v>11814</v>
      </c>
      <c r="Q18" s="135"/>
      <c r="S18" s="136">
        <f t="shared" si="0"/>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 t="shared" si="0"/>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Q21-N21</f>
        <v>0</v>
      </c>
      <c r="T21" s="140" t="s">
        <v>127</v>
      </c>
    </row>
    <row r="22" spans="1:20" ht="16.5" customHeight="1" x14ac:dyDescent="0.25">
      <c r="A22" s="138"/>
      <c r="B22" s="129"/>
      <c r="C22" s="129" t="s">
        <v>131</v>
      </c>
      <c r="D22" s="129"/>
      <c r="E22" s="130"/>
      <c r="F22" s="131"/>
      <c r="G22" s="131"/>
      <c r="H22" s="132"/>
      <c r="I22" s="132"/>
      <c r="J22" s="141"/>
      <c r="K22" s="133">
        <f>N22</f>
        <v>3119228</v>
      </c>
      <c r="N22" s="134">
        <v>3119228</v>
      </c>
      <c r="P22" s="135"/>
      <c r="Q22" s="134">
        <v>3119228</v>
      </c>
      <c r="S22" s="136">
        <f t="shared" ref="S22:S25" si="1">Q22-N22</f>
        <v>0</v>
      </c>
      <c r="T22" s="140" t="s">
        <v>127</v>
      </c>
    </row>
    <row r="23" spans="1:20" ht="16.5" customHeight="1" x14ac:dyDescent="0.25">
      <c r="A23" s="142" t="s">
        <v>132</v>
      </c>
      <c r="B23" s="129"/>
      <c r="C23" s="129" t="s">
        <v>133</v>
      </c>
      <c r="D23" s="129"/>
      <c r="E23" s="130"/>
      <c r="F23" s="131"/>
      <c r="G23" s="131"/>
      <c r="H23" s="132"/>
      <c r="I23" s="132"/>
      <c r="J23" s="141"/>
      <c r="K23" s="133">
        <f>N23</f>
        <v>544314</v>
      </c>
      <c r="N23" s="134">
        <v>544314</v>
      </c>
      <c r="P23" s="135"/>
      <c r="Q23" s="134">
        <v>544314</v>
      </c>
      <c r="S23" s="136">
        <f t="shared" si="1"/>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1"/>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1"/>
        <v>0</v>
      </c>
      <c r="T25" s="140" t="s">
        <v>127</v>
      </c>
    </row>
    <row r="26" spans="1:20" ht="16.5" customHeight="1" x14ac:dyDescent="0.25">
      <c r="A26" s="138"/>
      <c r="C26" s="143"/>
      <c r="D26" s="143"/>
      <c r="E26" s="143"/>
      <c r="F26" s="144"/>
      <c r="G26" s="144"/>
      <c r="H26" s="145"/>
      <c r="I26" s="145"/>
      <c r="J26" s="146">
        <f>SUM(J15:J25)</f>
        <v>3663542</v>
      </c>
      <c r="K26" s="146">
        <f>SUM(K15:K25)</f>
        <v>3663542</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ADJ)",VLOOKUP($F$9,'[2]Drop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532500</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532500</v>
      </c>
    </row>
    <row r="59" spans="1:16" ht="16.5" customHeight="1" x14ac:dyDescent="0.25">
      <c r="A59" s="138"/>
      <c r="C59" s="124"/>
      <c r="D59" s="124"/>
      <c r="E59" s="124"/>
      <c r="F59" s="125"/>
      <c r="G59" s="125"/>
      <c r="H59" s="126"/>
      <c r="I59" s="126"/>
      <c r="J59" s="146">
        <f>SUM(J55:J58)</f>
        <v>532500</v>
      </c>
      <c r="K59" s="146">
        <f>SUM(K55:K58)</f>
        <v>532500</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544314</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252</v>
      </c>
      <c r="K63" s="158"/>
    </row>
    <row r="64" spans="1:16" ht="16.5" customHeight="1" x14ac:dyDescent="0.25">
      <c r="A64" s="138"/>
      <c r="B64" s="129"/>
      <c r="C64" s="129" t="str">
        <f>IF($F$7="Proprietary","Cr: Acct 0870 - SERVICES &amp; CHARGES (MG ADJ)",VLOOKUP($F$9,'[2]Drop Down Menus'!$F$2:$G$10,2,FALSE))</f>
        <v>Cr: Acct 0825 - BUS, CONSUMER SERV, HOUSING</v>
      </c>
      <c r="D64" s="130"/>
      <c r="E64" s="130"/>
      <c r="F64" s="131"/>
      <c r="G64" s="131"/>
      <c r="H64" s="132"/>
      <c r="I64" s="132"/>
      <c r="J64" s="158"/>
      <c r="K64" s="134">
        <v>544566</v>
      </c>
    </row>
    <row r="65" spans="1:12" ht="16.5" customHeight="1" x14ac:dyDescent="0.25">
      <c r="A65" s="138"/>
      <c r="C65" s="124"/>
      <c r="D65" s="124"/>
      <c r="E65" s="124"/>
      <c r="F65" s="125"/>
      <c r="G65" s="125"/>
      <c r="H65" s="126"/>
      <c r="I65" s="126"/>
      <c r="J65" s="146">
        <f>SUM(J62:J64)</f>
        <v>544566</v>
      </c>
      <c r="K65" s="146">
        <f>SUM(K62:K64)</f>
        <v>544566</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544314</v>
      </c>
      <c r="K68" s="154"/>
    </row>
    <row r="69" spans="1:12" ht="16.5" customHeight="1" x14ac:dyDescent="0.25">
      <c r="A69" s="138"/>
      <c r="B69" s="129"/>
      <c r="C69" s="129" t="s">
        <v>155</v>
      </c>
      <c r="D69" s="130"/>
      <c r="E69" s="130"/>
      <c r="F69" s="131"/>
      <c r="G69" s="131"/>
      <c r="H69" s="132"/>
      <c r="I69" s="132"/>
      <c r="J69" s="154"/>
      <c r="K69" s="134">
        <v>544314</v>
      </c>
      <c r="L69" s="100" t="str">
        <f>IF($J$62=$K$69,"","&lt;- Accts 0848 must agree")</f>
        <v/>
      </c>
    </row>
    <row r="70" spans="1:12" ht="16.5" customHeight="1" x14ac:dyDescent="0.25">
      <c r="A70" s="138"/>
      <c r="C70" s="124"/>
      <c r="D70" s="124"/>
      <c r="E70" s="124"/>
      <c r="F70" s="125"/>
      <c r="G70" s="125"/>
      <c r="H70" s="126"/>
      <c r="I70" s="126"/>
      <c r="J70" s="146">
        <f>SUM(J68:J69)</f>
        <v>544314</v>
      </c>
      <c r="K70" s="146">
        <f>SUM(K68:K69)</f>
        <v>544314</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c r="K75" s="154"/>
    </row>
    <row r="76" spans="1:12" ht="16.5" customHeight="1" x14ac:dyDescent="0.25">
      <c r="A76" s="138"/>
      <c r="B76" s="129"/>
      <c r="C76" s="129" t="s">
        <v>158</v>
      </c>
      <c r="D76" s="130"/>
      <c r="E76" s="130"/>
      <c r="F76" s="131"/>
      <c r="G76" s="131"/>
      <c r="H76" s="132"/>
      <c r="I76" s="132"/>
      <c r="J76" s="154"/>
      <c r="K76" s="134"/>
    </row>
    <row r="77" spans="1:12" ht="16.5" customHeight="1" x14ac:dyDescent="0.2">
      <c r="A77" s="138"/>
      <c r="B77" s="187" t="s">
        <v>159</v>
      </c>
      <c r="C77" s="187"/>
      <c r="D77" s="187"/>
      <c r="E77" s="187"/>
      <c r="F77" s="187"/>
      <c r="G77" s="187"/>
      <c r="H77" s="187"/>
      <c r="I77" s="187"/>
      <c r="J77" s="146">
        <f>SUM(J75:J76)</f>
        <v>0</v>
      </c>
      <c r="K77" s="146">
        <f>SUM(K75:K76)</f>
        <v>0</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v>3651728</v>
      </c>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v>3651728</v>
      </c>
    </row>
    <row r="91" spans="1:16" ht="16.5" customHeight="1" x14ac:dyDescent="0.25">
      <c r="B91" s="120" t="s">
        <v>169</v>
      </c>
      <c r="H91" s="100"/>
      <c r="J91" s="161">
        <f>SUM(J85:J90)</f>
        <v>3651728</v>
      </c>
      <c r="K91" s="161">
        <f>SUM(K85:K90)</f>
        <v>3651728</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ADJ)",VLOOKUP($F$9,'[2]Drop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ADJ)",VLOOKUP($F$9,'[2]Drop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0</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0</v>
      </c>
    </row>
    <row r="128" spans="1:12" ht="16.5" customHeight="1" x14ac:dyDescent="0.25">
      <c r="D128" s="130" t="s">
        <v>181</v>
      </c>
      <c r="H128" s="100"/>
      <c r="K128" s="175">
        <f>-K23-K48+J68+J75+J96-K113</f>
        <v>0</v>
      </c>
    </row>
    <row r="129" spans="4:11" ht="16.5" customHeight="1" x14ac:dyDescent="0.25">
      <c r="D129" s="130" t="s">
        <v>182</v>
      </c>
      <c r="H129" s="100"/>
      <c r="K129" s="175">
        <f>-K76</f>
        <v>0</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09" priority="12">
      <formula>$J$62&lt;&gt;$K$69</formula>
    </cfRule>
  </conditionalFormatting>
  <conditionalFormatting sqref="L26:P26">
    <cfRule type="expression" dxfId="208" priority="1">
      <formula>$J$26&lt;&gt;$K$26</formula>
    </cfRule>
  </conditionalFormatting>
  <conditionalFormatting sqref="L36:P36">
    <cfRule type="expression" dxfId="207" priority="2">
      <formula>$J$36&lt;&gt;$K$36</formula>
    </cfRule>
  </conditionalFormatting>
  <conditionalFormatting sqref="L43:P43">
    <cfRule type="expression" dxfId="206" priority="3">
      <formula>$J$43&lt;&gt;$K$43</formula>
    </cfRule>
  </conditionalFormatting>
  <conditionalFormatting sqref="L49:P49">
    <cfRule type="expression" dxfId="205" priority="4">
      <formula>$J$49&lt;&gt;$K$49</formula>
    </cfRule>
  </conditionalFormatting>
  <conditionalFormatting sqref="L59:P59">
    <cfRule type="expression" dxfId="204" priority="5">
      <formula>$J$59&lt;&gt;$K$59</formula>
    </cfRule>
  </conditionalFormatting>
  <conditionalFormatting sqref="L65:P65">
    <cfRule type="expression" dxfId="203" priority="6">
      <formula>$J$65&lt;&gt;$K$65</formula>
    </cfRule>
  </conditionalFormatting>
  <conditionalFormatting sqref="L70:P70">
    <cfRule type="expression" dxfId="202" priority="7">
      <formula>$J$70&lt;&gt;$K$70</formula>
    </cfRule>
  </conditionalFormatting>
  <conditionalFormatting sqref="L77:P77">
    <cfRule type="expression" dxfId="201" priority="8">
      <formula>$J$77&lt;&gt;$K$77</formula>
    </cfRule>
  </conditionalFormatting>
  <conditionalFormatting sqref="L91:P91">
    <cfRule type="expression" dxfId="200" priority="9">
      <formula>$J$91&lt;&gt;$K$91</formula>
    </cfRule>
  </conditionalFormatting>
  <conditionalFormatting sqref="L105:P105">
    <cfRule type="expression" dxfId="199" priority="10">
      <formula>$J$105&lt;&gt;$K$105</formula>
    </cfRule>
  </conditionalFormatting>
  <conditionalFormatting sqref="L114:P114">
    <cfRule type="expression" dxfId="198" priority="11">
      <formula>$J$114&lt;&gt;$K$114</formula>
    </cfRule>
  </conditionalFormatting>
  <dataValidations count="3">
    <dataValidation type="textLength" operator="equal" allowBlank="1" showInputMessage="1" showErrorMessage="1" errorTitle="4-Digit Org Code" error="Enter the Org Code/BU as 4 digits." sqref="F5" xr:uid="{5596759F-29B0-4612-AC0E-DBDF11CF77D5}">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2AC95B1-8F94-4A91-B6C6-93D62E5C85F1}">
      <formula1>0</formula1>
    </dataValidation>
    <dataValidation operator="lessThan" allowBlank="1" showInputMessage="1" showErrorMessage="1" sqref="A3:A8" xr:uid="{7C33AF3A-04E2-46A5-AD8E-FB612770FE95}"/>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5F5EE-FE6C-4D8C-A03D-B15805C7C850}">
  <sheetPr>
    <tabColor theme="9" tint="0.59999389629810485"/>
    <pageSetUpPr fitToPage="1"/>
  </sheetPr>
  <dimension ref="A1:T193"/>
  <sheetViews>
    <sheetView topLeftCell="A15" zoomScale="70" zoomScaleNormal="70" workbookViewId="0">
      <selection activeCell="J41" sqref="J41"/>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239</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Fund",VLOOKUP(F5,[3]qryIndex02a!$A$2:$K$654,4,FALSE)),"Unidentified")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 t="shared" ref="S15:S19" si="0">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 t="shared" si="0"/>
        <v>0</v>
      </c>
      <c r="T16" s="137" t="s">
        <v>123</v>
      </c>
    </row>
    <row r="17" spans="1:20" ht="16.5" customHeight="1" x14ac:dyDescent="0.25">
      <c r="A17" s="128" t="s">
        <v>121</v>
      </c>
      <c r="B17" s="129" t="s">
        <v>125</v>
      </c>
      <c r="C17" s="129"/>
      <c r="D17" s="129"/>
      <c r="E17" s="130"/>
      <c r="F17" s="131"/>
      <c r="G17" s="131"/>
      <c r="H17" s="132"/>
      <c r="I17" s="132"/>
      <c r="J17" s="133">
        <f>M17</f>
        <v>0</v>
      </c>
      <c r="M17" s="134"/>
      <c r="P17" s="134"/>
      <c r="Q17" s="135"/>
      <c r="S17" s="136">
        <f t="shared" si="0"/>
        <v>0</v>
      </c>
      <c r="T17" s="137" t="s">
        <v>123</v>
      </c>
    </row>
    <row r="18" spans="1:20" ht="16.5" customHeight="1" x14ac:dyDescent="0.25">
      <c r="A18" s="138"/>
      <c r="B18" s="129" t="s">
        <v>126</v>
      </c>
      <c r="C18" s="129"/>
      <c r="D18" s="129"/>
      <c r="E18" s="130"/>
      <c r="F18" s="131"/>
      <c r="G18" s="131"/>
      <c r="H18" s="132"/>
      <c r="I18" s="132"/>
      <c r="J18" s="133">
        <f>P18</f>
        <v>0</v>
      </c>
      <c r="M18" s="134"/>
      <c r="P18" s="139">
        <f>IF(SUM($Q$20:$Q$23)&gt;SUM($P$15:$P$17),SUM($Q$20:$Q$23)-SUM($P$15:$P$17),0)</f>
        <v>0</v>
      </c>
      <c r="Q18" s="135"/>
      <c r="S18" s="136">
        <f t="shared" si="0"/>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 t="shared" si="0"/>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Q21-N21</f>
        <v>0</v>
      </c>
      <c r="T21" s="140" t="s">
        <v>127</v>
      </c>
    </row>
    <row r="22" spans="1:20" ht="16.5" customHeight="1" x14ac:dyDescent="0.25">
      <c r="A22" s="138"/>
      <c r="B22" s="129"/>
      <c r="C22" s="129" t="s">
        <v>131</v>
      </c>
      <c r="D22" s="129"/>
      <c r="E22" s="130"/>
      <c r="F22" s="131"/>
      <c r="G22" s="131"/>
      <c r="H22" s="132"/>
      <c r="I22" s="132"/>
      <c r="J22" s="141"/>
      <c r="K22" s="133">
        <f>N22</f>
        <v>0</v>
      </c>
      <c r="N22" s="134"/>
      <c r="P22" s="135"/>
      <c r="Q22" s="134"/>
      <c r="S22" s="136">
        <f t="shared" ref="S22:S25" si="1">Q22-N22</f>
        <v>0</v>
      </c>
      <c r="T22" s="140" t="s">
        <v>127</v>
      </c>
    </row>
    <row r="23" spans="1:20" ht="16.5" customHeight="1" x14ac:dyDescent="0.25">
      <c r="A23" s="142" t="s">
        <v>132</v>
      </c>
      <c r="B23" s="129"/>
      <c r="C23" s="129" t="s">
        <v>133</v>
      </c>
      <c r="D23" s="129"/>
      <c r="E23" s="130"/>
      <c r="F23" s="131"/>
      <c r="G23" s="131"/>
      <c r="H23" s="132"/>
      <c r="I23" s="132"/>
      <c r="J23" s="141"/>
      <c r="K23" s="133">
        <f>N23</f>
        <v>0</v>
      </c>
      <c r="N23" s="134"/>
      <c r="P23" s="135"/>
      <c r="Q23" s="134"/>
      <c r="S23" s="136">
        <f t="shared" si="1"/>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1"/>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1"/>
        <v>0</v>
      </c>
      <c r="T25" s="140" t="s">
        <v>127</v>
      </c>
    </row>
    <row r="26" spans="1:20" ht="16.5" customHeight="1" x14ac:dyDescent="0.25">
      <c r="A26" s="138"/>
      <c r="C26" s="143"/>
      <c r="D26" s="143"/>
      <c r="E26" s="143"/>
      <c r="F26" s="144"/>
      <c r="G26" s="144"/>
      <c r="H26" s="145"/>
      <c r="I26" s="145"/>
      <c r="J26" s="146">
        <f>SUM(J15:J25)</f>
        <v>0</v>
      </c>
      <c r="K26" s="146">
        <f>SUM(K15:K25)</f>
        <v>0</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v>2789016</v>
      </c>
      <c r="K33" s="154"/>
    </row>
    <row r="34" spans="1:12" ht="16.5" customHeight="1" x14ac:dyDescent="0.25">
      <c r="A34" s="138"/>
      <c r="B34" s="129"/>
      <c r="C34" s="129" t="s">
        <v>141</v>
      </c>
      <c r="D34" s="130"/>
      <c r="E34" s="130"/>
      <c r="F34" s="131"/>
      <c r="G34" s="131"/>
      <c r="H34" s="132"/>
      <c r="I34" s="132"/>
      <c r="J34" s="154"/>
      <c r="K34" s="134">
        <v>2789016</v>
      </c>
    </row>
    <row r="35" spans="1:12" ht="16.5" customHeight="1" x14ac:dyDescent="0.25">
      <c r="A35" s="138"/>
      <c r="B35" s="129"/>
      <c r="C35" s="129" t="str">
        <f>IF($F$7="Proprietary","Cr: Acct 0870 - SERVICES &amp; CHARGES (MG ADJ)",VLOOKUP($F$9,'[3]Drop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2789016</v>
      </c>
      <c r="K36" s="146">
        <f>SUM(K33:K35)</f>
        <v>2789016</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v>2789016</v>
      </c>
      <c r="K41" s="154"/>
    </row>
    <row r="42" spans="1:12" ht="16.5" customHeight="1" x14ac:dyDescent="0.25">
      <c r="A42" s="138"/>
      <c r="B42" s="129"/>
      <c r="C42" s="129" t="s">
        <v>143</v>
      </c>
      <c r="D42" s="130"/>
      <c r="E42" s="130"/>
      <c r="F42" s="131"/>
      <c r="G42" s="131"/>
      <c r="H42" s="132"/>
      <c r="I42" s="132"/>
      <c r="J42" s="154"/>
      <c r="K42" s="134">
        <v>2789016</v>
      </c>
    </row>
    <row r="43" spans="1:12" ht="16.5" customHeight="1" x14ac:dyDescent="0.25">
      <c r="A43" s="138"/>
      <c r="B43" s="120" t="s">
        <v>144</v>
      </c>
      <c r="C43" s="124"/>
      <c r="D43" s="124"/>
      <c r="E43" s="124"/>
      <c r="F43" s="125"/>
      <c r="G43" s="125"/>
      <c r="H43" s="126"/>
      <c r="I43" s="126"/>
      <c r="J43" s="146">
        <f>SUM(J39:J42)</f>
        <v>2789016</v>
      </c>
      <c r="K43" s="146">
        <f>SUM(K39:K42)</f>
        <v>2789016</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v>2789016</v>
      </c>
      <c r="K47" s="154"/>
    </row>
    <row r="48" spans="1:12" ht="16.5" customHeight="1" x14ac:dyDescent="0.25">
      <c r="A48" s="142" t="s">
        <v>132</v>
      </c>
      <c r="B48" s="129"/>
      <c r="C48" s="129" t="s">
        <v>133</v>
      </c>
      <c r="D48" s="130"/>
      <c r="E48" s="130"/>
      <c r="F48" s="131"/>
      <c r="G48" s="131"/>
      <c r="H48" s="132"/>
      <c r="I48" s="132"/>
      <c r="J48" s="154"/>
      <c r="K48" s="134">
        <v>2789016</v>
      </c>
    </row>
    <row r="49" spans="1:16" ht="16.5" customHeight="1" x14ac:dyDescent="0.25">
      <c r="A49" s="138"/>
      <c r="C49" s="124"/>
      <c r="D49" s="124"/>
      <c r="E49" s="124"/>
      <c r="F49" s="125"/>
      <c r="G49" s="125"/>
      <c r="H49" s="126"/>
      <c r="I49" s="126"/>
      <c r="J49" s="146">
        <f>SUM(J47:J48)</f>
        <v>2789016</v>
      </c>
      <c r="K49" s="146">
        <f>SUM(K47:K48)</f>
        <v>2789016</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174313</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174313</v>
      </c>
    </row>
    <row r="59" spans="1:16" ht="16.5" customHeight="1" x14ac:dyDescent="0.25">
      <c r="A59" s="138"/>
      <c r="C59" s="124"/>
      <c r="D59" s="124"/>
      <c r="E59" s="124"/>
      <c r="F59" s="125"/>
      <c r="G59" s="125"/>
      <c r="H59" s="126"/>
      <c r="I59" s="126"/>
      <c r="J59" s="146">
        <f>SUM(J55:J58)</f>
        <v>174313</v>
      </c>
      <c r="K59" s="146">
        <f>SUM(K55:K58)</f>
        <v>174313</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47897</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18362</v>
      </c>
      <c r="K63" s="158"/>
    </row>
    <row r="64" spans="1:16" ht="16.5" customHeight="1" x14ac:dyDescent="0.25">
      <c r="A64" s="138"/>
      <c r="B64" s="129"/>
      <c r="C64" s="129" t="str">
        <f>IF($F$7="Proprietary","Cr: Acct 0870 - SERVICES &amp; CHARGES (MG ADJ)",VLOOKUP($F$9,'[3]Drop Down Menus'!$F$2:$G$10,2,FALSE))</f>
        <v>Cr: Acct 0825 - BUS, CONSUMER SERV, HOUSING</v>
      </c>
      <c r="D64" s="130"/>
      <c r="E64" s="130"/>
      <c r="F64" s="131"/>
      <c r="G64" s="131"/>
      <c r="H64" s="132"/>
      <c r="I64" s="132"/>
      <c r="J64" s="158"/>
      <c r="K64" s="134">
        <v>66259</v>
      </c>
    </row>
    <row r="65" spans="1:12" ht="16.5" customHeight="1" x14ac:dyDescent="0.25">
      <c r="A65" s="138"/>
      <c r="C65" s="124"/>
      <c r="D65" s="124"/>
      <c r="E65" s="124"/>
      <c r="F65" s="125"/>
      <c r="G65" s="125"/>
      <c r="H65" s="126"/>
      <c r="I65" s="126"/>
      <c r="J65" s="146">
        <f>SUM(J62:J64)</f>
        <v>66259</v>
      </c>
      <c r="K65" s="146">
        <f>SUM(K62:K64)</f>
        <v>66259</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47897</v>
      </c>
      <c r="K68" s="154"/>
    </row>
    <row r="69" spans="1:12" ht="16.5" customHeight="1" x14ac:dyDescent="0.25">
      <c r="A69" s="138"/>
      <c r="B69" s="129"/>
      <c r="C69" s="129" t="s">
        <v>155</v>
      </c>
      <c r="D69" s="130"/>
      <c r="E69" s="130"/>
      <c r="F69" s="131"/>
      <c r="G69" s="131"/>
      <c r="H69" s="132"/>
      <c r="I69" s="132"/>
      <c r="J69" s="154"/>
      <c r="K69" s="134">
        <v>47897</v>
      </c>
      <c r="L69" s="100" t="str">
        <f>IF($J$62=$K$69,"","&lt;- Accts 0848 must agree")</f>
        <v/>
      </c>
    </row>
    <row r="70" spans="1:12" ht="16.5" customHeight="1" x14ac:dyDescent="0.25">
      <c r="A70" s="138"/>
      <c r="C70" s="124"/>
      <c r="D70" s="124"/>
      <c r="E70" s="124"/>
      <c r="F70" s="125"/>
      <c r="G70" s="125"/>
      <c r="H70" s="126"/>
      <c r="I70" s="126"/>
      <c r="J70" s="146">
        <f>SUM(J68:J69)</f>
        <v>47897</v>
      </c>
      <c r="K70" s="146">
        <f>SUM(K68:K69)</f>
        <v>47897</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v>678608</v>
      </c>
      <c r="K75" s="154"/>
    </row>
    <row r="76" spans="1:12" ht="16.5" customHeight="1" x14ac:dyDescent="0.25">
      <c r="A76" s="138"/>
      <c r="B76" s="129"/>
      <c r="C76" s="129" t="s">
        <v>158</v>
      </c>
      <c r="D76" s="130"/>
      <c r="E76" s="130"/>
      <c r="F76" s="131"/>
      <c r="G76" s="131"/>
      <c r="H76" s="132"/>
      <c r="I76" s="132"/>
      <c r="J76" s="154"/>
      <c r="K76" s="134">
        <v>678608</v>
      </c>
    </row>
    <row r="77" spans="1:12" ht="16.5" customHeight="1" x14ac:dyDescent="0.2">
      <c r="A77" s="138"/>
      <c r="B77" s="187" t="s">
        <v>159</v>
      </c>
      <c r="C77" s="187"/>
      <c r="D77" s="187"/>
      <c r="E77" s="187"/>
      <c r="F77" s="187"/>
      <c r="G77" s="187"/>
      <c r="H77" s="187"/>
      <c r="I77" s="187"/>
      <c r="J77" s="146">
        <f>SUM(J75:J76)</f>
        <v>678608</v>
      </c>
      <c r="K77" s="146">
        <f>SUM(K75:K76)</f>
        <v>678608</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row>
    <row r="91" spans="1:16" ht="16.5" customHeight="1" x14ac:dyDescent="0.25">
      <c r="B91" s="120" t="s">
        <v>169</v>
      </c>
      <c r="H91" s="100"/>
      <c r="J91" s="161">
        <f>SUM(J85:J90)</f>
        <v>0</v>
      </c>
      <c r="K91" s="161">
        <f>SUM(K85:K90)</f>
        <v>0</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ADJ)",VLOOKUP($F$9,'[3]Drop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ADJ)",VLOOKUP($F$9,'[3]Drop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2789016</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-174313</v>
      </c>
    </row>
    <row r="128" spans="1:12" ht="16.5" customHeight="1" x14ac:dyDescent="0.25">
      <c r="D128" s="130" t="s">
        <v>181</v>
      </c>
      <c r="H128" s="100"/>
      <c r="K128" s="175">
        <f>-K23-K48+J68+J75+J96-K113</f>
        <v>-2062511</v>
      </c>
    </row>
    <row r="129" spans="4:11" ht="16.5" customHeight="1" x14ac:dyDescent="0.25">
      <c r="D129" s="130" t="s">
        <v>182</v>
      </c>
      <c r="H129" s="100"/>
      <c r="K129" s="175">
        <f>-K76</f>
        <v>-678608</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197" priority="12">
      <formula>$J$62&lt;&gt;$K$69</formula>
    </cfRule>
  </conditionalFormatting>
  <conditionalFormatting sqref="L26:P26">
    <cfRule type="expression" dxfId="196" priority="1">
      <formula>$J$26&lt;&gt;$K$26</formula>
    </cfRule>
  </conditionalFormatting>
  <conditionalFormatting sqref="L36:P36">
    <cfRule type="expression" dxfId="195" priority="2">
      <formula>$J$36&lt;&gt;$K$36</formula>
    </cfRule>
  </conditionalFormatting>
  <conditionalFormatting sqref="L43:P43">
    <cfRule type="expression" dxfId="194" priority="3">
      <formula>$J$43&lt;&gt;$K$43</formula>
    </cfRule>
  </conditionalFormatting>
  <conditionalFormatting sqref="L49:P49">
    <cfRule type="expression" dxfId="193" priority="4">
      <formula>$J$49&lt;&gt;$K$49</formula>
    </cfRule>
  </conditionalFormatting>
  <conditionalFormatting sqref="L59:P59">
    <cfRule type="expression" dxfId="192" priority="5">
      <formula>$J$59&lt;&gt;$K$59</formula>
    </cfRule>
  </conditionalFormatting>
  <conditionalFormatting sqref="L65:P65">
    <cfRule type="expression" dxfId="191" priority="6">
      <formula>$J$65&lt;&gt;$K$65</formula>
    </cfRule>
  </conditionalFormatting>
  <conditionalFormatting sqref="L70:P70">
    <cfRule type="expression" dxfId="190" priority="7">
      <formula>$J$70&lt;&gt;$K$70</formula>
    </cfRule>
  </conditionalFormatting>
  <conditionalFormatting sqref="L77:P77">
    <cfRule type="expression" dxfId="189" priority="8">
      <formula>$J$77&lt;&gt;$K$77</formula>
    </cfRule>
  </conditionalFormatting>
  <conditionalFormatting sqref="L91:P91">
    <cfRule type="expression" dxfId="188" priority="9">
      <formula>$J$91&lt;&gt;$K$91</formula>
    </cfRule>
  </conditionalFormatting>
  <conditionalFormatting sqref="L105:P105">
    <cfRule type="expression" dxfId="187" priority="10">
      <formula>$J$105&lt;&gt;$K$105</formula>
    </cfRule>
  </conditionalFormatting>
  <conditionalFormatting sqref="L114:P114">
    <cfRule type="expression" dxfId="186" priority="11">
      <formula>$J$114&lt;&gt;$K$114</formula>
    </cfRule>
  </conditionalFormatting>
  <dataValidations count="3">
    <dataValidation type="textLength" operator="equal" allowBlank="1" showInputMessage="1" showErrorMessage="1" errorTitle="4-Digit Org Code" error="Enter the Org Code/BU as 4 digits." sqref="F5" xr:uid="{B8B29EA1-D0C6-476B-B05C-BC7470E1E97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1D11149-0C11-4CB5-A976-48CD32449967}">
      <formula1>0</formula1>
    </dataValidation>
    <dataValidation operator="lessThan" allowBlank="1" showInputMessage="1" showErrorMessage="1" sqref="A3:A8" xr:uid="{BD415223-686C-4331-A47D-83391431DDB7}"/>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C6648-D27A-4A8A-AB0F-C26414301AAF}">
  <sheetPr>
    <tabColor theme="9" tint="0.59999389629810485"/>
    <pageSetUpPr fitToPage="1"/>
  </sheetPr>
  <dimension ref="A1:T193"/>
  <sheetViews>
    <sheetView topLeftCell="A87" zoomScale="70" zoomScaleNormal="70" workbookViewId="0">
      <selection activeCell="N23" sqref="N23"/>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305</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Fund",VLOOKUP(F5,[4]qryIndex02a!$A$2:$K$654,4,FALSE)),"Unidentified")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1346693</v>
      </c>
      <c r="M17" s="134">
        <v>1346693</v>
      </c>
      <c r="P17" s="134">
        <v>1346693</v>
      </c>
      <c r="Q17" s="135"/>
      <c r="S17" s="136">
        <f>P17-M17</f>
        <v>0</v>
      </c>
      <c r="T17" s="137" t="s">
        <v>123</v>
      </c>
    </row>
    <row r="18" spans="1:20" ht="16.5" customHeight="1" x14ac:dyDescent="0.25">
      <c r="A18" s="138"/>
      <c r="B18" s="129" t="s">
        <v>126</v>
      </c>
      <c r="C18" s="129"/>
      <c r="D18" s="129"/>
      <c r="E18" s="130"/>
      <c r="F18" s="131"/>
      <c r="G18" s="131"/>
      <c r="H18" s="132"/>
      <c r="I18" s="132"/>
      <c r="J18" s="133">
        <f>P18</f>
        <v>7839</v>
      </c>
      <c r="M18" s="134">
        <v>7839</v>
      </c>
      <c r="P18" s="139">
        <f>IF(SUM($Q$20:$Q$23)&gt;SUM($P$15:$P$17),SUM($Q$20:$Q$23)-SUM($P$15:$P$17),0)</f>
        <v>7839</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979414</v>
      </c>
      <c r="N22" s="134">
        <v>979414</v>
      </c>
      <c r="P22" s="135"/>
      <c r="Q22" s="134">
        <v>979414</v>
      </c>
      <c r="S22" s="136">
        <f t="shared" si="0"/>
        <v>0</v>
      </c>
      <c r="T22" s="140" t="s">
        <v>127</v>
      </c>
    </row>
    <row r="23" spans="1:20" ht="16.5" customHeight="1" x14ac:dyDescent="0.25">
      <c r="A23" s="142" t="s">
        <v>132</v>
      </c>
      <c r="B23" s="129"/>
      <c r="C23" s="129" t="s">
        <v>133</v>
      </c>
      <c r="D23" s="129"/>
      <c r="E23" s="130"/>
      <c r="F23" s="131"/>
      <c r="G23" s="131"/>
      <c r="H23" s="132"/>
      <c r="I23" s="132"/>
      <c r="J23" s="141"/>
      <c r="K23" s="133">
        <f>N23</f>
        <v>375118</v>
      </c>
      <c r="N23" s="134">
        <v>375118</v>
      </c>
      <c r="P23" s="135"/>
      <c r="Q23" s="134">
        <v>375118</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1354532</v>
      </c>
      <c r="K26" s="146">
        <f>SUM(K15:K25)</f>
        <v>1354532</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ADJ)",VLOOKUP($F$9,'[4]Drop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367279</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367279</v>
      </c>
    </row>
    <row r="59" spans="1:16" ht="16.5" customHeight="1" x14ac:dyDescent="0.25">
      <c r="A59" s="138"/>
      <c r="C59" s="124"/>
      <c r="D59" s="124"/>
      <c r="E59" s="124"/>
      <c r="F59" s="125"/>
      <c r="G59" s="125"/>
      <c r="H59" s="126"/>
      <c r="I59" s="126"/>
      <c r="J59" s="146">
        <f>SUM(J55:J58)</f>
        <v>367279</v>
      </c>
      <c r="K59" s="146">
        <f>SUM(K55:K58)</f>
        <v>367279</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375118</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314</v>
      </c>
      <c r="K63" s="158"/>
    </row>
    <row r="64" spans="1:16" ht="16.5" customHeight="1" x14ac:dyDescent="0.25">
      <c r="A64" s="138"/>
      <c r="B64" s="129"/>
      <c r="C64" s="129" t="str">
        <f>IF($F$7="Proprietary","Cr: Acct 0870 - SERVICES &amp; CHARGES (MG ADJ)",VLOOKUP($F$9,'[4]Drop Down Menus'!$F$2:$G$10,2,FALSE))</f>
        <v>Cr: Acct 0825 - BUS, CONSUMER SERV, HOUSING</v>
      </c>
      <c r="D64" s="130"/>
      <c r="E64" s="130"/>
      <c r="F64" s="131"/>
      <c r="G64" s="131"/>
      <c r="H64" s="132"/>
      <c r="I64" s="132"/>
      <c r="J64" s="158"/>
      <c r="K64" s="134">
        <v>375432</v>
      </c>
    </row>
    <row r="65" spans="1:12" ht="16.5" customHeight="1" x14ac:dyDescent="0.25">
      <c r="A65" s="138"/>
      <c r="C65" s="124"/>
      <c r="D65" s="124"/>
      <c r="E65" s="124"/>
      <c r="F65" s="125"/>
      <c r="G65" s="125"/>
      <c r="H65" s="126"/>
      <c r="I65" s="126"/>
      <c r="J65" s="146">
        <f>SUM(J62:J64)</f>
        <v>375432</v>
      </c>
      <c r="K65" s="146">
        <f>SUM(K62:K64)</f>
        <v>375432</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375118</v>
      </c>
      <c r="K68" s="154"/>
    </row>
    <row r="69" spans="1:12" ht="16.5" customHeight="1" x14ac:dyDescent="0.25">
      <c r="A69" s="138"/>
      <c r="B69" s="129"/>
      <c r="C69" s="129" t="s">
        <v>155</v>
      </c>
      <c r="D69" s="130"/>
      <c r="E69" s="130"/>
      <c r="F69" s="131"/>
      <c r="G69" s="131"/>
      <c r="H69" s="132"/>
      <c r="I69" s="132"/>
      <c r="J69" s="154"/>
      <c r="K69" s="134">
        <v>375118</v>
      </c>
      <c r="L69" s="100" t="str">
        <f>IF($J$62=$K$69,"","&lt;- Accts 0848 must agree")</f>
        <v/>
      </c>
    </row>
    <row r="70" spans="1:12" ht="16.5" customHeight="1" x14ac:dyDescent="0.25">
      <c r="A70" s="138"/>
      <c r="C70" s="124"/>
      <c r="D70" s="124"/>
      <c r="E70" s="124"/>
      <c r="F70" s="125"/>
      <c r="G70" s="125"/>
      <c r="H70" s="126"/>
      <c r="I70" s="126"/>
      <c r="J70" s="146">
        <f>SUM(J68:J69)</f>
        <v>375118</v>
      </c>
      <c r="K70" s="146">
        <f>SUM(K68:K69)</f>
        <v>375118</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c r="K75" s="154"/>
    </row>
    <row r="76" spans="1:12" ht="16.5" customHeight="1" x14ac:dyDescent="0.25">
      <c r="A76" s="138"/>
      <c r="B76" s="129"/>
      <c r="C76" s="129" t="s">
        <v>158</v>
      </c>
      <c r="D76" s="130"/>
      <c r="E76" s="130"/>
      <c r="F76" s="131"/>
      <c r="G76" s="131"/>
      <c r="H76" s="132"/>
      <c r="I76" s="132"/>
      <c r="J76" s="154"/>
      <c r="K76" s="134"/>
    </row>
    <row r="77" spans="1:12" ht="16.5" customHeight="1" x14ac:dyDescent="0.2">
      <c r="A77" s="138"/>
      <c r="B77" s="187" t="s">
        <v>159</v>
      </c>
      <c r="C77" s="187"/>
      <c r="D77" s="187"/>
      <c r="E77" s="187"/>
      <c r="F77" s="187"/>
      <c r="G77" s="187"/>
      <c r="H77" s="187"/>
      <c r="I77" s="187"/>
      <c r="J77" s="146">
        <f>SUM(J75:J76)</f>
        <v>0</v>
      </c>
      <c r="K77" s="146">
        <f>SUM(K75:K76)</f>
        <v>0</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v>1346693</v>
      </c>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v>1346693</v>
      </c>
    </row>
    <row r="91" spans="1:16" ht="16.5" customHeight="1" x14ac:dyDescent="0.25">
      <c r="B91" s="120" t="s">
        <v>169</v>
      </c>
      <c r="H91" s="100"/>
      <c r="J91" s="161">
        <f>SUM(J85:J90)</f>
        <v>1346693</v>
      </c>
      <c r="K91" s="161">
        <f>SUM(K85:K90)</f>
        <v>1346693</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ADJ)",VLOOKUP($F$9,'[4]Drop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ADJ)",VLOOKUP($F$9,'[4]Drop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0</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0</v>
      </c>
    </row>
    <row r="128" spans="1:12" ht="16.5" customHeight="1" x14ac:dyDescent="0.25">
      <c r="D128" s="130" t="s">
        <v>181</v>
      </c>
      <c r="H128" s="100"/>
      <c r="K128" s="175">
        <f>-K23-K48+J68+J75+J96-K113</f>
        <v>0</v>
      </c>
    </row>
    <row r="129" spans="4:11" ht="16.5" customHeight="1" x14ac:dyDescent="0.25">
      <c r="D129" s="130" t="s">
        <v>182</v>
      </c>
      <c r="H129" s="100"/>
      <c r="K129" s="175">
        <f>-K76</f>
        <v>0</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85" priority="12">
      <formula>$J$62&lt;&gt;$K$69</formula>
    </cfRule>
  </conditionalFormatting>
  <conditionalFormatting sqref="L26:P26">
    <cfRule type="expression" dxfId="184" priority="1">
      <formula>$J$26&lt;&gt;$K$26</formula>
    </cfRule>
  </conditionalFormatting>
  <conditionalFormatting sqref="L36:P36">
    <cfRule type="expression" dxfId="183" priority="2">
      <formula>$J$36&lt;&gt;$K$36</formula>
    </cfRule>
  </conditionalFormatting>
  <conditionalFormatting sqref="L43:P43">
    <cfRule type="expression" dxfId="182" priority="3">
      <formula>$J$43&lt;&gt;$K$43</formula>
    </cfRule>
  </conditionalFormatting>
  <conditionalFormatting sqref="L49:P49">
    <cfRule type="expression" dxfId="181" priority="4">
      <formula>$J$49&lt;&gt;$K$49</formula>
    </cfRule>
  </conditionalFormatting>
  <conditionalFormatting sqref="L59:P59">
    <cfRule type="expression" dxfId="180" priority="5">
      <formula>$J$59&lt;&gt;$K$59</formula>
    </cfRule>
  </conditionalFormatting>
  <conditionalFormatting sqref="L65:P65">
    <cfRule type="expression" dxfId="179" priority="6">
      <formula>$J$65&lt;&gt;$K$65</formula>
    </cfRule>
  </conditionalFormatting>
  <conditionalFormatting sqref="L70:P70">
    <cfRule type="expression" dxfId="178" priority="7">
      <formula>$J$70&lt;&gt;$K$70</formula>
    </cfRule>
  </conditionalFormatting>
  <conditionalFormatting sqref="L77:P77">
    <cfRule type="expression" dxfId="177" priority="8">
      <formula>$J$77&lt;&gt;$K$77</formula>
    </cfRule>
  </conditionalFormatting>
  <conditionalFormatting sqref="L91:P91">
    <cfRule type="expression" dxfId="176" priority="9">
      <formula>$J$91&lt;&gt;$K$91</formula>
    </cfRule>
  </conditionalFormatting>
  <conditionalFormatting sqref="L105:P105">
    <cfRule type="expression" dxfId="175" priority="10">
      <formula>$J$105&lt;&gt;$K$105</formula>
    </cfRule>
  </conditionalFormatting>
  <conditionalFormatting sqref="L114:P114">
    <cfRule type="expression" dxfId="174" priority="11">
      <formula>$J$114&lt;&gt;$K$114</formula>
    </cfRule>
  </conditionalFormatting>
  <dataValidations count="3">
    <dataValidation type="textLength" operator="equal" allowBlank="1" showInputMessage="1" showErrorMessage="1" errorTitle="4-Digit Org Code" error="Enter the Org Code/BU as 4 digits." sqref="F5" xr:uid="{90CB6595-605F-4694-912C-B95EC7AF3CF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838ED09-055F-47C2-826C-AEE9C8E339C3}">
      <formula1>0</formula1>
    </dataValidation>
    <dataValidation operator="lessThan" allowBlank="1" showInputMessage="1" showErrorMessage="1" sqref="A3:A8" xr:uid="{734FDD4B-1C07-4DD7-8162-84C0AC567A4B}"/>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ADA6-79FB-4D64-8A45-93FD1DB3ED66}">
  <sheetPr>
    <tabColor theme="9" tint="0.59999389629810485"/>
    <pageSetUpPr fitToPage="1"/>
  </sheetPr>
  <dimension ref="A1:T193"/>
  <sheetViews>
    <sheetView topLeftCell="A89" zoomScale="70" zoomScaleNormal="70" workbookViewId="0">
      <selection activeCell="J75" sqref="J75"/>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376</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Fund",VLOOKUP(F5,[5]qryIndex02a!$A$2:$K$654,4,FALSE)),"Unidentified")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510190</v>
      </c>
      <c r="M17" s="134">
        <v>510190</v>
      </c>
      <c r="P17" s="134">
        <v>510190</v>
      </c>
      <c r="Q17" s="135"/>
      <c r="S17" s="136">
        <f>P17-M17</f>
        <v>0</v>
      </c>
      <c r="T17" s="137" t="s">
        <v>123</v>
      </c>
    </row>
    <row r="18" spans="1:20" ht="16.5" customHeight="1" x14ac:dyDescent="0.25">
      <c r="A18" s="138"/>
      <c r="B18" s="129" t="s">
        <v>126</v>
      </c>
      <c r="C18" s="129"/>
      <c r="D18" s="129"/>
      <c r="E18" s="130"/>
      <c r="F18" s="131"/>
      <c r="G18" s="131"/>
      <c r="H18" s="132"/>
      <c r="I18" s="132"/>
      <c r="J18" s="133">
        <f>P18</f>
        <v>5494</v>
      </c>
      <c r="M18" s="134">
        <v>5494</v>
      </c>
      <c r="P18" s="139">
        <f>IF(SUM($Q$20:$Q$23)&gt;SUM($P$15:$P$17),SUM($Q$20:$Q$23)-SUM($P$15:$P$17),0)</f>
        <v>5494</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266186</v>
      </c>
      <c r="N22" s="134">
        <v>266186</v>
      </c>
      <c r="P22" s="135"/>
      <c r="Q22" s="134">
        <v>266186</v>
      </c>
      <c r="S22" s="136">
        <f t="shared" si="0"/>
        <v>0</v>
      </c>
      <c r="T22" s="140" t="s">
        <v>127</v>
      </c>
    </row>
    <row r="23" spans="1:20" ht="16.5" customHeight="1" x14ac:dyDescent="0.25">
      <c r="A23" s="142" t="s">
        <v>132</v>
      </c>
      <c r="B23" s="129"/>
      <c r="C23" s="129" t="s">
        <v>133</v>
      </c>
      <c r="D23" s="129"/>
      <c r="E23" s="130"/>
      <c r="F23" s="131"/>
      <c r="G23" s="131"/>
      <c r="H23" s="132"/>
      <c r="I23" s="132"/>
      <c r="J23" s="141"/>
      <c r="K23" s="133">
        <f>N23</f>
        <v>249498</v>
      </c>
      <c r="N23" s="134">
        <v>249498</v>
      </c>
      <c r="P23" s="135"/>
      <c r="Q23" s="134">
        <v>249498</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515684</v>
      </c>
      <c r="K26" s="146">
        <f>SUM(K15:K25)</f>
        <v>515684</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ADJ)",VLOOKUP($F$9,'[5]Drop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133093</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133093</v>
      </c>
    </row>
    <row r="59" spans="1:16" ht="16.5" customHeight="1" x14ac:dyDescent="0.25">
      <c r="A59" s="138"/>
      <c r="C59" s="124"/>
      <c r="D59" s="124"/>
      <c r="E59" s="124"/>
      <c r="F59" s="125"/>
      <c r="G59" s="125"/>
      <c r="H59" s="126"/>
      <c r="I59" s="126"/>
      <c r="J59" s="146">
        <f>SUM(J55:J58)</f>
        <v>133093</v>
      </c>
      <c r="K59" s="146">
        <f>SUM(K55:K58)</f>
        <v>133093</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134921</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376</v>
      </c>
      <c r="K63" s="158"/>
    </row>
    <row r="64" spans="1:16" ht="16.5" customHeight="1" x14ac:dyDescent="0.25">
      <c r="A64" s="138"/>
      <c r="B64" s="129"/>
      <c r="C64" s="129" t="str">
        <f>IF($F$7="Proprietary","Cr: Acct 0870 - SERVICES &amp; CHARGES (MG ADJ)",VLOOKUP($F$9,'[5]Drop Down Menus'!$F$2:$G$10,2,FALSE))</f>
        <v>Cr: Acct 0825 - BUS, CONSUMER SERV, HOUSING</v>
      </c>
      <c r="D64" s="130"/>
      <c r="E64" s="130"/>
      <c r="F64" s="131"/>
      <c r="G64" s="131"/>
      <c r="H64" s="132"/>
      <c r="I64" s="132"/>
      <c r="J64" s="158"/>
      <c r="K64" s="134">
        <v>135297</v>
      </c>
    </row>
    <row r="65" spans="1:12" ht="16.5" customHeight="1" x14ac:dyDescent="0.25">
      <c r="A65" s="138"/>
      <c r="C65" s="124"/>
      <c r="D65" s="124"/>
      <c r="E65" s="124"/>
      <c r="F65" s="125"/>
      <c r="G65" s="125"/>
      <c r="H65" s="126"/>
      <c r="I65" s="126"/>
      <c r="J65" s="146">
        <f>SUM(J62:J64)</f>
        <v>135297</v>
      </c>
      <c r="K65" s="146">
        <f>SUM(K62:K64)</f>
        <v>135297</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134921</v>
      </c>
      <c r="K68" s="154"/>
    </row>
    <row r="69" spans="1:12" ht="16.5" customHeight="1" x14ac:dyDescent="0.25">
      <c r="A69" s="138"/>
      <c r="B69" s="129"/>
      <c r="C69" s="129" t="s">
        <v>155</v>
      </c>
      <c r="D69" s="130"/>
      <c r="E69" s="130"/>
      <c r="F69" s="131"/>
      <c r="G69" s="131"/>
      <c r="H69" s="132"/>
      <c r="I69" s="132"/>
      <c r="J69" s="154"/>
      <c r="K69" s="134">
        <v>134921</v>
      </c>
      <c r="L69" s="100" t="str">
        <f>IF($J$62=$K$69,"","&lt;- Accts 0848 must agree")</f>
        <v/>
      </c>
    </row>
    <row r="70" spans="1:12" ht="16.5" customHeight="1" x14ac:dyDescent="0.25">
      <c r="A70" s="138"/>
      <c r="C70" s="124"/>
      <c r="D70" s="124"/>
      <c r="E70" s="124"/>
      <c r="F70" s="125"/>
      <c r="G70" s="125"/>
      <c r="H70" s="126"/>
      <c r="I70" s="126"/>
      <c r="J70" s="146">
        <f>SUM(J68:J69)</f>
        <v>134921</v>
      </c>
      <c r="K70" s="146">
        <f>SUM(K68:K69)</f>
        <v>134921</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v>114577</v>
      </c>
      <c r="K75" s="154"/>
    </row>
    <row r="76" spans="1:12" ht="16.5" customHeight="1" x14ac:dyDescent="0.25">
      <c r="A76" s="138"/>
      <c r="B76" s="129"/>
      <c r="C76" s="129" t="s">
        <v>158</v>
      </c>
      <c r="D76" s="130"/>
      <c r="E76" s="130"/>
      <c r="F76" s="131"/>
      <c r="G76" s="131"/>
      <c r="H76" s="132"/>
      <c r="I76" s="132"/>
      <c r="J76" s="154"/>
      <c r="K76" s="134">
        <v>114577</v>
      </c>
    </row>
    <row r="77" spans="1:12" ht="16.5" customHeight="1" x14ac:dyDescent="0.2">
      <c r="A77" s="138"/>
      <c r="B77" s="187" t="s">
        <v>159</v>
      </c>
      <c r="C77" s="187"/>
      <c r="D77" s="187"/>
      <c r="E77" s="187"/>
      <c r="F77" s="187"/>
      <c r="G77" s="187"/>
      <c r="H77" s="187"/>
      <c r="I77" s="187"/>
      <c r="J77" s="146">
        <f>SUM(J75:J76)</f>
        <v>114577</v>
      </c>
      <c r="K77" s="146">
        <f>SUM(K75:K76)</f>
        <v>114577</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row>
    <row r="91" spans="1:16" ht="16.5" customHeight="1" x14ac:dyDescent="0.25">
      <c r="B91" s="120" t="s">
        <v>169</v>
      </c>
      <c r="H91" s="100"/>
      <c r="J91" s="161">
        <f>SUM(J85:J90)</f>
        <v>0</v>
      </c>
      <c r="K91" s="161">
        <f>SUM(K85:K90)</f>
        <v>0</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ADJ)",VLOOKUP($F$9,'[5]Drop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ADJ)",VLOOKUP($F$9,'[5]Drop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510190</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-399279</v>
      </c>
    </row>
    <row r="128" spans="1:12" ht="16.5" customHeight="1" x14ac:dyDescent="0.25">
      <c r="D128" s="130" t="s">
        <v>181</v>
      </c>
      <c r="H128" s="100"/>
      <c r="K128" s="175">
        <f>-K23-K48+J68+J75+J96-K113</f>
        <v>0</v>
      </c>
    </row>
    <row r="129" spans="4:11" ht="16.5" customHeight="1" x14ac:dyDescent="0.25">
      <c r="D129" s="130" t="s">
        <v>182</v>
      </c>
      <c r="H129" s="100"/>
      <c r="K129" s="175">
        <f>-K76</f>
        <v>-114577</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73" priority="12">
      <formula>$J$62&lt;&gt;$K$69</formula>
    </cfRule>
  </conditionalFormatting>
  <conditionalFormatting sqref="L26:P26">
    <cfRule type="expression" dxfId="172" priority="1">
      <formula>$J$26&lt;&gt;$K$26</formula>
    </cfRule>
  </conditionalFormatting>
  <conditionalFormatting sqref="L36:P36">
    <cfRule type="expression" dxfId="171" priority="2">
      <formula>$J$36&lt;&gt;$K$36</formula>
    </cfRule>
  </conditionalFormatting>
  <conditionalFormatting sqref="L43:P43">
    <cfRule type="expression" dxfId="170" priority="3">
      <formula>$J$43&lt;&gt;$K$43</formula>
    </cfRule>
  </conditionalFormatting>
  <conditionalFormatting sqref="L49:P49">
    <cfRule type="expression" dxfId="169" priority="4">
      <formula>$J$49&lt;&gt;$K$49</formula>
    </cfRule>
  </conditionalFormatting>
  <conditionalFormatting sqref="L59:P59">
    <cfRule type="expression" dxfId="168" priority="5">
      <formula>$J$59&lt;&gt;$K$59</formula>
    </cfRule>
  </conditionalFormatting>
  <conditionalFormatting sqref="L65:P65">
    <cfRule type="expression" dxfId="167" priority="6">
      <formula>$J$65&lt;&gt;$K$65</formula>
    </cfRule>
  </conditionalFormatting>
  <conditionalFormatting sqref="L70:P70">
    <cfRule type="expression" dxfId="166" priority="7">
      <formula>$J$70&lt;&gt;$K$70</formula>
    </cfRule>
  </conditionalFormatting>
  <conditionalFormatting sqref="L77:P77">
    <cfRule type="expression" dxfId="165" priority="8">
      <formula>$J$77&lt;&gt;$K$77</formula>
    </cfRule>
  </conditionalFormatting>
  <conditionalFormatting sqref="L91:P91">
    <cfRule type="expression" dxfId="164" priority="9">
      <formula>$J$91&lt;&gt;$K$91</formula>
    </cfRule>
  </conditionalFormatting>
  <conditionalFormatting sqref="L105:P105">
    <cfRule type="expression" dxfId="163" priority="10">
      <formula>$J$105&lt;&gt;$K$105</formula>
    </cfRule>
  </conditionalFormatting>
  <conditionalFormatting sqref="L114:P114">
    <cfRule type="expression" dxfId="162" priority="11">
      <formula>$J$114&lt;&gt;$K$114</formula>
    </cfRule>
  </conditionalFormatting>
  <dataValidations count="3">
    <dataValidation type="textLength" operator="equal" allowBlank="1" showInputMessage="1" showErrorMessage="1" errorTitle="4-Digit Org Code" error="Enter the Org Code/BU as 4 digits." sqref="F5" xr:uid="{A43385F7-59C1-48BB-97A6-0A8395E5E5A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B43D565-38D4-4C12-BF88-13BB426F4E5B}">
      <formula1>0</formula1>
    </dataValidation>
    <dataValidation operator="lessThan" allowBlank="1" showInputMessage="1" showErrorMessage="1" sqref="A3:A8" xr:uid="{77F9B293-7BA2-43F9-A0E7-AF010F6B9B18}"/>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5D36-5B26-4B58-9142-5663E908BD77}">
  <sheetPr>
    <tabColor theme="9" tint="0.59999389629810485"/>
    <pageSetUpPr fitToPage="1"/>
  </sheetPr>
  <dimension ref="A1:T193"/>
  <sheetViews>
    <sheetView topLeftCell="A17" zoomScale="80" zoomScaleNormal="80" workbookViewId="0">
      <selection activeCell="J33" sqref="J33"/>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421</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Fund",VLOOKUP(F5,[6]qryIndex02a!$A$2:$K$654,4,FALSE)),"Unidentified")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11507652</v>
      </c>
      <c r="M17" s="134">
        <v>11507652</v>
      </c>
      <c r="P17" s="134">
        <v>11507652</v>
      </c>
      <c r="Q17" s="135"/>
      <c r="S17" s="136">
        <f>P17-M17</f>
        <v>0</v>
      </c>
      <c r="T17" s="137" t="s">
        <v>123</v>
      </c>
    </row>
    <row r="18" spans="1:20" ht="16.5" customHeight="1" x14ac:dyDescent="0.25">
      <c r="A18" s="138"/>
      <c r="B18" s="129" t="s">
        <v>126</v>
      </c>
      <c r="C18" s="129"/>
      <c r="D18" s="129"/>
      <c r="E18" s="130"/>
      <c r="F18" s="131"/>
      <c r="G18" s="131"/>
      <c r="H18" s="132"/>
      <c r="I18" s="132"/>
      <c r="J18" s="133">
        <f>P18</f>
        <v>176118</v>
      </c>
      <c r="M18" s="134">
        <v>176118</v>
      </c>
      <c r="P18" s="139">
        <f>IF(SUM($Q$20:$Q$23)&gt;SUM($P$15:$P$17),SUM($Q$20:$Q$23)-SUM($P$15:$P$17),0)</f>
        <v>176118</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3673329</v>
      </c>
      <c r="N22" s="134">
        <v>3673329</v>
      </c>
      <c r="P22" s="135"/>
      <c r="Q22" s="134">
        <v>3673329</v>
      </c>
      <c r="S22" s="136">
        <f t="shared" si="0"/>
        <v>0</v>
      </c>
      <c r="T22" s="140" t="s">
        <v>127</v>
      </c>
    </row>
    <row r="23" spans="1:20" ht="16.5" customHeight="1" x14ac:dyDescent="0.25">
      <c r="A23" s="142" t="s">
        <v>132</v>
      </c>
      <c r="B23" s="129"/>
      <c r="C23" s="129" t="s">
        <v>133</v>
      </c>
      <c r="D23" s="129"/>
      <c r="E23" s="130"/>
      <c r="F23" s="131"/>
      <c r="G23" s="131"/>
      <c r="H23" s="132"/>
      <c r="I23" s="132"/>
      <c r="J23" s="141"/>
      <c r="K23" s="133">
        <f>N23</f>
        <v>8010441</v>
      </c>
      <c r="N23" s="134">
        <v>8010441</v>
      </c>
      <c r="P23" s="135"/>
      <c r="Q23" s="134">
        <v>8010441</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11683770</v>
      </c>
      <c r="K26" s="146">
        <f>SUM(K15:K25)</f>
        <v>11683770</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v>1840711</v>
      </c>
      <c r="K33" s="154"/>
    </row>
    <row r="34" spans="1:12" ht="16.5" customHeight="1" x14ac:dyDescent="0.25">
      <c r="A34" s="138"/>
      <c r="B34" s="129"/>
      <c r="C34" s="129" t="s">
        <v>141</v>
      </c>
      <c r="D34" s="130"/>
      <c r="E34" s="130"/>
      <c r="F34" s="131"/>
      <c r="G34" s="131"/>
      <c r="H34" s="132"/>
      <c r="I34" s="132"/>
      <c r="J34" s="154"/>
      <c r="K34" s="134">
        <v>1840711</v>
      </c>
    </row>
    <row r="35" spans="1:12" ht="16.5" customHeight="1" x14ac:dyDescent="0.25">
      <c r="A35" s="138"/>
      <c r="B35" s="129"/>
      <c r="C35" s="129" t="str">
        <f>IF($F$7="Proprietary","Cr: Acct 0870 - SERVICES &amp; CHARGES (MG ADJ)",VLOOKUP($F$9,'[6]Drop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1840711</v>
      </c>
      <c r="K36" s="146">
        <f>SUM(K33:K35)</f>
        <v>1840711</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v>1840711</v>
      </c>
      <c r="K41" s="154"/>
    </row>
    <row r="42" spans="1:12" ht="16.5" customHeight="1" x14ac:dyDescent="0.25">
      <c r="A42" s="138"/>
      <c r="B42" s="129"/>
      <c r="C42" s="129" t="s">
        <v>143</v>
      </c>
      <c r="D42" s="130"/>
      <c r="E42" s="130"/>
      <c r="F42" s="131"/>
      <c r="G42" s="131"/>
      <c r="H42" s="132"/>
      <c r="I42" s="132"/>
      <c r="J42" s="154"/>
      <c r="K42" s="134">
        <v>1840711</v>
      </c>
    </row>
    <row r="43" spans="1:12" ht="16.5" customHeight="1" x14ac:dyDescent="0.25">
      <c r="A43" s="138"/>
      <c r="B43" s="120" t="s">
        <v>144</v>
      </c>
      <c r="C43" s="124"/>
      <c r="D43" s="124"/>
      <c r="E43" s="124"/>
      <c r="F43" s="125"/>
      <c r="G43" s="125"/>
      <c r="H43" s="126"/>
      <c r="I43" s="126"/>
      <c r="J43" s="146">
        <f>SUM(J39:J42)</f>
        <v>1840711</v>
      </c>
      <c r="K43" s="146">
        <f>SUM(K39:K42)</f>
        <v>1840711</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v>1840711</v>
      </c>
      <c r="K47" s="154"/>
    </row>
    <row r="48" spans="1:12" ht="16.5" customHeight="1" x14ac:dyDescent="0.25">
      <c r="A48" s="142" t="s">
        <v>132</v>
      </c>
      <c r="B48" s="129"/>
      <c r="C48" s="129" t="s">
        <v>133</v>
      </c>
      <c r="D48" s="130"/>
      <c r="E48" s="130"/>
      <c r="F48" s="131"/>
      <c r="G48" s="131"/>
      <c r="H48" s="132"/>
      <c r="I48" s="132"/>
      <c r="J48" s="154"/>
      <c r="K48" s="134">
        <v>1840711</v>
      </c>
    </row>
    <row r="49" spans="1:16" ht="16.5" customHeight="1" x14ac:dyDescent="0.25">
      <c r="A49" s="138"/>
      <c r="C49" s="124"/>
      <c r="D49" s="124"/>
      <c r="E49" s="124"/>
      <c r="F49" s="125"/>
      <c r="G49" s="125"/>
      <c r="H49" s="126"/>
      <c r="I49" s="126"/>
      <c r="J49" s="146">
        <f>SUM(J47:J48)</f>
        <v>1840711</v>
      </c>
      <c r="K49" s="146">
        <f>SUM(K47:K48)</f>
        <v>1840711</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2814633</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2814633</v>
      </c>
    </row>
    <row r="59" spans="1:16" ht="16.5" customHeight="1" x14ac:dyDescent="0.25">
      <c r="A59" s="138"/>
      <c r="C59" s="124"/>
      <c r="D59" s="124"/>
      <c r="E59" s="124"/>
      <c r="F59" s="125"/>
      <c r="G59" s="125"/>
      <c r="H59" s="126"/>
      <c r="I59" s="126"/>
      <c r="J59" s="146">
        <f>SUM(J55:J58)</f>
        <v>2814633</v>
      </c>
      <c r="K59" s="146">
        <f>SUM(K55:K58)</f>
        <v>2814633</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2764127</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105407</v>
      </c>
      <c r="K63" s="158"/>
    </row>
    <row r="64" spans="1:16" ht="16.5" customHeight="1" x14ac:dyDescent="0.25">
      <c r="A64" s="138"/>
      <c r="B64" s="129"/>
      <c r="C64" s="129" t="str">
        <f>IF($F$7="Proprietary","Cr: Acct 0870 - SERVICES &amp; CHARGES (MG ADJ)",VLOOKUP($F$9,'[6]Drop Down Menus'!$F$2:$G$10,2,FALSE))</f>
        <v>Cr: Acct 0825 - BUS, CONSUMER SERV, HOUSING</v>
      </c>
      <c r="D64" s="130"/>
      <c r="E64" s="130"/>
      <c r="F64" s="131"/>
      <c r="G64" s="131"/>
      <c r="H64" s="132"/>
      <c r="I64" s="132"/>
      <c r="J64" s="158"/>
      <c r="K64" s="134">
        <v>2869534</v>
      </c>
    </row>
    <row r="65" spans="1:12" ht="16.5" customHeight="1" x14ac:dyDescent="0.25">
      <c r="A65" s="138"/>
      <c r="C65" s="124"/>
      <c r="D65" s="124"/>
      <c r="E65" s="124"/>
      <c r="F65" s="125"/>
      <c r="G65" s="125"/>
      <c r="H65" s="126"/>
      <c r="I65" s="126"/>
      <c r="J65" s="146">
        <f>SUM(J62:J64)</f>
        <v>2869534</v>
      </c>
      <c r="K65" s="146">
        <f>SUM(K62:K64)</f>
        <v>2869534</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2764127</v>
      </c>
      <c r="K68" s="154"/>
    </row>
    <row r="69" spans="1:12" ht="16.5" customHeight="1" x14ac:dyDescent="0.25">
      <c r="A69" s="138"/>
      <c r="B69" s="129"/>
      <c r="C69" s="129" t="s">
        <v>155</v>
      </c>
      <c r="D69" s="130"/>
      <c r="E69" s="130"/>
      <c r="F69" s="131"/>
      <c r="G69" s="131"/>
      <c r="H69" s="132"/>
      <c r="I69" s="132"/>
      <c r="J69" s="154"/>
      <c r="K69" s="134">
        <v>2764127</v>
      </c>
      <c r="L69" s="100" t="str">
        <f>IF($J$62=$K$69,"","&lt;- Accts 0848 must agree")</f>
        <v/>
      </c>
    </row>
    <row r="70" spans="1:12" ht="16.5" customHeight="1" x14ac:dyDescent="0.25">
      <c r="A70" s="138"/>
      <c r="C70" s="124"/>
      <c r="D70" s="124"/>
      <c r="E70" s="124"/>
      <c r="F70" s="125"/>
      <c r="G70" s="125"/>
      <c r="H70" s="126"/>
      <c r="I70" s="126"/>
      <c r="J70" s="146">
        <f>SUM(J68:J69)</f>
        <v>2764127</v>
      </c>
      <c r="K70" s="146">
        <f>SUM(K68:K69)</f>
        <v>2764127</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v>2700639</v>
      </c>
      <c r="K75" s="154"/>
    </row>
    <row r="76" spans="1:12" ht="16.5" customHeight="1" x14ac:dyDescent="0.25">
      <c r="A76" s="138"/>
      <c r="B76" s="129"/>
      <c r="C76" s="129" t="s">
        <v>158</v>
      </c>
      <c r="D76" s="130"/>
      <c r="E76" s="130"/>
      <c r="F76" s="131"/>
      <c r="G76" s="131"/>
      <c r="H76" s="132"/>
      <c r="I76" s="132"/>
      <c r="J76" s="154"/>
      <c r="K76" s="134">
        <v>2700639</v>
      </c>
    </row>
    <row r="77" spans="1:12" ht="16.5" customHeight="1" x14ac:dyDescent="0.2">
      <c r="A77" s="138"/>
      <c r="B77" s="187" t="s">
        <v>159</v>
      </c>
      <c r="C77" s="187"/>
      <c r="D77" s="187"/>
      <c r="E77" s="187"/>
      <c r="F77" s="187"/>
      <c r="G77" s="187"/>
      <c r="H77" s="187"/>
      <c r="I77" s="187"/>
      <c r="J77" s="146">
        <f>SUM(J75:J76)</f>
        <v>2700639</v>
      </c>
      <c r="K77" s="146">
        <f>SUM(K75:K76)</f>
        <v>2700639</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v>872242</v>
      </c>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v>872242</v>
      </c>
    </row>
    <row r="91" spans="1:16" ht="16.5" customHeight="1" x14ac:dyDescent="0.25">
      <c r="B91" s="120" t="s">
        <v>169</v>
      </c>
      <c r="H91" s="100"/>
      <c r="J91" s="161">
        <f>SUM(J85:J90)</f>
        <v>872242</v>
      </c>
      <c r="K91" s="161">
        <f>SUM(K85:K90)</f>
        <v>872242</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ADJ)",VLOOKUP($F$9,'[6]Drop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ADJ)",VLOOKUP($F$9,'[6]Drop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12476121</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-5615720</v>
      </c>
    </row>
    <row r="128" spans="1:12" ht="16.5" customHeight="1" x14ac:dyDescent="0.25">
      <c r="D128" s="130" t="s">
        <v>181</v>
      </c>
      <c r="H128" s="100"/>
      <c r="K128" s="175">
        <f>-K23-K48+J68+J75+J96-K113</f>
        <v>-4386386</v>
      </c>
    </row>
    <row r="129" spans="4:11" ht="16.5" customHeight="1" x14ac:dyDescent="0.25">
      <c r="D129" s="130" t="s">
        <v>182</v>
      </c>
      <c r="H129" s="100"/>
      <c r="K129" s="175">
        <f>-K76</f>
        <v>-2700639</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61" priority="12">
      <formula>$J$62&lt;&gt;$K$69</formula>
    </cfRule>
  </conditionalFormatting>
  <conditionalFormatting sqref="L26:P26">
    <cfRule type="expression" dxfId="160" priority="1">
      <formula>$J$26&lt;&gt;$K$26</formula>
    </cfRule>
  </conditionalFormatting>
  <conditionalFormatting sqref="L36:P36">
    <cfRule type="expression" dxfId="159" priority="2">
      <formula>$J$36&lt;&gt;$K$36</formula>
    </cfRule>
  </conditionalFormatting>
  <conditionalFormatting sqref="L43:P43">
    <cfRule type="expression" dxfId="158" priority="3">
      <formula>$J$43&lt;&gt;$K$43</formula>
    </cfRule>
  </conditionalFormatting>
  <conditionalFormatting sqref="L49:P49">
    <cfRule type="expression" dxfId="157" priority="4">
      <formula>$J$49&lt;&gt;$K$49</formula>
    </cfRule>
  </conditionalFormatting>
  <conditionalFormatting sqref="L59:P59">
    <cfRule type="expression" dxfId="156" priority="5">
      <formula>$J$59&lt;&gt;$K$59</formula>
    </cfRule>
  </conditionalFormatting>
  <conditionalFormatting sqref="L65:P65">
    <cfRule type="expression" dxfId="155" priority="6">
      <formula>$J$65&lt;&gt;$K$65</formula>
    </cfRule>
  </conditionalFormatting>
  <conditionalFormatting sqref="L70:P70">
    <cfRule type="expression" dxfId="154" priority="7">
      <formula>$J$70&lt;&gt;$K$70</formula>
    </cfRule>
  </conditionalFormatting>
  <conditionalFormatting sqref="L77:P77">
    <cfRule type="expression" dxfId="153" priority="8">
      <formula>$J$77&lt;&gt;$K$77</formula>
    </cfRule>
  </conditionalFormatting>
  <conditionalFormatting sqref="L91:P91">
    <cfRule type="expression" dxfId="152" priority="9">
      <formula>$J$91&lt;&gt;$K$91</formula>
    </cfRule>
  </conditionalFormatting>
  <conditionalFormatting sqref="L105:P105">
    <cfRule type="expression" dxfId="151" priority="10">
      <formula>$J$105&lt;&gt;$K$105</formula>
    </cfRule>
  </conditionalFormatting>
  <conditionalFormatting sqref="L114:P114">
    <cfRule type="expression" dxfId="150" priority="11">
      <formula>$J$114&lt;&gt;$K$114</formula>
    </cfRule>
  </conditionalFormatting>
  <dataValidations count="3">
    <dataValidation type="textLength" operator="equal" allowBlank="1" showInputMessage="1" showErrorMessage="1" errorTitle="4-Digit Org Code" error="Enter the Org Code/BU as 4 digits." sqref="F5" xr:uid="{5CB0E398-186A-4767-8F22-8A783ABA3745}">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CCC941D-ADFF-492C-BC22-935C5F61A1EA}">
      <formula1>0</formula1>
    </dataValidation>
    <dataValidation operator="lessThan" allowBlank="1" showInputMessage="1" showErrorMessage="1" sqref="A3:A8" xr:uid="{0DEE8CD0-0B73-4D76-8E08-FF9C453336A5}"/>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2E4F0-FC6E-45CD-A0F3-952CC7C7FEFF}">
  <sheetPr>
    <tabColor theme="9" tint="0.59999389629810485"/>
    <pageSetUpPr fitToPage="1"/>
  </sheetPr>
  <dimension ref="A1:T193"/>
  <sheetViews>
    <sheetView topLeftCell="A10" zoomScale="70" zoomScaleNormal="70" workbookViewId="0">
      <selection activeCell="J33" sqref="J33"/>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702</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Fund",VLOOKUP(F5,[7]qryIndex02a!$A$2:$K$654,4,FALSE)),"Unidentified")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15877802</v>
      </c>
      <c r="M17" s="134">
        <v>15877802</v>
      </c>
      <c r="P17" s="134">
        <v>15877802</v>
      </c>
      <c r="Q17" s="135"/>
      <c r="S17" s="136">
        <f>P17-M17</f>
        <v>0</v>
      </c>
      <c r="T17" s="137" t="s">
        <v>123</v>
      </c>
    </row>
    <row r="18" spans="1:20" ht="16.5" customHeight="1" x14ac:dyDescent="0.25">
      <c r="A18" s="138"/>
      <c r="B18" s="129" t="s">
        <v>126</v>
      </c>
      <c r="C18" s="129"/>
      <c r="D18" s="129"/>
      <c r="E18" s="130"/>
      <c r="F18" s="131"/>
      <c r="G18" s="131"/>
      <c r="H18" s="132"/>
      <c r="I18" s="132"/>
      <c r="J18" s="133">
        <f>P18</f>
        <v>92340</v>
      </c>
      <c r="M18" s="134">
        <v>92340</v>
      </c>
      <c r="P18" s="139">
        <f>IF(SUM($Q$20:$Q$23)&gt;SUM($P$15:$P$17),SUM($Q$20:$Q$23)-SUM($P$15:$P$17),0)</f>
        <v>92340</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9681819</v>
      </c>
      <c r="N22" s="134">
        <v>9681819</v>
      </c>
      <c r="P22" s="135"/>
      <c r="Q22" s="134">
        <v>9681819</v>
      </c>
      <c r="S22" s="136">
        <f t="shared" si="0"/>
        <v>0</v>
      </c>
      <c r="T22" s="140" t="s">
        <v>127</v>
      </c>
    </row>
    <row r="23" spans="1:20" ht="16.5" customHeight="1" x14ac:dyDescent="0.25">
      <c r="A23" s="142" t="s">
        <v>132</v>
      </c>
      <c r="B23" s="129"/>
      <c r="C23" s="129" t="s">
        <v>133</v>
      </c>
      <c r="D23" s="129"/>
      <c r="E23" s="130"/>
      <c r="F23" s="131"/>
      <c r="G23" s="131"/>
      <c r="H23" s="132"/>
      <c r="I23" s="132"/>
      <c r="J23" s="141"/>
      <c r="K23" s="133">
        <f>N23</f>
        <v>6288323</v>
      </c>
      <c r="N23" s="134">
        <v>6288323</v>
      </c>
      <c r="P23" s="135"/>
      <c r="Q23" s="134">
        <v>6288323</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15970142</v>
      </c>
      <c r="K26" s="146">
        <f>SUM(K15:K25)</f>
        <v>15970142</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v>1361026</v>
      </c>
      <c r="K33" s="154"/>
    </row>
    <row r="34" spans="1:12" ht="16.5" customHeight="1" x14ac:dyDescent="0.25">
      <c r="A34" s="138"/>
      <c r="B34" s="129"/>
      <c r="C34" s="129" t="s">
        <v>141</v>
      </c>
      <c r="D34" s="130"/>
      <c r="E34" s="130"/>
      <c r="F34" s="131"/>
      <c r="G34" s="131"/>
      <c r="H34" s="132"/>
      <c r="I34" s="132"/>
      <c r="J34" s="154"/>
      <c r="K34" s="134">
        <v>1361026</v>
      </c>
    </row>
    <row r="35" spans="1:12" ht="16.5" customHeight="1" x14ac:dyDescent="0.25">
      <c r="A35" s="138"/>
      <c r="B35" s="129"/>
      <c r="C35" s="129" t="str">
        <f>IF($F$7="Proprietary","Cr: Acct 0870 - SERVICES &amp; CHARGES (MG ADJ)",VLOOKUP($F$9,'[7]Drop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1361026</v>
      </c>
      <c r="K36" s="146">
        <f>SUM(K33:K35)</f>
        <v>1361026</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v>1361026</v>
      </c>
      <c r="K41" s="154"/>
    </row>
    <row r="42" spans="1:12" ht="16.5" customHeight="1" x14ac:dyDescent="0.25">
      <c r="A42" s="138"/>
      <c r="B42" s="129"/>
      <c r="C42" s="129" t="s">
        <v>143</v>
      </c>
      <c r="D42" s="130"/>
      <c r="E42" s="130"/>
      <c r="F42" s="131"/>
      <c r="G42" s="131"/>
      <c r="H42" s="132"/>
      <c r="I42" s="132"/>
      <c r="J42" s="154"/>
      <c r="K42" s="134">
        <v>1361026</v>
      </c>
    </row>
    <row r="43" spans="1:12" ht="16.5" customHeight="1" x14ac:dyDescent="0.25">
      <c r="A43" s="138"/>
      <c r="B43" s="120" t="s">
        <v>144</v>
      </c>
      <c r="C43" s="124"/>
      <c r="D43" s="124"/>
      <c r="E43" s="124"/>
      <c r="F43" s="125"/>
      <c r="G43" s="125"/>
      <c r="H43" s="126"/>
      <c r="I43" s="126"/>
      <c r="J43" s="146">
        <f>SUM(J39:J42)</f>
        <v>1361026</v>
      </c>
      <c r="K43" s="146">
        <f>SUM(K39:K42)</f>
        <v>1361026</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v>1361026</v>
      </c>
      <c r="K47" s="154"/>
    </row>
    <row r="48" spans="1:12" ht="16.5" customHeight="1" x14ac:dyDescent="0.25">
      <c r="A48" s="142" t="s">
        <v>132</v>
      </c>
      <c r="B48" s="129"/>
      <c r="C48" s="129" t="s">
        <v>133</v>
      </c>
      <c r="D48" s="130"/>
      <c r="E48" s="130"/>
      <c r="F48" s="131"/>
      <c r="G48" s="131"/>
      <c r="H48" s="132"/>
      <c r="I48" s="132"/>
      <c r="J48" s="154"/>
      <c r="K48" s="134">
        <v>1361026</v>
      </c>
    </row>
    <row r="49" spans="1:16" ht="16.5" customHeight="1" x14ac:dyDescent="0.25">
      <c r="A49" s="138"/>
      <c r="C49" s="124"/>
      <c r="D49" s="124"/>
      <c r="E49" s="124"/>
      <c r="F49" s="125"/>
      <c r="G49" s="125"/>
      <c r="H49" s="126"/>
      <c r="I49" s="126"/>
      <c r="J49" s="146">
        <f>SUM(J47:J48)</f>
        <v>1361026</v>
      </c>
      <c r="K49" s="146">
        <f>SUM(K47:K48)</f>
        <v>1361026</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5078387</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5078387</v>
      </c>
    </row>
    <row r="59" spans="1:16" ht="16.5" customHeight="1" x14ac:dyDescent="0.25">
      <c r="A59" s="138"/>
      <c r="C59" s="124"/>
      <c r="D59" s="124"/>
      <c r="E59" s="124"/>
      <c r="F59" s="125"/>
      <c r="G59" s="125"/>
      <c r="H59" s="126"/>
      <c r="I59" s="126"/>
      <c r="J59" s="146">
        <f>SUM(J55:J58)</f>
        <v>5078387</v>
      </c>
      <c r="K59" s="146">
        <f>SUM(K55:K58)</f>
        <v>5078387</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5118817</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42262</v>
      </c>
      <c r="K63" s="158"/>
    </row>
    <row r="64" spans="1:16" ht="16.5" customHeight="1" x14ac:dyDescent="0.25">
      <c r="A64" s="138"/>
      <c r="B64" s="129"/>
      <c r="C64" s="129" t="str">
        <f>IF($F$7="Proprietary","Cr: Acct 0870 - SERVICES &amp; CHARGES (MG ADJ)",VLOOKUP($F$9,'[7]Drop Down Menus'!$F$2:$G$10,2,FALSE))</f>
        <v>Cr: Acct 0825 - BUS, CONSUMER SERV, HOUSING</v>
      </c>
      <c r="D64" s="130"/>
      <c r="E64" s="130"/>
      <c r="F64" s="131"/>
      <c r="G64" s="131"/>
      <c r="H64" s="132"/>
      <c r="I64" s="132"/>
      <c r="J64" s="158"/>
      <c r="K64" s="134">
        <v>5161079</v>
      </c>
    </row>
    <row r="65" spans="1:12" ht="16.5" customHeight="1" x14ac:dyDescent="0.25">
      <c r="A65" s="138"/>
      <c r="C65" s="124"/>
      <c r="D65" s="124"/>
      <c r="E65" s="124"/>
      <c r="F65" s="125"/>
      <c r="G65" s="125"/>
      <c r="H65" s="126"/>
      <c r="I65" s="126"/>
      <c r="J65" s="146">
        <f>SUM(J62:J64)</f>
        <v>5161079</v>
      </c>
      <c r="K65" s="146">
        <f>SUM(K62:K64)</f>
        <v>5161079</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5118817</v>
      </c>
      <c r="K68" s="154"/>
    </row>
    <row r="69" spans="1:12" ht="16.5" customHeight="1" x14ac:dyDescent="0.25">
      <c r="A69" s="138"/>
      <c r="B69" s="129"/>
      <c r="C69" s="129" t="s">
        <v>155</v>
      </c>
      <c r="D69" s="130"/>
      <c r="E69" s="130"/>
      <c r="F69" s="131"/>
      <c r="G69" s="131"/>
      <c r="H69" s="132"/>
      <c r="I69" s="132"/>
      <c r="J69" s="154"/>
      <c r="K69" s="134">
        <v>5118817</v>
      </c>
      <c r="L69" s="100" t="str">
        <f>IF($J$62=$K$69,"","&lt;- Accts 0848 must agree")</f>
        <v/>
      </c>
    </row>
    <row r="70" spans="1:12" ht="16.5" customHeight="1" x14ac:dyDescent="0.25">
      <c r="A70" s="138"/>
      <c r="C70" s="124"/>
      <c r="D70" s="124"/>
      <c r="E70" s="124"/>
      <c r="F70" s="125"/>
      <c r="G70" s="125"/>
      <c r="H70" s="126"/>
      <c r="I70" s="126"/>
      <c r="J70" s="146">
        <f>SUM(J68:J69)</f>
        <v>5118817</v>
      </c>
      <c r="K70" s="146">
        <f>SUM(K68:K69)</f>
        <v>5118817</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v>1267632</v>
      </c>
      <c r="K75" s="154"/>
    </row>
    <row r="76" spans="1:12" ht="16.5" customHeight="1" x14ac:dyDescent="0.25">
      <c r="A76" s="138"/>
      <c r="B76" s="129"/>
      <c r="C76" s="129" t="s">
        <v>158</v>
      </c>
      <c r="D76" s="130"/>
      <c r="E76" s="130"/>
      <c r="F76" s="131"/>
      <c r="G76" s="131"/>
      <c r="H76" s="132"/>
      <c r="I76" s="132"/>
      <c r="J76" s="154"/>
      <c r="K76" s="134">
        <v>1267632</v>
      </c>
    </row>
    <row r="77" spans="1:12" ht="16.5" customHeight="1" x14ac:dyDescent="0.2">
      <c r="A77" s="138"/>
      <c r="B77" s="187" t="s">
        <v>159</v>
      </c>
      <c r="C77" s="187"/>
      <c r="D77" s="187"/>
      <c r="E77" s="187"/>
      <c r="F77" s="187"/>
      <c r="G77" s="187"/>
      <c r="H77" s="187"/>
      <c r="I77" s="187"/>
      <c r="J77" s="146">
        <f>SUM(J75:J76)</f>
        <v>1267632</v>
      </c>
      <c r="K77" s="146">
        <f>SUM(K75:K76)</f>
        <v>1267632</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v>358191</v>
      </c>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v>358191</v>
      </c>
    </row>
    <row r="91" spans="1:16" ht="16.5" customHeight="1" x14ac:dyDescent="0.25">
      <c r="B91" s="120" t="s">
        <v>169</v>
      </c>
      <c r="H91" s="100"/>
      <c r="J91" s="161">
        <f>SUM(J85:J90)</f>
        <v>358191</v>
      </c>
      <c r="K91" s="161">
        <f>SUM(K85:K90)</f>
        <v>358191</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ADJ)",VLOOKUP($F$9,'[7]Drop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ADJ)",VLOOKUP($F$9,'[7]Drop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16880637</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-14402015</v>
      </c>
    </row>
    <row r="128" spans="1:12" ht="16.5" customHeight="1" x14ac:dyDescent="0.25">
      <c r="D128" s="130" t="s">
        <v>181</v>
      </c>
      <c r="H128" s="100"/>
      <c r="K128" s="175">
        <f>-K23-K48+J68+J75+J96-K113</f>
        <v>-1262900</v>
      </c>
    </row>
    <row r="129" spans="4:11" ht="16.5" customHeight="1" x14ac:dyDescent="0.25">
      <c r="D129" s="130" t="s">
        <v>182</v>
      </c>
      <c r="H129" s="100"/>
      <c r="K129" s="175">
        <f>-K76</f>
        <v>-1267632</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49" priority="12">
      <formula>$J$62&lt;&gt;$K$69</formula>
    </cfRule>
  </conditionalFormatting>
  <conditionalFormatting sqref="L26:P26">
    <cfRule type="expression" dxfId="148" priority="1">
      <formula>$J$26&lt;&gt;$K$26</formula>
    </cfRule>
  </conditionalFormatting>
  <conditionalFormatting sqref="L36:P36">
    <cfRule type="expression" dxfId="147" priority="2">
      <formula>$J$36&lt;&gt;$K$36</formula>
    </cfRule>
  </conditionalFormatting>
  <conditionalFormatting sqref="L43:P43">
    <cfRule type="expression" dxfId="146" priority="3">
      <formula>$J$43&lt;&gt;$K$43</formula>
    </cfRule>
  </conditionalFormatting>
  <conditionalFormatting sqref="L49:P49">
    <cfRule type="expression" dxfId="145" priority="4">
      <formula>$J$49&lt;&gt;$K$49</formula>
    </cfRule>
  </conditionalFormatting>
  <conditionalFormatting sqref="L59:P59">
    <cfRule type="expression" dxfId="144" priority="5">
      <formula>$J$59&lt;&gt;$K$59</formula>
    </cfRule>
  </conditionalFormatting>
  <conditionalFormatting sqref="L65:P65">
    <cfRule type="expression" dxfId="143" priority="6">
      <formula>$J$65&lt;&gt;$K$65</formula>
    </cfRule>
  </conditionalFormatting>
  <conditionalFormatting sqref="L70:P70">
    <cfRule type="expression" dxfId="142" priority="7">
      <formula>$J$70&lt;&gt;$K$70</formula>
    </cfRule>
  </conditionalFormatting>
  <conditionalFormatting sqref="L77:P77">
    <cfRule type="expression" dxfId="141" priority="8">
      <formula>$J$77&lt;&gt;$K$77</formula>
    </cfRule>
  </conditionalFormatting>
  <conditionalFormatting sqref="L91:P91">
    <cfRule type="expression" dxfId="140" priority="9">
      <formula>$J$91&lt;&gt;$K$91</formula>
    </cfRule>
  </conditionalFormatting>
  <conditionalFormatting sqref="L105:P105">
    <cfRule type="expression" dxfId="139" priority="10">
      <formula>$J$105&lt;&gt;$K$105</formula>
    </cfRule>
  </conditionalFormatting>
  <conditionalFormatting sqref="L114:P114">
    <cfRule type="expression" dxfId="138" priority="11">
      <formula>$J$114&lt;&gt;$K$114</formula>
    </cfRule>
  </conditionalFormatting>
  <dataValidations count="3">
    <dataValidation type="textLength" operator="equal" allowBlank="1" showInputMessage="1" showErrorMessage="1" errorTitle="4-Digit Org Code" error="Enter the Org Code/BU as 4 digits." sqref="F5" xr:uid="{CA7919CD-27DC-4CB7-B480-11A18DADCA52}">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E50C81D-C2F6-4966-8EE5-B531CB85A312}">
      <formula1>0</formula1>
    </dataValidation>
    <dataValidation operator="lessThan" allowBlank="1" showInputMessage="1" showErrorMessage="1" sqref="A3:A8" xr:uid="{0021F00A-D8AB-4B71-BC49-89C250C90212}"/>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BF23F-196F-42A8-8DF1-0A057CD7ACB9}">
  <sheetPr>
    <tabColor theme="9" tint="0.59999389629810485"/>
    <pageSetUpPr fitToPage="1"/>
  </sheetPr>
  <dimension ref="A1:T193"/>
  <sheetViews>
    <sheetView topLeftCell="A12" zoomScale="80" zoomScaleNormal="80" workbookViewId="0">
      <selection activeCell="J33" sqref="J33"/>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735</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Fund",VLOOKUP(F5,[8]qryIndex02a!$A$2:$K$654,4,FALSE)),"Unidentified")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1423813</v>
      </c>
      <c r="M17" s="134">
        <v>1423813</v>
      </c>
      <c r="P17" s="134">
        <v>1423813</v>
      </c>
      <c r="Q17" s="135"/>
      <c r="S17" s="136">
        <f>P17-M17</f>
        <v>0</v>
      </c>
      <c r="T17" s="137" t="s">
        <v>123</v>
      </c>
    </row>
    <row r="18" spans="1:20" ht="16.5" customHeight="1" x14ac:dyDescent="0.25">
      <c r="A18" s="138"/>
      <c r="B18" s="129" t="s">
        <v>126</v>
      </c>
      <c r="C18" s="129"/>
      <c r="D18" s="129"/>
      <c r="E18" s="130"/>
      <c r="F18" s="131"/>
      <c r="G18" s="131"/>
      <c r="H18" s="132"/>
      <c r="I18" s="132"/>
      <c r="J18" s="133">
        <f>P18</f>
        <v>16941</v>
      </c>
      <c r="M18" s="134">
        <v>16941</v>
      </c>
      <c r="P18" s="139">
        <f>IF(SUM($Q$20:$Q$23)&gt;SUM($P$15:$P$17),SUM($Q$20:$Q$23)-SUM($P$15:$P$17),0)</f>
        <v>16941</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814279</v>
      </c>
      <c r="N22" s="134">
        <v>814279</v>
      </c>
      <c r="P22" s="135"/>
      <c r="Q22" s="134">
        <v>814279</v>
      </c>
      <c r="S22" s="136">
        <f t="shared" si="0"/>
        <v>0</v>
      </c>
      <c r="T22" s="140" t="s">
        <v>127</v>
      </c>
    </row>
    <row r="23" spans="1:20" ht="16.5" customHeight="1" x14ac:dyDescent="0.25">
      <c r="A23" s="142" t="s">
        <v>132</v>
      </c>
      <c r="B23" s="129"/>
      <c r="C23" s="129" t="s">
        <v>133</v>
      </c>
      <c r="D23" s="129"/>
      <c r="E23" s="130"/>
      <c r="F23" s="131"/>
      <c r="G23" s="131"/>
      <c r="H23" s="132"/>
      <c r="I23" s="132"/>
      <c r="J23" s="141"/>
      <c r="K23" s="133">
        <f>N23</f>
        <v>626475</v>
      </c>
      <c r="N23" s="134">
        <v>626475</v>
      </c>
      <c r="P23" s="135"/>
      <c r="Q23" s="134">
        <v>626475</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1440754</v>
      </c>
      <c r="K26" s="146">
        <f>SUM(K15:K25)</f>
        <v>1440754</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v>11108176</v>
      </c>
      <c r="K33" s="154"/>
    </row>
    <row r="34" spans="1:12" ht="16.5" customHeight="1" x14ac:dyDescent="0.25">
      <c r="A34" s="138"/>
      <c r="B34" s="129"/>
      <c r="C34" s="129" t="s">
        <v>141</v>
      </c>
      <c r="D34" s="130"/>
      <c r="E34" s="130"/>
      <c r="F34" s="131"/>
      <c r="G34" s="131"/>
      <c r="H34" s="132"/>
      <c r="I34" s="132"/>
      <c r="J34" s="154"/>
      <c r="K34" s="134">
        <v>11108176</v>
      </c>
    </row>
    <row r="35" spans="1:12" ht="16.5" customHeight="1" x14ac:dyDescent="0.25">
      <c r="A35" s="138"/>
      <c r="B35" s="129"/>
      <c r="C35" s="129" t="str">
        <f>IF($F$7="Proprietary","Cr: Acct 0870 - SERVICES &amp; CHARGES (MG ADJ)",VLOOKUP($F$9,'[8]Drop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11108176</v>
      </c>
      <c r="K36" s="146">
        <f>SUM(K33:K35)</f>
        <v>11108176</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v>11108176</v>
      </c>
      <c r="K41" s="154"/>
    </row>
    <row r="42" spans="1:12" ht="16.5" customHeight="1" x14ac:dyDescent="0.25">
      <c r="A42" s="138"/>
      <c r="B42" s="129"/>
      <c r="C42" s="129" t="s">
        <v>143</v>
      </c>
      <c r="D42" s="130"/>
      <c r="E42" s="130"/>
      <c r="F42" s="131"/>
      <c r="G42" s="131"/>
      <c r="H42" s="132"/>
      <c r="I42" s="132"/>
      <c r="J42" s="154"/>
      <c r="K42" s="134">
        <v>11108176</v>
      </c>
    </row>
    <row r="43" spans="1:12" ht="16.5" customHeight="1" x14ac:dyDescent="0.25">
      <c r="A43" s="138"/>
      <c r="B43" s="120" t="s">
        <v>144</v>
      </c>
      <c r="C43" s="124"/>
      <c r="D43" s="124"/>
      <c r="E43" s="124"/>
      <c r="F43" s="125"/>
      <c r="G43" s="125"/>
      <c r="H43" s="126"/>
      <c r="I43" s="126"/>
      <c r="J43" s="146">
        <f>SUM(J39:J42)</f>
        <v>11108176</v>
      </c>
      <c r="K43" s="146">
        <f>SUM(K39:K42)</f>
        <v>11108176</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v>11108176</v>
      </c>
      <c r="K47" s="154"/>
    </row>
    <row r="48" spans="1:12" ht="16.5" customHeight="1" x14ac:dyDescent="0.25">
      <c r="A48" s="142" t="s">
        <v>132</v>
      </c>
      <c r="B48" s="129"/>
      <c r="C48" s="129" t="s">
        <v>133</v>
      </c>
      <c r="D48" s="130"/>
      <c r="E48" s="130"/>
      <c r="F48" s="131"/>
      <c r="G48" s="131"/>
      <c r="H48" s="132"/>
      <c r="I48" s="132"/>
      <c r="J48" s="154"/>
      <c r="K48" s="134">
        <v>11108176</v>
      </c>
    </row>
    <row r="49" spans="1:16" ht="16.5" customHeight="1" x14ac:dyDescent="0.25">
      <c r="A49" s="138"/>
      <c r="C49" s="124"/>
      <c r="D49" s="124"/>
      <c r="E49" s="124"/>
      <c r="F49" s="125"/>
      <c r="G49" s="125"/>
      <c r="H49" s="126"/>
      <c r="I49" s="126"/>
      <c r="J49" s="146">
        <f>SUM(J47:J48)</f>
        <v>11108176</v>
      </c>
      <c r="K49" s="146">
        <f>SUM(K47:K48)</f>
        <v>11108176</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589240</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589240</v>
      </c>
    </row>
    <row r="59" spans="1:16" ht="16.5" customHeight="1" x14ac:dyDescent="0.25">
      <c r="A59" s="138"/>
      <c r="C59" s="124"/>
      <c r="D59" s="124"/>
      <c r="E59" s="124"/>
      <c r="F59" s="125"/>
      <c r="G59" s="125"/>
      <c r="H59" s="126"/>
      <c r="I59" s="126"/>
      <c r="J59" s="146">
        <f>SUM(J55:J58)</f>
        <v>589240</v>
      </c>
      <c r="K59" s="146">
        <f>SUM(K55:K58)</f>
        <v>589240</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393355</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23275</v>
      </c>
      <c r="K63" s="158"/>
    </row>
    <row r="64" spans="1:16" ht="16.5" customHeight="1" x14ac:dyDescent="0.25">
      <c r="A64" s="138"/>
      <c r="B64" s="129"/>
      <c r="C64" s="129" t="str">
        <f>IF($F$7="Proprietary","Cr: Acct 0870 - SERVICES &amp; CHARGES (MG ADJ)",VLOOKUP($F$9,'[8]Drop Down Menus'!$F$2:$G$10,2,FALSE))</f>
        <v>Cr: Acct 0825 - BUS, CONSUMER SERV, HOUSING</v>
      </c>
      <c r="D64" s="130"/>
      <c r="E64" s="130"/>
      <c r="F64" s="131"/>
      <c r="G64" s="131"/>
      <c r="H64" s="132"/>
      <c r="I64" s="132"/>
      <c r="J64" s="158"/>
      <c r="K64" s="134">
        <v>416630</v>
      </c>
    </row>
    <row r="65" spans="1:12" ht="16.5" customHeight="1" x14ac:dyDescent="0.25">
      <c r="A65" s="138"/>
      <c r="C65" s="124"/>
      <c r="D65" s="124"/>
      <c r="E65" s="124"/>
      <c r="F65" s="125"/>
      <c r="G65" s="125"/>
      <c r="H65" s="126"/>
      <c r="I65" s="126"/>
      <c r="J65" s="146">
        <f>SUM(J62:J64)</f>
        <v>416630</v>
      </c>
      <c r="K65" s="146">
        <f>SUM(K62:K64)</f>
        <v>416630</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393355</v>
      </c>
      <c r="K68" s="154"/>
    </row>
    <row r="69" spans="1:12" ht="16.5" customHeight="1" x14ac:dyDescent="0.25">
      <c r="A69" s="138"/>
      <c r="B69" s="129"/>
      <c r="C69" s="129" t="s">
        <v>155</v>
      </c>
      <c r="D69" s="130"/>
      <c r="E69" s="130"/>
      <c r="F69" s="131"/>
      <c r="G69" s="131"/>
      <c r="H69" s="132"/>
      <c r="I69" s="132"/>
      <c r="J69" s="154"/>
      <c r="K69" s="134">
        <v>393355</v>
      </c>
      <c r="L69" s="100" t="str">
        <f>IF($J$62=$K$69,"","&lt;- Accts 0848 must agree")</f>
        <v/>
      </c>
    </row>
    <row r="70" spans="1:12" ht="16.5" customHeight="1" x14ac:dyDescent="0.25">
      <c r="A70" s="138"/>
      <c r="C70" s="124"/>
      <c r="D70" s="124"/>
      <c r="E70" s="124"/>
      <c r="F70" s="125"/>
      <c r="G70" s="125"/>
      <c r="H70" s="126"/>
      <c r="I70" s="126"/>
      <c r="J70" s="146">
        <f>SUM(J68:J69)</f>
        <v>393355</v>
      </c>
      <c r="K70" s="146">
        <f>SUM(K68:K69)</f>
        <v>393355</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v>2216583</v>
      </c>
      <c r="K75" s="154"/>
    </row>
    <row r="76" spans="1:12" ht="16.5" customHeight="1" x14ac:dyDescent="0.25">
      <c r="A76" s="138"/>
      <c r="B76" s="129"/>
      <c r="C76" s="129" t="s">
        <v>158</v>
      </c>
      <c r="D76" s="130"/>
      <c r="E76" s="130"/>
      <c r="F76" s="131"/>
      <c r="G76" s="131"/>
      <c r="H76" s="132"/>
      <c r="I76" s="132"/>
      <c r="J76" s="154"/>
      <c r="K76" s="134">
        <v>2216583</v>
      </c>
    </row>
    <row r="77" spans="1:12" ht="16.5" customHeight="1" x14ac:dyDescent="0.2">
      <c r="A77" s="138"/>
      <c r="B77" s="187" t="s">
        <v>159</v>
      </c>
      <c r="C77" s="187"/>
      <c r="D77" s="187"/>
      <c r="E77" s="187"/>
      <c r="F77" s="187"/>
      <c r="G77" s="187"/>
      <c r="H77" s="187"/>
      <c r="I77" s="187"/>
      <c r="J77" s="146">
        <f>SUM(J75:J76)</f>
        <v>2216583</v>
      </c>
      <c r="K77" s="146">
        <f>SUM(K75:K76)</f>
        <v>2216583</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row>
    <row r="91" spans="1:16" ht="16.5" customHeight="1" x14ac:dyDescent="0.25">
      <c r="B91" s="120" t="s">
        <v>169</v>
      </c>
      <c r="H91" s="100"/>
      <c r="J91" s="161">
        <f>SUM(J85:J90)</f>
        <v>0</v>
      </c>
      <c r="K91" s="161">
        <f>SUM(K85:K90)</f>
        <v>0</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ADJ)",VLOOKUP($F$9,'[8]Drop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ADJ)",VLOOKUP($F$9,'[8]Drop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12531989</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-1403519</v>
      </c>
    </row>
    <row r="128" spans="1:12" ht="16.5" customHeight="1" x14ac:dyDescent="0.25">
      <c r="D128" s="130" t="s">
        <v>181</v>
      </c>
      <c r="H128" s="100"/>
      <c r="K128" s="175">
        <f>-K23-K48+J68+J75+J96-K113</f>
        <v>-9124713</v>
      </c>
    </row>
    <row r="129" spans="4:11" ht="16.5" customHeight="1" x14ac:dyDescent="0.25">
      <c r="D129" s="130" t="s">
        <v>182</v>
      </c>
      <c r="H129" s="100"/>
      <c r="K129" s="175">
        <f>-K76</f>
        <v>-2216583</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37" priority="12">
      <formula>$J$62&lt;&gt;$K$69</formula>
    </cfRule>
  </conditionalFormatting>
  <conditionalFormatting sqref="L26:P26">
    <cfRule type="expression" dxfId="136" priority="1">
      <formula>$J$26&lt;&gt;$K$26</formula>
    </cfRule>
  </conditionalFormatting>
  <conditionalFormatting sqref="L36:P36">
    <cfRule type="expression" dxfId="135" priority="2">
      <formula>$J$36&lt;&gt;$K$36</formula>
    </cfRule>
  </conditionalFormatting>
  <conditionalFormatting sqref="L43:P43">
    <cfRule type="expression" dxfId="134" priority="3">
      <formula>$J$43&lt;&gt;$K$43</formula>
    </cfRule>
  </conditionalFormatting>
  <conditionalFormatting sqref="L49:P49">
    <cfRule type="expression" dxfId="133" priority="4">
      <formula>$J$49&lt;&gt;$K$49</formula>
    </cfRule>
  </conditionalFormatting>
  <conditionalFormatting sqref="L59:P59">
    <cfRule type="expression" dxfId="132" priority="5">
      <formula>$J$59&lt;&gt;$K$59</formula>
    </cfRule>
  </conditionalFormatting>
  <conditionalFormatting sqref="L65:P65">
    <cfRule type="expression" dxfId="131" priority="6">
      <formula>$J$65&lt;&gt;$K$65</formula>
    </cfRule>
  </conditionalFormatting>
  <conditionalFormatting sqref="L70:P70">
    <cfRule type="expression" dxfId="130" priority="7">
      <formula>$J$70&lt;&gt;$K$70</formula>
    </cfRule>
  </conditionalFormatting>
  <conditionalFormatting sqref="L77:P77">
    <cfRule type="expression" dxfId="129" priority="8">
      <formula>$J$77&lt;&gt;$K$77</formula>
    </cfRule>
  </conditionalFormatting>
  <conditionalFormatting sqref="L91:P91">
    <cfRule type="expression" dxfId="128" priority="9">
      <formula>$J$91&lt;&gt;$K$91</formula>
    </cfRule>
  </conditionalFormatting>
  <conditionalFormatting sqref="L105:P105">
    <cfRule type="expression" dxfId="127" priority="10">
      <formula>$J$105&lt;&gt;$K$105</formula>
    </cfRule>
  </conditionalFormatting>
  <conditionalFormatting sqref="L114:P114">
    <cfRule type="expression" dxfId="126" priority="11">
      <formula>$J$114&lt;&gt;$K$114</formula>
    </cfRule>
  </conditionalFormatting>
  <dataValidations count="3">
    <dataValidation type="textLength" operator="equal" allowBlank="1" showInputMessage="1" showErrorMessage="1" errorTitle="4-Digit Org Code" error="Enter the Org Code/BU as 4 digits." sqref="F5" xr:uid="{9D148EFA-9178-4C78-94B1-B053773C1995}">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2903C6A-695C-4973-9E6F-65E00A5D4B82}">
      <formula1>0</formula1>
    </dataValidation>
    <dataValidation operator="lessThan" allowBlank="1" showInputMessage="1" showErrorMessage="1" sqref="A3:A8" xr:uid="{2C7FB878-1979-475A-8CCE-C5980E9F97BE}"/>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20365-70DF-4B53-98F6-CF7FDD610A49}">
  <sheetPr>
    <tabColor theme="9" tint="0.59999389629810485"/>
    <pageSetUpPr fitToPage="1"/>
  </sheetPr>
  <dimension ref="A1:T193"/>
  <sheetViews>
    <sheetView topLeftCell="A4" zoomScale="70" zoomScaleNormal="70" workbookViewId="0">
      <selection activeCell="J75" sqref="J75"/>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758</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Fund",VLOOKUP(F5,[9]qryIndex02a!$A$2:$K$654,4,FALSE)),"Unidentified")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9256185</v>
      </c>
      <c r="M17" s="134">
        <v>9256185</v>
      </c>
      <c r="P17" s="134">
        <v>9256185</v>
      </c>
      <c r="Q17" s="135"/>
      <c r="S17" s="136">
        <f>P17-M17</f>
        <v>0</v>
      </c>
      <c r="T17" s="137" t="s">
        <v>123</v>
      </c>
    </row>
    <row r="18" spans="1:20" ht="16.5" customHeight="1" x14ac:dyDescent="0.25">
      <c r="A18" s="138"/>
      <c r="B18" s="129" t="s">
        <v>126</v>
      </c>
      <c r="C18" s="129"/>
      <c r="D18" s="129"/>
      <c r="E18" s="130"/>
      <c r="F18" s="131"/>
      <c r="G18" s="131"/>
      <c r="H18" s="132"/>
      <c r="I18" s="132"/>
      <c r="J18" s="133">
        <f>P18</f>
        <v>119134</v>
      </c>
      <c r="M18" s="134">
        <v>119134</v>
      </c>
      <c r="P18" s="139">
        <f>IF(SUM($Q$20:$Q$23)&gt;SUM($P$15:$P$17),SUM($Q$20:$Q$23)-SUM($P$15:$P$17),0)</f>
        <v>119134</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4726562</v>
      </c>
      <c r="N22" s="134">
        <v>4726562</v>
      </c>
      <c r="P22" s="135"/>
      <c r="Q22" s="134">
        <v>4726562</v>
      </c>
      <c r="S22" s="136">
        <f t="shared" si="0"/>
        <v>0</v>
      </c>
      <c r="T22" s="140" t="s">
        <v>127</v>
      </c>
    </row>
    <row r="23" spans="1:20" ht="16.5" customHeight="1" x14ac:dyDescent="0.25">
      <c r="A23" s="142" t="s">
        <v>132</v>
      </c>
      <c r="B23" s="129"/>
      <c r="C23" s="129" t="s">
        <v>133</v>
      </c>
      <c r="D23" s="129"/>
      <c r="E23" s="130"/>
      <c r="F23" s="131"/>
      <c r="G23" s="131"/>
      <c r="H23" s="132"/>
      <c r="I23" s="132"/>
      <c r="J23" s="141"/>
      <c r="K23" s="133">
        <f>N23</f>
        <v>4648757</v>
      </c>
      <c r="N23" s="134">
        <v>4648757</v>
      </c>
      <c r="P23" s="135"/>
      <c r="Q23" s="134">
        <v>4648757</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9375319</v>
      </c>
      <c r="K26" s="146">
        <f>SUM(K15:K25)</f>
        <v>9375319</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ADJ)",VLOOKUP($F$9,'[9]Drop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2363281</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2363281</v>
      </c>
    </row>
    <row r="59" spans="1:16" ht="16.5" customHeight="1" x14ac:dyDescent="0.25">
      <c r="A59" s="138"/>
      <c r="C59" s="124"/>
      <c r="D59" s="124"/>
      <c r="E59" s="124"/>
      <c r="F59" s="125"/>
      <c r="G59" s="125"/>
      <c r="H59" s="126"/>
      <c r="I59" s="126"/>
      <c r="J59" s="146">
        <f>SUM(J55:J58)</f>
        <v>2363281</v>
      </c>
      <c r="K59" s="146">
        <f>SUM(K55:K58)</f>
        <v>2363281</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2396955</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7115</v>
      </c>
      <c r="K63" s="158"/>
    </row>
    <row r="64" spans="1:16" ht="16.5" customHeight="1" x14ac:dyDescent="0.25">
      <c r="A64" s="138"/>
      <c r="B64" s="129"/>
      <c r="C64" s="129" t="str">
        <f>IF($F$7="Proprietary","Cr: Acct 0870 - SERVICES &amp; CHARGES (MG ADJ)",VLOOKUP($F$9,'[9]Drop Down Menus'!$F$2:$G$10,2,FALSE))</f>
        <v>Cr: Acct 0825 - BUS, CONSUMER SERV, HOUSING</v>
      </c>
      <c r="D64" s="130"/>
      <c r="E64" s="130"/>
      <c r="F64" s="131"/>
      <c r="G64" s="131"/>
      <c r="H64" s="132"/>
      <c r="I64" s="132"/>
      <c r="J64" s="158"/>
      <c r="K64" s="134">
        <v>2404070</v>
      </c>
    </row>
    <row r="65" spans="1:12" ht="16.5" customHeight="1" x14ac:dyDescent="0.25">
      <c r="A65" s="138"/>
      <c r="C65" s="124"/>
      <c r="D65" s="124"/>
      <c r="E65" s="124"/>
      <c r="F65" s="125"/>
      <c r="G65" s="125"/>
      <c r="H65" s="126"/>
      <c r="I65" s="126"/>
      <c r="J65" s="146">
        <f>SUM(J62:J64)</f>
        <v>2404070</v>
      </c>
      <c r="K65" s="146">
        <f>SUM(K62:K64)</f>
        <v>2404070</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2396955</v>
      </c>
      <c r="K68" s="154"/>
    </row>
    <row r="69" spans="1:12" ht="16.5" customHeight="1" x14ac:dyDescent="0.25">
      <c r="A69" s="138"/>
      <c r="B69" s="129"/>
      <c r="C69" s="129" t="s">
        <v>155</v>
      </c>
      <c r="D69" s="130"/>
      <c r="E69" s="130"/>
      <c r="F69" s="131"/>
      <c r="G69" s="131"/>
      <c r="H69" s="132"/>
      <c r="I69" s="132"/>
      <c r="J69" s="154"/>
      <c r="K69" s="134">
        <v>2396955</v>
      </c>
      <c r="L69" s="100" t="str">
        <f>IF($J$62=$K$69,"","&lt;- Accts 0848 must agree")</f>
        <v/>
      </c>
    </row>
    <row r="70" spans="1:12" ht="16.5" customHeight="1" x14ac:dyDescent="0.25">
      <c r="A70" s="138"/>
      <c r="C70" s="124"/>
      <c r="D70" s="124"/>
      <c r="E70" s="124"/>
      <c r="F70" s="125"/>
      <c r="G70" s="125"/>
      <c r="H70" s="126"/>
      <c r="I70" s="126"/>
      <c r="J70" s="146">
        <f>SUM(J68:J69)</f>
        <v>2396955</v>
      </c>
      <c r="K70" s="146">
        <f>SUM(K68:K69)</f>
        <v>2396955</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v>2251802</v>
      </c>
      <c r="K75" s="154"/>
    </row>
    <row r="76" spans="1:12" ht="16.5" customHeight="1" x14ac:dyDescent="0.25">
      <c r="A76" s="138"/>
      <c r="B76" s="129"/>
      <c r="C76" s="129" t="s">
        <v>158</v>
      </c>
      <c r="D76" s="130"/>
      <c r="E76" s="130"/>
      <c r="F76" s="131"/>
      <c r="G76" s="131"/>
      <c r="H76" s="132"/>
      <c r="I76" s="132"/>
      <c r="J76" s="154"/>
      <c r="K76" s="134">
        <v>2251802</v>
      </c>
    </row>
    <row r="77" spans="1:12" ht="16.5" customHeight="1" x14ac:dyDescent="0.2">
      <c r="A77" s="138"/>
      <c r="B77" s="187" t="s">
        <v>159</v>
      </c>
      <c r="C77" s="187"/>
      <c r="D77" s="187"/>
      <c r="E77" s="187"/>
      <c r="F77" s="187"/>
      <c r="G77" s="187"/>
      <c r="H77" s="187"/>
      <c r="I77" s="187"/>
      <c r="J77" s="146">
        <f>SUM(J75:J76)</f>
        <v>2251802</v>
      </c>
      <c r="K77" s="146">
        <f>SUM(K75:K76)</f>
        <v>2251802</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row>
    <row r="91" spans="1:16" ht="16.5" customHeight="1" x14ac:dyDescent="0.25">
      <c r="B91" s="120" t="s">
        <v>169</v>
      </c>
      <c r="H91" s="100"/>
      <c r="J91" s="161">
        <f>SUM(J85:J90)</f>
        <v>0</v>
      </c>
      <c r="K91" s="161">
        <f>SUM(K85:K90)</f>
        <v>0</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ADJ)",VLOOKUP($F$9,'[9]Drop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ADJ)",VLOOKUP($F$9,'[9]Drop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9256185</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-7089843</v>
      </c>
    </row>
    <row r="128" spans="1:12" ht="16.5" customHeight="1" x14ac:dyDescent="0.25">
      <c r="D128" s="130" t="s">
        <v>181</v>
      </c>
      <c r="H128" s="100"/>
      <c r="K128" s="175">
        <f>-K23-K48+J68+J75+J96-K113</f>
        <v>0</v>
      </c>
    </row>
    <row r="129" spans="4:11" ht="16.5" customHeight="1" x14ac:dyDescent="0.25">
      <c r="D129" s="130" t="s">
        <v>182</v>
      </c>
      <c r="H129" s="100"/>
      <c r="K129" s="175">
        <f>-K76</f>
        <v>-2251802</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25" priority="12">
      <formula>$J$62&lt;&gt;$K$69</formula>
    </cfRule>
  </conditionalFormatting>
  <conditionalFormatting sqref="L26:P26">
    <cfRule type="expression" dxfId="124" priority="1">
      <formula>$J$26&lt;&gt;$K$26</formula>
    </cfRule>
  </conditionalFormatting>
  <conditionalFormatting sqref="L36:P36">
    <cfRule type="expression" dxfId="123" priority="2">
      <formula>$J$36&lt;&gt;$K$36</formula>
    </cfRule>
  </conditionalFormatting>
  <conditionalFormatting sqref="L43:P43">
    <cfRule type="expression" dxfId="122" priority="3">
      <formula>$J$43&lt;&gt;$K$43</formula>
    </cfRule>
  </conditionalFormatting>
  <conditionalFormatting sqref="L49:P49">
    <cfRule type="expression" dxfId="121" priority="4">
      <formula>$J$49&lt;&gt;$K$49</formula>
    </cfRule>
  </conditionalFormatting>
  <conditionalFormatting sqref="L59:P59">
    <cfRule type="expression" dxfId="120" priority="5">
      <formula>$J$59&lt;&gt;$K$59</formula>
    </cfRule>
  </conditionalFormatting>
  <conditionalFormatting sqref="L65:P65">
    <cfRule type="expression" dxfId="119" priority="6">
      <formula>$J$65&lt;&gt;$K$65</formula>
    </cfRule>
  </conditionalFormatting>
  <conditionalFormatting sqref="L70:P70">
    <cfRule type="expression" dxfId="118" priority="7">
      <formula>$J$70&lt;&gt;$K$70</formula>
    </cfRule>
  </conditionalFormatting>
  <conditionalFormatting sqref="L77:P77">
    <cfRule type="expression" dxfId="117" priority="8">
      <formula>$J$77&lt;&gt;$K$77</formula>
    </cfRule>
  </conditionalFormatting>
  <conditionalFormatting sqref="L91:P91">
    <cfRule type="expression" dxfId="116" priority="9">
      <formula>$J$91&lt;&gt;$K$91</formula>
    </cfRule>
  </conditionalFormatting>
  <conditionalFormatting sqref="L105:P105">
    <cfRule type="expression" dxfId="115" priority="10">
      <formula>$J$105&lt;&gt;$K$105</formula>
    </cfRule>
  </conditionalFormatting>
  <conditionalFormatting sqref="L114:P114">
    <cfRule type="expression" dxfId="114" priority="11">
      <formula>$J$114&lt;&gt;$K$114</formula>
    </cfRule>
  </conditionalFormatting>
  <dataValidations count="3">
    <dataValidation type="textLength" operator="equal" allowBlank="1" showInputMessage="1" showErrorMessage="1" errorTitle="4-Digit Org Code" error="Enter the Org Code/BU as 4 digits." sqref="F5" xr:uid="{50F69EFD-4964-4A80-8DAB-C0A179EF954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4EBC62A-3CA3-4349-8C65-E61C7CC1E7E1}">
      <formula1>0</formula1>
    </dataValidation>
    <dataValidation operator="lessThan" allowBlank="1" showInputMessage="1" showErrorMessage="1" sqref="A3:A8" xr:uid="{3830179D-FFCB-4E40-8326-4C9743E83D4A}"/>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CD3D-CDA0-4514-A38F-301DFA44B371}">
  <sheetPr>
    <tabColor theme="9" tint="0.59999389629810485"/>
    <pageSetUpPr fitToPage="1"/>
  </sheetPr>
  <dimension ref="A1:T193"/>
  <sheetViews>
    <sheetView topLeftCell="A10" zoomScale="70" zoomScaleNormal="70" workbookViewId="0">
      <selection activeCell="J75" sqref="J75"/>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761</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Fund",VLOOKUP(F5,[10]qryIndex02a!$A$2:$K$654,4,FALSE)),"Unidentified")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8845233</v>
      </c>
      <c r="M17" s="134">
        <v>8845233</v>
      </c>
      <c r="P17" s="134">
        <v>8845233</v>
      </c>
      <c r="Q17" s="135"/>
      <c r="S17" s="136">
        <f>P17-M17</f>
        <v>0</v>
      </c>
      <c r="T17" s="137" t="s">
        <v>123</v>
      </c>
    </row>
    <row r="18" spans="1:20" ht="16.5" customHeight="1" x14ac:dyDescent="0.25">
      <c r="A18" s="138"/>
      <c r="B18" s="129" t="s">
        <v>126</v>
      </c>
      <c r="C18" s="129"/>
      <c r="D18" s="129"/>
      <c r="E18" s="130"/>
      <c r="F18" s="131"/>
      <c r="G18" s="131"/>
      <c r="H18" s="132"/>
      <c r="I18" s="132"/>
      <c r="J18" s="133">
        <f>P18</f>
        <v>123171</v>
      </c>
      <c r="M18" s="134">
        <v>123171</v>
      </c>
      <c r="P18" s="139">
        <f>IF(SUM($Q$20:$Q$23)&gt;SUM($P$15:$P$17),SUM($Q$20:$Q$23)-SUM($P$15:$P$17),0)</f>
        <v>123171</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4245710</v>
      </c>
      <c r="N22" s="134">
        <v>4245710</v>
      </c>
      <c r="P22" s="135"/>
      <c r="Q22" s="134">
        <v>4245710</v>
      </c>
      <c r="S22" s="136">
        <f t="shared" si="0"/>
        <v>0</v>
      </c>
      <c r="T22" s="140" t="s">
        <v>127</v>
      </c>
    </row>
    <row r="23" spans="1:20" ht="16.5" customHeight="1" x14ac:dyDescent="0.25">
      <c r="A23" s="142" t="s">
        <v>132</v>
      </c>
      <c r="B23" s="129"/>
      <c r="C23" s="129" t="s">
        <v>133</v>
      </c>
      <c r="D23" s="129"/>
      <c r="E23" s="130"/>
      <c r="F23" s="131"/>
      <c r="G23" s="131"/>
      <c r="H23" s="132"/>
      <c r="I23" s="132"/>
      <c r="J23" s="141"/>
      <c r="K23" s="133">
        <f>N23</f>
        <v>4722694</v>
      </c>
      <c r="N23" s="134">
        <v>4722694</v>
      </c>
      <c r="P23" s="135"/>
      <c r="Q23" s="134">
        <v>4722694</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8968404</v>
      </c>
      <c r="K26" s="146">
        <f>SUM(K15:K25)</f>
        <v>8968404</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ADJ)",VLOOKUP($F$9,'[10]Drop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2122855</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2122855</v>
      </c>
    </row>
    <row r="59" spans="1:16" ht="16.5" customHeight="1" x14ac:dyDescent="0.25">
      <c r="A59" s="138"/>
      <c r="C59" s="124"/>
      <c r="D59" s="124"/>
      <c r="E59" s="124"/>
      <c r="F59" s="125"/>
      <c r="G59" s="125"/>
      <c r="H59" s="126"/>
      <c r="I59" s="126"/>
      <c r="J59" s="146">
        <f>SUM(J55:J58)</f>
        <v>2122855</v>
      </c>
      <c r="K59" s="146">
        <f>SUM(K55:K58)</f>
        <v>2122855</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2149835</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7486</v>
      </c>
      <c r="K63" s="158"/>
    </row>
    <row r="64" spans="1:16" ht="16.5" customHeight="1" x14ac:dyDescent="0.25">
      <c r="A64" s="138"/>
      <c r="B64" s="129"/>
      <c r="C64" s="129" t="str">
        <f>IF($F$7="Proprietary","Cr: Acct 0870 - SERVICES &amp; CHARGES (MG ADJ)",VLOOKUP($F$9,'[10]Drop Down Menus'!$F$2:$G$10,2,FALSE))</f>
        <v>Cr: Acct 0825 - BUS, CONSUMER SERV, HOUSING</v>
      </c>
      <c r="D64" s="130"/>
      <c r="E64" s="130"/>
      <c r="F64" s="131"/>
      <c r="G64" s="131"/>
      <c r="H64" s="132"/>
      <c r="I64" s="132"/>
      <c r="J64" s="158"/>
      <c r="K64" s="134">
        <v>2157321</v>
      </c>
    </row>
    <row r="65" spans="1:12" ht="16.5" customHeight="1" x14ac:dyDescent="0.25">
      <c r="A65" s="138"/>
      <c r="C65" s="124"/>
      <c r="D65" s="124"/>
      <c r="E65" s="124"/>
      <c r="F65" s="125"/>
      <c r="G65" s="125"/>
      <c r="H65" s="126"/>
      <c r="I65" s="126"/>
      <c r="J65" s="146">
        <f>SUM(J62:J64)</f>
        <v>2157321</v>
      </c>
      <c r="K65" s="146">
        <f>SUM(K62:K64)</f>
        <v>2157321</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2149835</v>
      </c>
      <c r="K68" s="154"/>
    </row>
    <row r="69" spans="1:12" ht="16.5" customHeight="1" x14ac:dyDescent="0.25">
      <c r="A69" s="138"/>
      <c r="B69" s="129"/>
      <c r="C69" s="129" t="s">
        <v>155</v>
      </c>
      <c r="D69" s="130"/>
      <c r="E69" s="130"/>
      <c r="F69" s="131"/>
      <c r="G69" s="131"/>
      <c r="H69" s="132"/>
      <c r="I69" s="132"/>
      <c r="J69" s="154"/>
      <c r="K69" s="134">
        <v>2149835</v>
      </c>
      <c r="L69" s="100" t="str">
        <f>IF($J$62=$K$69,"","&lt;- Accts 0848 must agree")</f>
        <v/>
      </c>
    </row>
    <row r="70" spans="1:12" ht="16.5" customHeight="1" x14ac:dyDescent="0.25">
      <c r="A70" s="138"/>
      <c r="C70" s="124"/>
      <c r="D70" s="124"/>
      <c r="E70" s="124"/>
      <c r="F70" s="125"/>
      <c r="G70" s="125"/>
      <c r="H70" s="126"/>
      <c r="I70" s="126"/>
      <c r="J70" s="146">
        <f>SUM(J68:J69)</f>
        <v>2149835</v>
      </c>
      <c r="K70" s="146">
        <f>SUM(K68:K69)</f>
        <v>2149835</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v>2200517</v>
      </c>
      <c r="K75" s="154"/>
    </row>
    <row r="76" spans="1:12" ht="16.5" customHeight="1" x14ac:dyDescent="0.25">
      <c r="A76" s="138"/>
      <c r="B76" s="129"/>
      <c r="C76" s="129" t="s">
        <v>158</v>
      </c>
      <c r="D76" s="130"/>
      <c r="E76" s="130"/>
      <c r="F76" s="131"/>
      <c r="G76" s="131"/>
      <c r="H76" s="132"/>
      <c r="I76" s="132"/>
      <c r="J76" s="154"/>
      <c r="K76" s="134">
        <v>2200517</v>
      </c>
    </row>
    <row r="77" spans="1:12" ht="16.5" customHeight="1" x14ac:dyDescent="0.2">
      <c r="A77" s="138"/>
      <c r="B77" s="187" t="s">
        <v>159</v>
      </c>
      <c r="C77" s="187"/>
      <c r="D77" s="187"/>
      <c r="E77" s="187"/>
      <c r="F77" s="187"/>
      <c r="G77" s="187"/>
      <c r="H77" s="187"/>
      <c r="I77" s="187"/>
      <c r="J77" s="146">
        <f>SUM(J75:J76)</f>
        <v>2200517</v>
      </c>
      <c r="K77" s="146">
        <f>SUM(K75:K76)</f>
        <v>2200517</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row>
    <row r="91" spans="1:16" ht="16.5" customHeight="1" x14ac:dyDescent="0.25">
      <c r="B91" s="120" t="s">
        <v>169</v>
      </c>
      <c r="H91" s="100"/>
      <c r="J91" s="161">
        <f>SUM(J85:J90)</f>
        <v>0</v>
      </c>
      <c r="K91" s="161">
        <f>SUM(K85:K90)</f>
        <v>0</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ADJ)",VLOOKUP($F$9,'[10]Drop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ADJ)",VLOOKUP($F$9,'[10]Drop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8845233</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-6368565</v>
      </c>
    </row>
    <row r="128" spans="1:12" ht="16.5" customHeight="1" x14ac:dyDescent="0.25">
      <c r="D128" s="130" t="s">
        <v>181</v>
      </c>
      <c r="H128" s="100"/>
      <c r="K128" s="175">
        <f>-K23-K48+J68+J75+J96-K113</f>
        <v>-372342</v>
      </c>
    </row>
    <row r="129" spans="4:11" ht="16.5" customHeight="1" x14ac:dyDescent="0.25">
      <c r="D129" s="130" t="s">
        <v>182</v>
      </c>
      <c r="H129" s="100"/>
      <c r="K129" s="175">
        <f>-K76</f>
        <v>-2200517</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13" priority="12">
      <formula>$J$62&lt;&gt;$K$69</formula>
    </cfRule>
  </conditionalFormatting>
  <conditionalFormatting sqref="L26:P26">
    <cfRule type="expression" dxfId="112" priority="1">
      <formula>$J$26&lt;&gt;$K$26</formula>
    </cfRule>
  </conditionalFormatting>
  <conditionalFormatting sqref="L36:P36">
    <cfRule type="expression" dxfId="111" priority="2">
      <formula>$J$36&lt;&gt;$K$36</formula>
    </cfRule>
  </conditionalFormatting>
  <conditionalFormatting sqref="L43:P43">
    <cfRule type="expression" dxfId="110" priority="3">
      <formula>$J$43&lt;&gt;$K$43</formula>
    </cfRule>
  </conditionalFormatting>
  <conditionalFormatting sqref="L49:P49">
    <cfRule type="expression" dxfId="109" priority="4">
      <formula>$J$49&lt;&gt;$K$49</formula>
    </cfRule>
  </conditionalFormatting>
  <conditionalFormatting sqref="L59:P59">
    <cfRule type="expression" dxfId="108" priority="5">
      <formula>$J$59&lt;&gt;$K$59</formula>
    </cfRule>
  </conditionalFormatting>
  <conditionalFormatting sqref="L65:P65">
    <cfRule type="expression" dxfId="107" priority="6">
      <formula>$J$65&lt;&gt;$K$65</formula>
    </cfRule>
  </conditionalFormatting>
  <conditionalFormatting sqref="L70:P70">
    <cfRule type="expression" dxfId="106" priority="7">
      <formula>$J$70&lt;&gt;$K$70</formula>
    </cfRule>
  </conditionalFormatting>
  <conditionalFormatting sqref="L77:P77">
    <cfRule type="expression" dxfId="105" priority="8">
      <formula>$J$77&lt;&gt;$K$77</formula>
    </cfRule>
  </conditionalFormatting>
  <conditionalFormatting sqref="L91:P91">
    <cfRule type="expression" dxfId="104" priority="9">
      <formula>$J$91&lt;&gt;$K$91</formula>
    </cfRule>
  </conditionalFormatting>
  <conditionalFormatting sqref="L105:P105">
    <cfRule type="expression" dxfId="103" priority="10">
      <formula>$J$105&lt;&gt;$K$105</formula>
    </cfRule>
  </conditionalFormatting>
  <conditionalFormatting sqref="L114:P114">
    <cfRule type="expression" dxfId="102" priority="11">
      <formula>$J$114&lt;&gt;$K$114</formula>
    </cfRule>
  </conditionalFormatting>
  <dataValidations count="3">
    <dataValidation type="textLength" operator="equal" allowBlank="1" showInputMessage="1" showErrorMessage="1" errorTitle="4-Digit Org Code" error="Enter the Org Code/BU as 4 digits." sqref="F5" xr:uid="{E43977AA-F42B-4B1D-A42F-6A02E936C51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688D7D9-3A47-4C3E-8DA0-7F7007FE4A91}">
      <formula1>0</formula1>
    </dataValidation>
    <dataValidation operator="lessThan" allowBlank="1" showInputMessage="1" showErrorMessage="1" sqref="A3:A8" xr:uid="{1463C041-2E73-4AF8-A023-9F2B20726757}"/>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A27CE-F55C-47F6-B776-4C6A28193912}">
  <sheetPr>
    <tabColor theme="9" tint="0.59999389629810485"/>
    <pageSetUpPr fitToPage="1"/>
  </sheetPr>
  <dimension ref="A1:T193"/>
  <sheetViews>
    <sheetView topLeftCell="A40" zoomScale="70" zoomScaleNormal="70" workbookViewId="0">
      <selection activeCell="N23" sqref="N23"/>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763</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Fund",VLOOKUP(F5,[11]qryIndex02a!$A$2:$K$654,4,FALSE)),"Unidentified")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204719</v>
      </c>
      <c r="M17" s="134">
        <v>204719</v>
      </c>
      <c r="P17" s="134">
        <v>204719</v>
      </c>
      <c r="Q17" s="135"/>
      <c r="S17" s="136">
        <f>P17-M17</f>
        <v>0</v>
      </c>
      <c r="T17" s="137" t="s">
        <v>123</v>
      </c>
    </row>
    <row r="18" spans="1:20" ht="16.5" customHeight="1" x14ac:dyDescent="0.25">
      <c r="A18" s="138"/>
      <c r="B18" s="129" t="s">
        <v>126</v>
      </c>
      <c r="C18" s="129"/>
      <c r="D18" s="129"/>
      <c r="E18" s="130"/>
      <c r="F18" s="131"/>
      <c r="G18" s="131"/>
      <c r="H18" s="132"/>
      <c r="I18" s="132"/>
      <c r="J18" s="133">
        <f>P18</f>
        <v>1942</v>
      </c>
      <c r="M18" s="134">
        <v>1942</v>
      </c>
      <c r="P18" s="139">
        <f>IF(SUM($Q$20:$Q$23)&gt;SUM($P$15:$P$17),SUM($Q$20:$Q$23)-SUM($P$15:$P$17),0)</f>
        <v>1942</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169422</v>
      </c>
      <c r="N22" s="134">
        <v>169422</v>
      </c>
      <c r="P22" s="135"/>
      <c r="Q22" s="134">
        <v>169422</v>
      </c>
      <c r="S22" s="136">
        <f t="shared" si="0"/>
        <v>0</v>
      </c>
      <c r="T22" s="140" t="s">
        <v>127</v>
      </c>
    </row>
    <row r="23" spans="1:20" ht="16.5" customHeight="1" x14ac:dyDescent="0.25">
      <c r="A23" s="142" t="s">
        <v>132</v>
      </c>
      <c r="B23" s="129"/>
      <c r="C23" s="129" t="s">
        <v>133</v>
      </c>
      <c r="D23" s="129"/>
      <c r="E23" s="130"/>
      <c r="F23" s="131"/>
      <c r="G23" s="131"/>
      <c r="H23" s="132"/>
      <c r="I23" s="132"/>
      <c r="J23" s="141"/>
      <c r="K23" s="133">
        <f>N23</f>
        <v>37239</v>
      </c>
      <c r="N23" s="134">
        <v>37239</v>
      </c>
      <c r="P23" s="135"/>
      <c r="Q23" s="134">
        <v>37239</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206661</v>
      </c>
      <c r="K26" s="146">
        <f>SUM(K15:K25)</f>
        <v>206661</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ADJ)",VLOOKUP($F$9,'[11]Drop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35297</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35297</v>
      </c>
    </row>
    <row r="59" spans="1:16" ht="16.5" customHeight="1" x14ac:dyDescent="0.25">
      <c r="A59" s="138"/>
      <c r="C59" s="124"/>
      <c r="D59" s="124"/>
      <c r="E59" s="124"/>
      <c r="F59" s="125"/>
      <c r="G59" s="125"/>
      <c r="H59" s="126"/>
      <c r="I59" s="126"/>
      <c r="J59" s="146">
        <f>SUM(J55:J58)</f>
        <v>35297</v>
      </c>
      <c r="K59" s="146">
        <f>SUM(K55:K58)</f>
        <v>35297</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37239</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18</v>
      </c>
      <c r="K63" s="158"/>
    </row>
    <row r="64" spans="1:16" ht="16.5" customHeight="1" x14ac:dyDescent="0.25">
      <c r="A64" s="138"/>
      <c r="B64" s="129"/>
      <c r="C64" s="129" t="str">
        <f>IF($F$7="Proprietary","Cr: Acct 0870 - SERVICES &amp; CHARGES (MG ADJ)",VLOOKUP($F$9,'[11]Drop Down Menus'!$F$2:$G$10,2,FALSE))</f>
        <v>Cr: Acct 0825 - BUS, CONSUMER SERV, HOUSING</v>
      </c>
      <c r="D64" s="130"/>
      <c r="E64" s="130"/>
      <c r="F64" s="131"/>
      <c r="G64" s="131"/>
      <c r="H64" s="132"/>
      <c r="I64" s="132"/>
      <c r="J64" s="158"/>
      <c r="K64" s="134">
        <v>37257</v>
      </c>
    </row>
    <row r="65" spans="1:12" ht="16.5" customHeight="1" x14ac:dyDescent="0.25">
      <c r="A65" s="138"/>
      <c r="C65" s="124"/>
      <c r="D65" s="124"/>
      <c r="E65" s="124"/>
      <c r="F65" s="125"/>
      <c r="G65" s="125"/>
      <c r="H65" s="126"/>
      <c r="I65" s="126"/>
      <c r="J65" s="146">
        <f>SUM(J62:J64)</f>
        <v>37257</v>
      </c>
      <c r="K65" s="146">
        <f>SUM(K62:K64)</f>
        <v>37257</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37239</v>
      </c>
      <c r="K68" s="154"/>
    </row>
    <row r="69" spans="1:12" ht="16.5" customHeight="1" x14ac:dyDescent="0.25">
      <c r="A69" s="138"/>
      <c r="B69" s="129"/>
      <c r="C69" s="129" t="s">
        <v>155</v>
      </c>
      <c r="D69" s="130"/>
      <c r="E69" s="130"/>
      <c r="F69" s="131"/>
      <c r="G69" s="131"/>
      <c r="H69" s="132"/>
      <c r="I69" s="132"/>
      <c r="J69" s="154"/>
      <c r="K69" s="134">
        <v>37239</v>
      </c>
      <c r="L69" s="100" t="str">
        <f>IF($J$62=$K$69,"","&lt;- Accts 0848 must agree")</f>
        <v/>
      </c>
    </row>
    <row r="70" spans="1:12" ht="16.5" customHeight="1" x14ac:dyDescent="0.25">
      <c r="A70" s="138"/>
      <c r="C70" s="124"/>
      <c r="D70" s="124"/>
      <c r="E70" s="124"/>
      <c r="F70" s="125"/>
      <c r="G70" s="125"/>
      <c r="H70" s="126"/>
      <c r="I70" s="126"/>
      <c r="J70" s="146">
        <f>SUM(J68:J69)</f>
        <v>37239</v>
      </c>
      <c r="K70" s="146">
        <f>SUM(K68:K69)</f>
        <v>37239</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c r="K75" s="154"/>
    </row>
    <row r="76" spans="1:12" ht="16.5" customHeight="1" x14ac:dyDescent="0.25">
      <c r="A76" s="138"/>
      <c r="B76" s="129"/>
      <c r="C76" s="129" t="s">
        <v>158</v>
      </c>
      <c r="D76" s="130"/>
      <c r="E76" s="130"/>
      <c r="F76" s="131"/>
      <c r="G76" s="131"/>
      <c r="H76" s="132"/>
      <c r="I76" s="132"/>
      <c r="J76" s="154"/>
      <c r="K76" s="134"/>
    </row>
    <row r="77" spans="1:12" ht="16.5" customHeight="1" x14ac:dyDescent="0.2">
      <c r="A77" s="138"/>
      <c r="B77" s="187" t="s">
        <v>159</v>
      </c>
      <c r="C77" s="187"/>
      <c r="D77" s="187"/>
      <c r="E77" s="187"/>
      <c r="F77" s="187"/>
      <c r="G77" s="187"/>
      <c r="H77" s="187"/>
      <c r="I77" s="187"/>
      <c r="J77" s="146">
        <f>SUM(J75:J76)</f>
        <v>0</v>
      </c>
      <c r="K77" s="146">
        <f>SUM(K75:K76)</f>
        <v>0</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v>204719</v>
      </c>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v>204719</v>
      </c>
    </row>
    <row r="91" spans="1:16" ht="16.5" customHeight="1" x14ac:dyDescent="0.25">
      <c r="B91" s="120" t="s">
        <v>169</v>
      </c>
      <c r="H91" s="100"/>
      <c r="J91" s="161">
        <f>SUM(J85:J90)</f>
        <v>204719</v>
      </c>
      <c r="K91" s="161">
        <f>SUM(K85:K90)</f>
        <v>204719</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ADJ)",VLOOKUP($F$9,'[11]Drop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ADJ)",VLOOKUP($F$9,'[11]Drop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0</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0</v>
      </c>
    </row>
    <row r="128" spans="1:12" ht="16.5" customHeight="1" x14ac:dyDescent="0.25">
      <c r="D128" s="130" t="s">
        <v>181</v>
      </c>
      <c r="H128" s="100"/>
      <c r="K128" s="175">
        <f>-K23-K48+J68+J75+J96-K113</f>
        <v>0</v>
      </c>
    </row>
    <row r="129" spans="4:11" ht="16.5" customHeight="1" x14ac:dyDescent="0.25">
      <c r="D129" s="130" t="s">
        <v>182</v>
      </c>
      <c r="H129" s="100"/>
      <c r="K129" s="175">
        <f>-K76</f>
        <v>0</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01" priority="12">
      <formula>$J$62&lt;&gt;$K$69</formula>
    </cfRule>
  </conditionalFormatting>
  <conditionalFormatting sqref="L26:P26">
    <cfRule type="expression" dxfId="100" priority="1">
      <formula>$J$26&lt;&gt;$K$26</formula>
    </cfRule>
  </conditionalFormatting>
  <conditionalFormatting sqref="L36:P36">
    <cfRule type="expression" dxfId="99" priority="2">
      <formula>$J$36&lt;&gt;$K$36</formula>
    </cfRule>
  </conditionalFormatting>
  <conditionalFormatting sqref="L43:P43">
    <cfRule type="expression" dxfId="98" priority="3">
      <formula>$J$43&lt;&gt;$K$43</formula>
    </cfRule>
  </conditionalFormatting>
  <conditionalFormatting sqref="L49:P49">
    <cfRule type="expression" dxfId="97" priority="4">
      <formula>$J$49&lt;&gt;$K$49</formula>
    </cfRule>
  </conditionalFormatting>
  <conditionalFormatting sqref="L59:P59">
    <cfRule type="expression" dxfId="96" priority="5">
      <formula>$J$59&lt;&gt;$K$59</formula>
    </cfRule>
  </conditionalFormatting>
  <conditionalFormatting sqref="L65:P65">
    <cfRule type="expression" dxfId="95" priority="6">
      <formula>$J$65&lt;&gt;$K$65</formula>
    </cfRule>
  </conditionalFormatting>
  <conditionalFormatting sqref="L70:P70">
    <cfRule type="expression" dxfId="94" priority="7">
      <formula>$J$70&lt;&gt;$K$70</formula>
    </cfRule>
  </conditionalFormatting>
  <conditionalFormatting sqref="L77:P77">
    <cfRule type="expression" dxfId="93" priority="8">
      <formula>$J$77&lt;&gt;$K$77</formula>
    </cfRule>
  </conditionalFormatting>
  <conditionalFormatting sqref="L91:P91">
    <cfRule type="expression" dxfId="92" priority="9">
      <formula>$J$91&lt;&gt;$K$91</formula>
    </cfRule>
  </conditionalFormatting>
  <conditionalFormatting sqref="L105:P105">
    <cfRule type="expression" dxfId="91" priority="10">
      <formula>$J$105&lt;&gt;$K$105</formula>
    </cfRule>
  </conditionalFormatting>
  <conditionalFormatting sqref="L114:P114">
    <cfRule type="expression" dxfId="90" priority="11">
      <formula>$J$114&lt;&gt;$K$114</formula>
    </cfRule>
  </conditionalFormatting>
  <dataValidations count="3">
    <dataValidation type="textLength" operator="equal" allowBlank="1" showInputMessage="1" showErrorMessage="1" errorTitle="4-Digit Org Code" error="Enter the Org Code/BU as 4 digits." sqref="F5" xr:uid="{1407815D-2AE4-47D6-88E2-1775034BF1CF}">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F4CDD285-3C5E-4B36-84E2-598BBB0CD557}">
      <formula1>0</formula1>
    </dataValidation>
    <dataValidation operator="lessThan" allowBlank="1" showInputMessage="1" showErrorMessage="1" sqref="A3:A8" xr:uid="{BE52B87B-DFA8-4B84-846D-F4B5C75B955D}"/>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484C0-A33F-4AE8-AA01-279A6984809F}">
  <sheetPr>
    <tabColor theme="9" tint="0.59999389629810485"/>
    <pageSetUpPr fitToPage="1"/>
  </sheetPr>
  <dimension ref="A1:T193"/>
  <sheetViews>
    <sheetView topLeftCell="A18" zoomScale="70" zoomScaleNormal="70" workbookViewId="0">
      <selection activeCell="J75" sqref="J75"/>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767</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Fund",VLOOKUP(F5,[12]qryIndex02a!$A$2:$K$654,4,FALSE)),"Unidentified")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3221650</v>
      </c>
      <c r="M17" s="134">
        <v>3221650</v>
      </c>
      <c r="P17" s="134">
        <v>3221650</v>
      </c>
      <c r="Q17" s="135"/>
      <c r="S17" s="136">
        <f>P17-M17</f>
        <v>0</v>
      </c>
      <c r="T17" s="137" t="s">
        <v>123</v>
      </c>
    </row>
    <row r="18" spans="1:20" ht="16.5" customHeight="1" x14ac:dyDescent="0.25">
      <c r="A18" s="138"/>
      <c r="B18" s="129" t="s">
        <v>126</v>
      </c>
      <c r="C18" s="129"/>
      <c r="D18" s="129"/>
      <c r="E18" s="130"/>
      <c r="F18" s="131"/>
      <c r="G18" s="131"/>
      <c r="H18" s="132"/>
      <c r="I18" s="132"/>
      <c r="J18" s="133">
        <f>P18</f>
        <v>14708</v>
      </c>
      <c r="M18" s="134">
        <v>14708</v>
      </c>
      <c r="P18" s="139">
        <f>IF(SUM($Q$20:$Q$23)&gt;SUM($P$15:$P$17),SUM($Q$20:$Q$23)-SUM($P$15:$P$17),0)</f>
        <v>14708</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1196341</v>
      </c>
      <c r="N22" s="134">
        <v>1196341</v>
      </c>
      <c r="P22" s="135"/>
      <c r="Q22" s="134">
        <v>1196341</v>
      </c>
      <c r="S22" s="136">
        <f t="shared" si="0"/>
        <v>0</v>
      </c>
      <c r="T22" s="140" t="s">
        <v>127</v>
      </c>
    </row>
    <row r="23" spans="1:20" ht="16.5" customHeight="1" x14ac:dyDescent="0.25">
      <c r="A23" s="142" t="s">
        <v>132</v>
      </c>
      <c r="B23" s="129"/>
      <c r="C23" s="129" t="s">
        <v>133</v>
      </c>
      <c r="D23" s="129"/>
      <c r="E23" s="130"/>
      <c r="F23" s="131"/>
      <c r="G23" s="131"/>
      <c r="H23" s="132"/>
      <c r="I23" s="132"/>
      <c r="J23" s="141"/>
      <c r="K23" s="133">
        <f>N23</f>
        <v>2040017</v>
      </c>
      <c r="N23" s="134">
        <v>2040017</v>
      </c>
      <c r="P23" s="135"/>
      <c r="Q23" s="134">
        <v>2040017</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3236358</v>
      </c>
      <c r="K26" s="146">
        <f>SUM(K15:K25)</f>
        <v>3236358</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ADJ)",VLOOKUP($F$9,'[12]Drop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589495</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589495</v>
      </c>
    </row>
    <row r="59" spans="1:16" ht="16.5" customHeight="1" x14ac:dyDescent="0.25">
      <c r="A59" s="138"/>
      <c r="C59" s="124"/>
      <c r="D59" s="124"/>
      <c r="E59" s="124"/>
      <c r="F59" s="125"/>
      <c r="G59" s="125"/>
      <c r="H59" s="126"/>
      <c r="I59" s="126"/>
      <c r="J59" s="146">
        <f>SUM(J55:J58)</f>
        <v>589495</v>
      </c>
      <c r="K59" s="146">
        <f>SUM(K55:K58)</f>
        <v>589495</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551760</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3578</v>
      </c>
      <c r="K63" s="158"/>
    </row>
    <row r="64" spans="1:16" ht="16.5" customHeight="1" x14ac:dyDescent="0.25">
      <c r="A64" s="138"/>
      <c r="B64" s="129"/>
      <c r="C64" s="129" t="str">
        <f>IF($F$7="Proprietary","Cr: Acct 0870 - SERVICES &amp; CHARGES (MG ADJ)",VLOOKUP($F$9,'[12]Drop Down Menus'!$F$2:$G$10,2,FALSE))</f>
        <v>Cr: Acct 0825 - BUS, CONSUMER SERV, HOUSING</v>
      </c>
      <c r="D64" s="130"/>
      <c r="E64" s="130"/>
      <c r="F64" s="131"/>
      <c r="G64" s="131"/>
      <c r="H64" s="132"/>
      <c r="I64" s="132"/>
      <c r="J64" s="158"/>
      <c r="K64" s="134">
        <v>555338</v>
      </c>
    </row>
    <row r="65" spans="1:12" ht="16.5" customHeight="1" x14ac:dyDescent="0.25">
      <c r="A65" s="138"/>
      <c r="C65" s="124"/>
      <c r="D65" s="124"/>
      <c r="E65" s="124"/>
      <c r="F65" s="125"/>
      <c r="G65" s="125"/>
      <c r="H65" s="126"/>
      <c r="I65" s="126"/>
      <c r="J65" s="146">
        <f>SUM(J62:J64)</f>
        <v>555338</v>
      </c>
      <c r="K65" s="146">
        <f>SUM(K62:K64)</f>
        <v>555338</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551760</v>
      </c>
      <c r="K68" s="154"/>
    </row>
    <row r="69" spans="1:12" ht="16.5" customHeight="1" x14ac:dyDescent="0.25">
      <c r="A69" s="138"/>
      <c r="B69" s="129"/>
      <c r="C69" s="129" t="s">
        <v>155</v>
      </c>
      <c r="D69" s="130"/>
      <c r="E69" s="130"/>
      <c r="F69" s="131"/>
      <c r="G69" s="131"/>
      <c r="H69" s="132"/>
      <c r="I69" s="132"/>
      <c r="J69" s="154"/>
      <c r="K69" s="134">
        <v>551760</v>
      </c>
      <c r="L69" s="100" t="str">
        <f>IF($J$62=$K$69,"","&lt;- Accts 0848 must agree")</f>
        <v/>
      </c>
    </row>
    <row r="70" spans="1:12" ht="16.5" customHeight="1" x14ac:dyDescent="0.25">
      <c r="A70" s="138"/>
      <c r="C70" s="124"/>
      <c r="D70" s="124"/>
      <c r="E70" s="124"/>
      <c r="F70" s="125"/>
      <c r="G70" s="125"/>
      <c r="H70" s="126"/>
      <c r="I70" s="126"/>
      <c r="J70" s="146">
        <f>SUM(J68:J69)</f>
        <v>551760</v>
      </c>
      <c r="K70" s="146">
        <f>SUM(K68:K69)</f>
        <v>551760</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v>565669</v>
      </c>
      <c r="K75" s="154"/>
    </row>
    <row r="76" spans="1:12" ht="16.5" customHeight="1" x14ac:dyDescent="0.25">
      <c r="A76" s="138"/>
      <c r="B76" s="129"/>
      <c r="C76" s="129" t="s">
        <v>158</v>
      </c>
      <c r="D76" s="130"/>
      <c r="E76" s="130"/>
      <c r="F76" s="131"/>
      <c r="G76" s="131"/>
      <c r="H76" s="132"/>
      <c r="I76" s="132"/>
      <c r="J76" s="154"/>
      <c r="K76" s="134">
        <v>565669</v>
      </c>
    </row>
    <row r="77" spans="1:12" ht="16.5" customHeight="1" x14ac:dyDescent="0.2">
      <c r="A77" s="138"/>
      <c r="B77" s="187" t="s">
        <v>159</v>
      </c>
      <c r="C77" s="187"/>
      <c r="D77" s="187"/>
      <c r="E77" s="187"/>
      <c r="F77" s="187"/>
      <c r="G77" s="187"/>
      <c r="H77" s="187"/>
      <c r="I77" s="187"/>
      <c r="J77" s="146">
        <f>SUM(J75:J76)</f>
        <v>565669</v>
      </c>
      <c r="K77" s="146">
        <f>SUM(K75:K76)</f>
        <v>565669</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row>
    <row r="91" spans="1:16" ht="16.5" customHeight="1" x14ac:dyDescent="0.25">
      <c r="B91" s="120" t="s">
        <v>169</v>
      </c>
      <c r="H91" s="100"/>
      <c r="J91" s="161">
        <f>SUM(J85:J90)</f>
        <v>0</v>
      </c>
      <c r="K91" s="161">
        <f>SUM(K85:K90)</f>
        <v>0</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ADJ)",VLOOKUP($F$9,'[12]Drop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ADJ)",VLOOKUP($F$9,'[12]Drop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3221650</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-1785836</v>
      </c>
    </row>
    <row r="128" spans="1:12" ht="16.5" customHeight="1" x14ac:dyDescent="0.25">
      <c r="D128" s="130" t="s">
        <v>181</v>
      </c>
      <c r="H128" s="100"/>
      <c r="K128" s="175">
        <f>-K23-K48+J68+J75+J96-K113</f>
        <v>-922588</v>
      </c>
    </row>
    <row r="129" spans="4:11" ht="16.5" customHeight="1" x14ac:dyDescent="0.25">
      <c r="D129" s="130" t="s">
        <v>182</v>
      </c>
      <c r="H129" s="100"/>
      <c r="K129" s="175">
        <f>-K76</f>
        <v>-565669</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89" priority="12">
      <formula>$J$62&lt;&gt;$K$69</formula>
    </cfRule>
  </conditionalFormatting>
  <conditionalFormatting sqref="L26:P26">
    <cfRule type="expression" dxfId="88" priority="1">
      <formula>$J$26&lt;&gt;$K$26</formula>
    </cfRule>
  </conditionalFormatting>
  <conditionalFormatting sqref="L36:P36">
    <cfRule type="expression" dxfId="87" priority="2">
      <formula>$J$36&lt;&gt;$K$36</formula>
    </cfRule>
  </conditionalFormatting>
  <conditionalFormatting sqref="L43:P43">
    <cfRule type="expression" dxfId="86" priority="3">
      <formula>$J$43&lt;&gt;$K$43</formula>
    </cfRule>
  </conditionalFormatting>
  <conditionalFormatting sqref="L49:P49">
    <cfRule type="expression" dxfId="85" priority="4">
      <formula>$J$49&lt;&gt;$K$49</formula>
    </cfRule>
  </conditionalFormatting>
  <conditionalFormatting sqref="L59:P59">
    <cfRule type="expression" dxfId="84" priority="5">
      <formula>$J$59&lt;&gt;$K$59</formula>
    </cfRule>
  </conditionalFormatting>
  <conditionalFormatting sqref="L65:P65">
    <cfRule type="expression" dxfId="83" priority="6">
      <formula>$J$65&lt;&gt;$K$65</formula>
    </cfRule>
  </conditionalFormatting>
  <conditionalFormatting sqref="L70:P70">
    <cfRule type="expression" dxfId="82" priority="7">
      <formula>$J$70&lt;&gt;$K$70</formula>
    </cfRule>
  </conditionalFormatting>
  <conditionalFormatting sqref="L77:P77">
    <cfRule type="expression" dxfId="81" priority="8">
      <formula>$J$77&lt;&gt;$K$77</formula>
    </cfRule>
  </conditionalFormatting>
  <conditionalFormatting sqref="L91:P91">
    <cfRule type="expression" dxfId="80" priority="9">
      <formula>$J$91&lt;&gt;$K$91</formula>
    </cfRule>
  </conditionalFormatting>
  <conditionalFormatting sqref="L105:P105">
    <cfRule type="expression" dxfId="79" priority="10">
      <formula>$J$105&lt;&gt;$K$105</formula>
    </cfRule>
  </conditionalFormatting>
  <conditionalFormatting sqref="L114:P114">
    <cfRule type="expression" dxfId="78" priority="11">
      <formula>$J$114&lt;&gt;$K$114</formula>
    </cfRule>
  </conditionalFormatting>
  <dataValidations count="3">
    <dataValidation type="textLength" operator="equal" allowBlank="1" showInputMessage="1" showErrorMessage="1" errorTitle="4-Digit Org Code" error="Enter the Org Code/BU as 4 digits." sqref="F5" xr:uid="{62E52D77-46E4-4906-AFA4-42AD9118377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307D516-2C6B-4D9C-BD2D-59C827E10D89}">
      <formula1>0</formula1>
    </dataValidation>
    <dataValidation operator="lessThan" allowBlank="1" showInputMessage="1" showErrorMessage="1" sqref="A3:A8" xr:uid="{AFA475B2-E213-4F7E-83E8-9534CC88A36D}"/>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81BAC-E0AB-4953-A87C-F59B8A283501}">
  <sheetPr>
    <tabColor theme="9" tint="0.59999389629810485"/>
    <pageSetUpPr fitToPage="1"/>
  </sheetPr>
  <dimension ref="A1:T193"/>
  <sheetViews>
    <sheetView topLeftCell="A12" zoomScale="70" zoomScaleNormal="70" workbookViewId="0">
      <selection activeCell="N23" sqref="N23"/>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770</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Fund",VLOOKUP(F5,[13]qryIndex02a!$A$2:$K$654,4,FALSE)),"Unidentified")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1176061</v>
      </c>
      <c r="M17" s="134">
        <v>1176061</v>
      </c>
      <c r="P17" s="134">
        <v>1176061</v>
      </c>
      <c r="Q17" s="135"/>
      <c r="S17" s="136">
        <f>P17-M17</f>
        <v>0</v>
      </c>
      <c r="T17" s="137" t="s">
        <v>123</v>
      </c>
    </row>
    <row r="18" spans="1:20" ht="16.5" customHeight="1" x14ac:dyDescent="0.25">
      <c r="A18" s="138"/>
      <c r="B18" s="129" t="s">
        <v>126</v>
      </c>
      <c r="C18" s="129"/>
      <c r="D18" s="129"/>
      <c r="E18" s="130"/>
      <c r="F18" s="131"/>
      <c r="G18" s="131"/>
      <c r="H18" s="132"/>
      <c r="I18" s="132"/>
      <c r="J18" s="133">
        <f>P18</f>
        <v>4266</v>
      </c>
      <c r="M18" s="134">
        <v>4266</v>
      </c>
      <c r="P18" s="139">
        <f>IF(SUM($Q$20:$Q$23)&gt;SUM($P$15:$P$17),SUM($Q$20:$Q$23)-SUM($P$15:$P$17),0)</f>
        <v>4266</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855316</v>
      </c>
      <c r="N22" s="134">
        <v>855316</v>
      </c>
      <c r="P22" s="135"/>
      <c r="Q22" s="134">
        <v>855316</v>
      </c>
      <c r="S22" s="136">
        <f t="shared" si="0"/>
        <v>0</v>
      </c>
      <c r="T22" s="140" t="s">
        <v>127</v>
      </c>
    </row>
    <row r="23" spans="1:20" ht="16.5" customHeight="1" x14ac:dyDescent="0.25">
      <c r="A23" s="142" t="s">
        <v>132</v>
      </c>
      <c r="B23" s="129"/>
      <c r="C23" s="129" t="s">
        <v>133</v>
      </c>
      <c r="D23" s="129"/>
      <c r="E23" s="130"/>
      <c r="F23" s="131"/>
      <c r="G23" s="131"/>
      <c r="H23" s="132"/>
      <c r="I23" s="132"/>
      <c r="J23" s="141"/>
      <c r="K23" s="133">
        <f>N23</f>
        <v>325011</v>
      </c>
      <c r="N23" s="134">
        <v>325011</v>
      </c>
      <c r="P23" s="135"/>
      <c r="Q23" s="134">
        <v>325011</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1180327</v>
      </c>
      <c r="K26" s="146">
        <f>SUM(K15:K25)</f>
        <v>1180327</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ADJ)",VLOOKUP($F$9,'[13]Drop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320745</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320745</v>
      </c>
    </row>
    <row r="59" spans="1:16" ht="16.5" customHeight="1" x14ac:dyDescent="0.25">
      <c r="A59" s="138"/>
      <c r="C59" s="124"/>
      <c r="D59" s="124"/>
      <c r="E59" s="124"/>
      <c r="F59" s="125"/>
      <c r="G59" s="125"/>
      <c r="H59" s="126"/>
      <c r="I59" s="126"/>
      <c r="J59" s="146">
        <f>SUM(J55:J58)</f>
        <v>320745</v>
      </c>
      <c r="K59" s="146">
        <f>SUM(K55:K58)</f>
        <v>320745</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325011</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271</v>
      </c>
      <c r="K63" s="158"/>
    </row>
    <row r="64" spans="1:16" ht="16.5" customHeight="1" x14ac:dyDescent="0.25">
      <c r="A64" s="138"/>
      <c r="B64" s="129"/>
      <c r="C64" s="129" t="str">
        <f>IF($F$7="Proprietary","Cr: Acct 0870 - SERVICES &amp; CHARGES (MG ADJ)",VLOOKUP($F$9,'[13]Drop Down Menus'!$F$2:$G$10,2,FALSE))</f>
        <v>Cr: Acct 0825 - BUS, CONSUMER SERV, HOUSING</v>
      </c>
      <c r="D64" s="130"/>
      <c r="E64" s="130"/>
      <c r="F64" s="131"/>
      <c r="G64" s="131"/>
      <c r="H64" s="132"/>
      <c r="I64" s="132"/>
      <c r="J64" s="158"/>
      <c r="K64" s="134">
        <v>325282</v>
      </c>
    </row>
    <row r="65" spans="1:12" ht="16.5" customHeight="1" x14ac:dyDescent="0.25">
      <c r="A65" s="138"/>
      <c r="C65" s="124"/>
      <c r="D65" s="124"/>
      <c r="E65" s="124"/>
      <c r="F65" s="125"/>
      <c r="G65" s="125"/>
      <c r="H65" s="126"/>
      <c r="I65" s="126"/>
      <c r="J65" s="146">
        <f>SUM(J62:J64)</f>
        <v>325282</v>
      </c>
      <c r="K65" s="146">
        <f>SUM(K62:K64)</f>
        <v>325282</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325011</v>
      </c>
      <c r="K68" s="154"/>
    </row>
    <row r="69" spans="1:12" ht="16.5" customHeight="1" x14ac:dyDescent="0.25">
      <c r="A69" s="138"/>
      <c r="B69" s="129"/>
      <c r="C69" s="129" t="s">
        <v>155</v>
      </c>
      <c r="D69" s="130"/>
      <c r="E69" s="130"/>
      <c r="F69" s="131"/>
      <c r="G69" s="131"/>
      <c r="H69" s="132"/>
      <c r="I69" s="132"/>
      <c r="J69" s="154"/>
      <c r="K69" s="134">
        <v>325011</v>
      </c>
      <c r="L69" s="100" t="str">
        <f>IF($J$62=$K$69,"","&lt;- Accts 0848 must agree")</f>
        <v/>
      </c>
    </row>
    <row r="70" spans="1:12" ht="16.5" customHeight="1" x14ac:dyDescent="0.25">
      <c r="A70" s="138"/>
      <c r="C70" s="124"/>
      <c r="D70" s="124"/>
      <c r="E70" s="124"/>
      <c r="F70" s="125"/>
      <c r="G70" s="125"/>
      <c r="H70" s="126"/>
      <c r="I70" s="126"/>
      <c r="J70" s="146">
        <f>SUM(J68:J69)</f>
        <v>325011</v>
      </c>
      <c r="K70" s="146">
        <f>SUM(K68:K69)</f>
        <v>325011</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c r="K75" s="154"/>
    </row>
    <row r="76" spans="1:12" ht="16.5" customHeight="1" x14ac:dyDescent="0.25">
      <c r="A76" s="138"/>
      <c r="B76" s="129"/>
      <c r="C76" s="129" t="s">
        <v>158</v>
      </c>
      <c r="D76" s="130"/>
      <c r="E76" s="130"/>
      <c r="F76" s="131"/>
      <c r="G76" s="131"/>
      <c r="H76" s="132"/>
      <c r="I76" s="132"/>
      <c r="J76" s="154"/>
      <c r="K76" s="134"/>
    </row>
    <row r="77" spans="1:12" ht="16.5" customHeight="1" x14ac:dyDescent="0.2">
      <c r="A77" s="138"/>
      <c r="B77" s="187" t="s">
        <v>159</v>
      </c>
      <c r="C77" s="187"/>
      <c r="D77" s="187"/>
      <c r="E77" s="187"/>
      <c r="F77" s="187"/>
      <c r="G77" s="187"/>
      <c r="H77" s="187"/>
      <c r="I77" s="187"/>
      <c r="J77" s="146">
        <f>SUM(J75:J76)</f>
        <v>0</v>
      </c>
      <c r="K77" s="146">
        <f>SUM(K75:K76)</f>
        <v>0</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v>1176061</v>
      </c>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v>1176061</v>
      </c>
    </row>
    <row r="91" spans="1:16" ht="16.5" customHeight="1" x14ac:dyDescent="0.25">
      <c r="B91" s="120" t="s">
        <v>169</v>
      </c>
      <c r="H91" s="100"/>
      <c r="J91" s="161">
        <f>SUM(J85:J90)</f>
        <v>1176061</v>
      </c>
      <c r="K91" s="161">
        <f>SUM(K85:K90)</f>
        <v>1176061</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ADJ)",VLOOKUP($F$9,'[13]Drop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ADJ)",VLOOKUP($F$9,'[13]Drop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0</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0</v>
      </c>
    </row>
    <row r="128" spans="1:12" ht="16.5" customHeight="1" x14ac:dyDescent="0.25">
      <c r="D128" s="130" t="s">
        <v>181</v>
      </c>
      <c r="H128" s="100"/>
      <c r="K128" s="175">
        <f>-K23-K48+J68+J75+J96-K113</f>
        <v>0</v>
      </c>
    </row>
    <row r="129" spans="4:11" ht="16.5" customHeight="1" x14ac:dyDescent="0.25">
      <c r="D129" s="130" t="s">
        <v>182</v>
      </c>
      <c r="H129" s="100"/>
      <c r="K129" s="175">
        <f>-K76</f>
        <v>0</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77" priority="12">
      <formula>$J$62&lt;&gt;$K$69</formula>
    </cfRule>
  </conditionalFormatting>
  <conditionalFormatting sqref="L26:P26">
    <cfRule type="expression" dxfId="76" priority="1">
      <formula>$J$26&lt;&gt;$K$26</formula>
    </cfRule>
  </conditionalFormatting>
  <conditionalFormatting sqref="L36:P36">
    <cfRule type="expression" dxfId="75" priority="2">
      <formula>$J$36&lt;&gt;$K$36</formula>
    </cfRule>
  </conditionalFormatting>
  <conditionalFormatting sqref="L43:P43">
    <cfRule type="expression" dxfId="74" priority="3">
      <formula>$J$43&lt;&gt;$K$43</formula>
    </cfRule>
  </conditionalFormatting>
  <conditionalFormatting sqref="L49:P49">
    <cfRule type="expression" dxfId="73" priority="4">
      <formula>$J$49&lt;&gt;$K$49</formula>
    </cfRule>
  </conditionalFormatting>
  <conditionalFormatting sqref="L59:P59">
    <cfRule type="expression" dxfId="72" priority="5">
      <formula>$J$59&lt;&gt;$K$59</formula>
    </cfRule>
  </conditionalFormatting>
  <conditionalFormatting sqref="L65:P65">
    <cfRule type="expression" dxfId="71" priority="6">
      <formula>$J$65&lt;&gt;$K$65</formula>
    </cfRule>
  </conditionalFormatting>
  <conditionalFormatting sqref="L70:P70">
    <cfRule type="expression" dxfId="70" priority="7">
      <formula>$J$70&lt;&gt;$K$70</formula>
    </cfRule>
  </conditionalFormatting>
  <conditionalFormatting sqref="L77:P77">
    <cfRule type="expression" dxfId="69" priority="8">
      <formula>$J$77&lt;&gt;$K$77</formula>
    </cfRule>
  </conditionalFormatting>
  <conditionalFormatting sqref="L91:P91">
    <cfRule type="expression" dxfId="68" priority="9">
      <formula>$J$91&lt;&gt;$K$91</formula>
    </cfRule>
  </conditionalFormatting>
  <conditionalFormatting sqref="L105:P105">
    <cfRule type="expression" dxfId="67" priority="10">
      <formula>$J$105&lt;&gt;$K$105</formula>
    </cfRule>
  </conditionalFormatting>
  <conditionalFormatting sqref="L114:P114">
    <cfRule type="expression" dxfId="66" priority="11">
      <formula>$J$114&lt;&gt;$K$114</formula>
    </cfRule>
  </conditionalFormatting>
  <dataValidations count="3">
    <dataValidation type="textLength" operator="equal" allowBlank="1" showInputMessage="1" showErrorMessage="1" errorTitle="4-Digit Org Code" error="Enter the Org Code/BU as 4 digits." sqref="F5" xr:uid="{25F5CBB9-2D07-4333-AB99-98FE9B61CD1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FC80E559-2A76-4631-ADB0-2BDDBBB71090}">
      <formula1>0</formula1>
    </dataValidation>
    <dataValidation operator="lessThan" allowBlank="1" showInputMessage="1" showErrorMessage="1" sqref="A3:A8" xr:uid="{E8F4AB87-5602-475C-80D4-1E7820935B63}"/>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0DDBD-00A8-4583-8157-0AFBD7B903CF}">
  <sheetPr>
    <tabColor theme="9" tint="0.59999389629810485"/>
    <pageSetUpPr fitToPage="1"/>
  </sheetPr>
  <dimension ref="A1:T193"/>
  <sheetViews>
    <sheetView topLeftCell="A12" zoomScale="70" zoomScaleNormal="70" workbookViewId="0">
      <selection activeCell="N23" sqref="N23"/>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771</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Fund",VLOOKUP(F5,[14]qryIndex02a!$A$2:$K$654,4,FALSE)),"Unidentified")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119249</v>
      </c>
      <c r="M17" s="134">
        <v>119249</v>
      </c>
      <c r="P17" s="134">
        <v>119249</v>
      </c>
      <c r="Q17" s="135"/>
      <c r="S17" s="136">
        <f>P17-M17</f>
        <v>0</v>
      </c>
      <c r="T17" s="137" t="s">
        <v>123</v>
      </c>
    </row>
    <row r="18" spans="1:20" ht="16.5" customHeight="1" x14ac:dyDescent="0.25">
      <c r="A18" s="138"/>
      <c r="B18" s="129" t="s">
        <v>126</v>
      </c>
      <c r="C18" s="129"/>
      <c r="D18" s="129"/>
      <c r="E18" s="130"/>
      <c r="F18" s="131"/>
      <c r="G18" s="131"/>
      <c r="H18" s="132"/>
      <c r="I18" s="132"/>
      <c r="J18" s="133">
        <f>P18</f>
        <v>184</v>
      </c>
      <c r="M18" s="134">
        <v>184</v>
      </c>
      <c r="P18" s="139">
        <f>IF(SUM($Q$20:$Q$23)&gt;SUM($P$15:$P$17),SUM($Q$20:$Q$23)-SUM($P$15:$P$17),0)</f>
        <v>184</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102214</v>
      </c>
      <c r="N22" s="134">
        <v>102214</v>
      </c>
      <c r="P22" s="135"/>
      <c r="Q22" s="134">
        <v>102214</v>
      </c>
      <c r="S22" s="136">
        <f t="shared" si="0"/>
        <v>0</v>
      </c>
      <c r="T22" s="140" t="s">
        <v>127</v>
      </c>
    </row>
    <row r="23" spans="1:20" ht="16.5" customHeight="1" x14ac:dyDescent="0.25">
      <c r="A23" s="142" t="s">
        <v>132</v>
      </c>
      <c r="B23" s="129"/>
      <c r="C23" s="129" t="s">
        <v>133</v>
      </c>
      <c r="D23" s="129"/>
      <c r="E23" s="130"/>
      <c r="F23" s="131"/>
      <c r="G23" s="131"/>
      <c r="H23" s="132"/>
      <c r="I23" s="132"/>
      <c r="J23" s="141"/>
      <c r="K23" s="133">
        <f>N23</f>
        <v>17219</v>
      </c>
      <c r="N23" s="134">
        <v>17219</v>
      </c>
      <c r="P23" s="135"/>
      <c r="Q23" s="134">
        <v>17219</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119433</v>
      </c>
      <c r="K26" s="146">
        <f>SUM(K15:K25)</f>
        <v>119433</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ADJ)",VLOOKUP($F$9,'[14]Drop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17035</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17035</v>
      </c>
    </row>
    <row r="59" spans="1:16" ht="16.5" customHeight="1" x14ac:dyDescent="0.25">
      <c r="A59" s="138"/>
      <c r="C59" s="124"/>
      <c r="D59" s="124"/>
      <c r="E59" s="124"/>
      <c r="F59" s="125"/>
      <c r="G59" s="125"/>
      <c r="H59" s="126"/>
      <c r="I59" s="126"/>
      <c r="J59" s="146">
        <f>SUM(J55:J58)</f>
        <v>17035</v>
      </c>
      <c r="K59" s="146">
        <f>SUM(K55:K58)</f>
        <v>17035</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17219</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7</v>
      </c>
      <c r="K63" s="158"/>
    </row>
    <row r="64" spans="1:16" ht="16.5" customHeight="1" x14ac:dyDescent="0.25">
      <c r="A64" s="138"/>
      <c r="B64" s="129"/>
      <c r="C64" s="129" t="str">
        <f>IF($F$7="Proprietary","Cr: Acct 0870 - SERVICES &amp; CHARGES (MG ADJ)",VLOOKUP($F$9,'[14]Drop Down Menus'!$F$2:$G$10,2,FALSE))</f>
        <v>Cr: Acct 0825 - BUS, CONSUMER SERV, HOUSING</v>
      </c>
      <c r="D64" s="130"/>
      <c r="E64" s="130"/>
      <c r="F64" s="131"/>
      <c r="G64" s="131"/>
      <c r="H64" s="132"/>
      <c r="I64" s="132"/>
      <c r="J64" s="158"/>
      <c r="K64" s="134">
        <v>17226</v>
      </c>
    </row>
    <row r="65" spans="1:12" ht="16.5" customHeight="1" x14ac:dyDescent="0.25">
      <c r="A65" s="138"/>
      <c r="C65" s="124"/>
      <c r="D65" s="124"/>
      <c r="E65" s="124"/>
      <c r="F65" s="125"/>
      <c r="G65" s="125"/>
      <c r="H65" s="126"/>
      <c r="I65" s="126"/>
      <c r="J65" s="146">
        <f>SUM(J62:J64)</f>
        <v>17226</v>
      </c>
      <c r="K65" s="146">
        <f>SUM(K62:K64)</f>
        <v>17226</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17219</v>
      </c>
      <c r="K68" s="154"/>
    </row>
    <row r="69" spans="1:12" ht="16.5" customHeight="1" x14ac:dyDescent="0.25">
      <c r="A69" s="138"/>
      <c r="B69" s="129"/>
      <c r="C69" s="129" t="s">
        <v>155</v>
      </c>
      <c r="D69" s="130"/>
      <c r="E69" s="130"/>
      <c r="F69" s="131"/>
      <c r="G69" s="131"/>
      <c r="H69" s="132"/>
      <c r="I69" s="132"/>
      <c r="J69" s="154"/>
      <c r="K69" s="134">
        <v>17219</v>
      </c>
      <c r="L69" s="100" t="str">
        <f>IF($J$62=$K$69,"","&lt;- Accts 0848 must agree")</f>
        <v/>
      </c>
    </row>
    <row r="70" spans="1:12" ht="16.5" customHeight="1" x14ac:dyDescent="0.25">
      <c r="A70" s="138"/>
      <c r="C70" s="124"/>
      <c r="D70" s="124"/>
      <c r="E70" s="124"/>
      <c r="F70" s="125"/>
      <c r="G70" s="125"/>
      <c r="H70" s="126"/>
      <c r="I70" s="126"/>
      <c r="J70" s="146">
        <f>SUM(J68:J69)</f>
        <v>17219</v>
      </c>
      <c r="K70" s="146">
        <f>SUM(K68:K69)</f>
        <v>17219</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c r="K75" s="154"/>
    </row>
    <row r="76" spans="1:12" ht="16.5" customHeight="1" x14ac:dyDescent="0.25">
      <c r="A76" s="138"/>
      <c r="B76" s="129"/>
      <c r="C76" s="129" t="s">
        <v>158</v>
      </c>
      <c r="D76" s="130"/>
      <c r="E76" s="130"/>
      <c r="F76" s="131"/>
      <c r="G76" s="131"/>
      <c r="H76" s="132"/>
      <c r="I76" s="132"/>
      <c r="J76" s="154"/>
      <c r="K76" s="134"/>
    </row>
    <row r="77" spans="1:12" ht="16.5" customHeight="1" x14ac:dyDescent="0.2">
      <c r="A77" s="138"/>
      <c r="B77" s="187" t="s">
        <v>159</v>
      </c>
      <c r="C77" s="187"/>
      <c r="D77" s="187"/>
      <c r="E77" s="187"/>
      <c r="F77" s="187"/>
      <c r="G77" s="187"/>
      <c r="H77" s="187"/>
      <c r="I77" s="187"/>
      <c r="J77" s="146">
        <f>SUM(J75:J76)</f>
        <v>0</v>
      </c>
      <c r="K77" s="146">
        <f>SUM(K75:K76)</f>
        <v>0</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v>119249</v>
      </c>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v>119249</v>
      </c>
    </row>
    <row r="91" spans="1:16" ht="16.5" customHeight="1" x14ac:dyDescent="0.25">
      <c r="B91" s="120" t="s">
        <v>169</v>
      </c>
      <c r="H91" s="100"/>
      <c r="J91" s="161">
        <f>SUM(J85:J90)</f>
        <v>119249</v>
      </c>
      <c r="K91" s="161">
        <f>SUM(K85:K90)</f>
        <v>119249</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ADJ)",VLOOKUP($F$9,'[14]Drop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ADJ)",VLOOKUP($F$9,'[14]Drop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0</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0</v>
      </c>
    </row>
    <row r="128" spans="1:12" ht="16.5" customHeight="1" x14ac:dyDescent="0.25">
      <c r="D128" s="130" t="s">
        <v>181</v>
      </c>
      <c r="H128" s="100"/>
      <c r="K128" s="175">
        <f>-K23-K48+J68+J75+J96-K113</f>
        <v>0</v>
      </c>
    </row>
    <row r="129" spans="4:11" ht="16.5" customHeight="1" x14ac:dyDescent="0.25">
      <c r="D129" s="130" t="s">
        <v>182</v>
      </c>
      <c r="H129" s="100"/>
      <c r="K129" s="175">
        <f>-K76</f>
        <v>0</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65" priority="12">
      <formula>$J$62&lt;&gt;$K$69</formula>
    </cfRule>
  </conditionalFormatting>
  <conditionalFormatting sqref="L26:P26">
    <cfRule type="expression" dxfId="64" priority="1">
      <formula>$J$26&lt;&gt;$K$26</formula>
    </cfRule>
  </conditionalFormatting>
  <conditionalFormatting sqref="L36:P36">
    <cfRule type="expression" dxfId="63" priority="2">
      <formula>$J$36&lt;&gt;$K$36</formula>
    </cfRule>
  </conditionalFormatting>
  <conditionalFormatting sqref="L43:P43">
    <cfRule type="expression" dxfId="62" priority="3">
      <formula>$J$43&lt;&gt;$K$43</formula>
    </cfRule>
  </conditionalFormatting>
  <conditionalFormatting sqref="L49:P49">
    <cfRule type="expression" dxfId="61" priority="4">
      <formula>$J$49&lt;&gt;$K$49</formula>
    </cfRule>
  </conditionalFormatting>
  <conditionalFormatting sqref="L59:P59">
    <cfRule type="expression" dxfId="60" priority="5">
      <formula>$J$59&lt;&gt;$K$59</formula>
    </cfRule>
  </conditionalFormatting>
  <conditionalFormatting sqref="L65:P65">
    <cfRule type="expression" dxfId="59" priority="6">
      <formula>$J$65&lt;&gt;$K$65</formula>
    </cfRule>
  </conditionalFormatting>
  <conditionalFormatting sqref="L70:P70">
    <cfRule type="expression" dxfId="58" priority="7">
      <formula>$J$70&lt;&gt;$K$70</formula>
    </cfRule>
  </conditionalFormatting>
  <conditionalFormatting sqref="L77:P77">
    <cfRule type="expression" dxfId="57" priority="8">
      <formula>$J$77&lt;&gt;$K$77</formula>
    </cfRule>
  </conditionalFormatting>
  <conditionalFormatting sqref="L91:P91">
    <cfRule type="expression" dxfId="56" priority="9">
      <formula>$J$91&lt;&gt;$K$91</formula>
    </cfRule>
  </conditionalFormatting>
  <conditionalFormatting sqref="L105:P105">
    <cfRule type="expression" dxfId="55" priority="10">
      <formula>$J$105&lt;&gt;$K$105</formula>
    </cfRule>
  </conditionalFormatting>
  <conditionalFormatting sqref="L114:P114">
    <cfRule type="expression" dxfId="54" priority="11">
      <formula>$J$114&lt;&gt;$K$114</formula>
    </cfRule>
  </conditionalFormatting>
  <dataValidations count="3">
    <dataValidation type="textLength" operator="equal" allowBlank="1" showInputMessage="1" showErrorMessage="1" errorTitle="4-Digit Org Code" error="Enter the Org Code/BU as 4 digits." sqref="F5" xr:uid="{BDDD61CD-E5C6-4754-8AAC-6B0EDDA1660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A1C54E0-2CAF-4E62-9DB8-24493728708B}">
      <formula1>0</formula1>
    </dataValidation>
    <dataValidation operator="lessThan" allowBlank="1" showInputMessage="1" showErrorMessage="1" sqref="A3:A8" xr:uid="{6B1EF524-834F-4608-91AD-9DC03E8A6A95}"/>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275D2-06F9-4BD9-A6FB-B0103984EFC6}">
  <sheetPr>
    <tabColor theme="9" tint="0.59999389629810485"/>
    <pageSetUpPr fitToPage="1"/>
  </sheetPr>
  <dimension ref="A1:T193"/>
  <sheetViews>
    <sheetView topLeftCell="A10" zoomScale="70" zoomScaleNormal="70" workbookViewId="0">
      <selection activeCell="J75" sqref="J75"/>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777</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Fund",VLOOKUP(F5,[15]qryIndex02a!$A$2:$K$654,4,FALSE)),"Unidentified")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581401</v>
      </c>
      <c r="M17" s="134">
        <v>581401</v>
      </c>
      <c r="P17" s="134">
        <v>581401</v>
      </c>
      <c r="Q17" s="135"/>
      <c r="S17" s="136">
        <f>P17-M17</f>
        <v>0</v>
      </c>
      <c r="T17" s="137" t="s">
        <v>123</v>
      </c>
    </row>
    <row r="18" spans="1:20" ht="16.5" customHeight="1" x14ac:dyDescent="0.25">
      <c r="A18" s="138"/>
      <c r="B18" s="129" t="s">
        <v>126</v>
      </c>
      <c r="C18" s="129"/>
      <c r="D18" s="129"/>
      <c r="E18" s="130"/>
      <c r="F18" s="131"/>
      <c r="G18" s="131"/>
      <c r="H18" s="132"/>
      <c r="I18" s="132"/>
      <c r="J18" s="133">
        <f>P18</f>
        <v>7093</v>
      </c>
      <c r="M18" s="134">
        <v>7093</v>
      </c>
      <c r="P18" s="139">
        <f>IF(SUM($Q$20:$Q$23)&gt;SUM($P$15:$P$17),SUM($Q$20:$Q$23)-SUM($P$15:$P$17),0)</f>
        <v>7093</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279072</v>
      </c>
      <c r="N22" s="134">
        <v>279072</v>
      </c>
      <c r="P22" s="135"/>
      <c r="Q22" s="134">
        <v>279072</v>
      </c>
      <c r="S22" s="136">
        <f t="shared" si="0"/>
        <v>0</v>
      </c>
      <c r="T22" s="140" t="s">
        <v>127</v>
      </c>
    </row>
    <row r="23" spans="1:20" ht="16.5" customHeight="1" x14ac:dyDescent="0.25">
      <c r="A23" s="142" t="s">
        <v>132</v>
      </c>
      <c r="B23" s="129"/>
      <c r="C23" s="129" t="s">
        <v>133</v>
      </c>
      <c r="D23" s="129"/>
      <c r="E23" s="130"/>
      <c r="F23" s="131"/>
      <c r="G23" s="131"/>
      <c r="H23" s="132"/>
      <c r="I23" s="132"/>
      <c r="J23" s="141"/>
      <c r="K23" s="133">
        <f>N23</f>
        <v>309422</v>
      </c>
      <c r="N23" s="134">
        <v>309422</v>
      </c>
      <c r="P23" s="135"/>
      <c r="Q23" s="134">
        <v>309422</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588494</v>
      </c>
      <c r="K26" s="146">
        <f>SUM(K15:K25)</f>
        <v>588494</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ADJ)",VLOOKUP($F$9,'[15]Drop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139536</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139536</v>
      </c>
    </row>
    <row r="59" spans="1:16" ht="16.5" customHeight="1" x14ac:dyDescent="0.25">
      <c r="A59" s="138"/>
      <c r="C59" s="124"/>
      <c r="D59" s="124"/>
      <c r="E59" s="124"/>
      <c r="F59" s="125"/>
      <c r="G59" s="125"/>
      <c r="H59" s="126"/>
      <c r="I59" s="126"/>
      <c r="J59" s="146">
        <f>SUM(J55:J58)</f>
        <v>139536</v>
      </c>
      <c r="K59" s="146">
        <f>SUM(K55:K58)</f>
        <v>139536</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140882</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490</v>
      </c>
      <c r="K63" s="158"/>
    </row>
    <row r="64" spans="1:16" ht="16.5" customHeight="1" x14ac:dyDescent="0.25">
      <c r="A64" s="138"/>
      <c r="B64" s="129"/>
      <c r="C64" s="129" t="str">
        <f>IF($F$7="Proprietary","Cr: Acct 0870 - SERVICES &amp; CHARGES (MG ADJ)",VLOOKUP($F$9,'[15]Drop Down Menus'!$F$2:$G$10,2,FALSE))</f>
        <v>Cr: Acct 0825 - BUS, CONSUMER SERV, HOUSING</v>
      </c>
      <c r="D64" s="130"/>
      <c r="E64" s="130"/>
      <c r="F64" s="131"/>
      <c r="G64" s="131"/>
      <c r="H64" s="132"/>
      <c r="I64" s="132"/>
      <c r="J64" s="158"/>
      <c r="K64" s="134">
        <v>141372</v>
      </c>
    </row>
    <row r="65" spans="1:12" ht="16.5" customHeight="1" x14ac:dyDescent="0.25">
      <c r="A65" s="138"/>
      <c r="C65" s="124"/>
      <c r="D65" s="124"/>
      <c r="E65" s="124"/>
      <c r="F65" s="125"/>
      <c r="G65" s="125"/>
      <c r="H65" s="126"/>
      <c r="I65" s="126"/>
      <c r="J65" s="146">
        <f>SUM(J62:J64)</f>
        <v>141372</v>
      </c>
      <c r="K65" s="146">
        <f>SUM(K62:K64)</f>
        <v>141372</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140882</v>
      </c>
      <c r="K68" s="154"/>
    </row>
    <row r="69" spans="1:12" ht="16.5" customHeight="1" x14ac:dyDescent="0.25">
      <c r="A69" s="138"/>
      <c r="B69" s="129"/>
      <c r="C69" s="129" t="s">
        <v>155</v>
      </c>
      <c r="D69" s="130"/>
      <c r="E69" s="130"/>
      <c r="F69" s="131"/>
      <c r="G69" s="131"/>
      <c r="H69" s="132"/>
      <c r="I69" s="132"/>
      <c r="J69" s="154"/>
      <c r="K69" s="134">
        <v>140882</v>
      </c>
      <c r="L69" s="100" t="str">
        <f>IF($J$62=$K$69,"","&lt;- Accts 0848 must agree")</f>
        <v/>
      </c>
    </row>
    <row r="70" spans="1:12" ht="16.5" customHeight="1" x14ac:dyDescent="0.25">
      <c r="A70" s="138"/>
      <c r="C70" s="124"/>
      <c r="D70" s="124"/>
      <c r="E70" s="124"/>
      <c r="F70" s="125"/>
      <c r="G70" s="125"/>
      <c r="H70" s="126"/>
      <c r="I70" s="126"/>
      <c r="J70" s="146">
        <f>SUM(J68:J69)</f>
        <v>140882</v>
      </c>
      <c r="K70" s="146">
        <f>SUM(K68:K69)</f>
        <v>140882</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v>144154</v>
      </c>
      <c r="K75" s="154"/>
    </row>
    <row r="76" spans="1:12" ht="16.5" customHeight="1" x14ac:dyDescent="0.25">
      <c r="A76" s="138"/>
      <c r="B76" s="129"/>
      <c r="C76" s="129" t="s">
        <v>158</v>
      </c>
      <c r="D76" s="130"/>
      <c r="E76" s="130"/>
      <c r="F76" s="131"/>
      <c r="G76" s="131"/>
      <c r="H76" s="132"/>
      <c r="I76" s="132"/>
      <c r="J76" s="154"/>
      <c r="K76" s="134">
        <v>144154</v>
      </c>
    </row>
    <row r="77" spans="1:12" ht="16.5" customHeight="1" x14ac:dyDescent="0.2">
      <c r="A77" s="138"/>
      <c r="B77" s="187" t="s">
        <v>159</v>
      </c>
      <c r="C77" s="187"/>
      <c r="D77" s="187"/>
      <c r="E77" s="187"/>
      <c r="F77" s="187"/>
      <c r="G77" s="187"/>
      <c r="H77" s="187"/>
      <c r="I77" s="187"/>
      <c r="J77" s="146">
        <f>SUM(J75:J76)</f>
        <v>144154</v>
      </c>
      <c r="K77" s="146">
        <f>SUM(K75:K76)</f>
        <v>144154</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row>
    <row r="91" spans="1:16" ht="16.5" customHeight="1" x14ac:dyDescent="0.25">
      <c r="B91" s="120" t="s">
        <v>169</v>
      </c>
      <c r="H91" s="100"/>
      <c r="J91" s="161">
        <f>SUM(J85:J90)</f>
        <v>0</v>
      </c>
      <c r="K91" s="161">
        <f>SUM(K85:K90)</f>
        <v>0</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ADJ)",VLOOKUP($F$9,'[15]Drop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ADJ)",VLOOKUP($F$9,'[15]Drop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581401</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-418608</v>
      </c>
    </row>
    <row r="128" spans="1:12" ht="16.5" customHeight="1" x14ac:dyDescent="0.25">
      <c r="D128" s="130" t="s">
        <v>181</v>
      </c>
      <c r="H128" s="100"/>
      <c r="K128" s="175">
        <f>-K23-K48+J68+J75+J96-K113</f>
        <v>-24386</v>
      </c>
    </row>
    <row r="129" spans="4:11" ht="16.5" customHeight="1" x14ac:dyDescent="0.25">
      <c r="D129" s="130" t="s">
        <v>182</v>
      </c>
      <c r="H129" s="100"/>
      <c r="K129" s="175">
        <f>-K76</f>
        <v>-144154</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type="textLength" operator="equal" allowBlank="1" showInputMessage="1" showErrorMessage="1" errorTitle="4-Digit Org Code" error="Enter the Org Code/BU as 4 digits." sqref="F5" xr:uid="{680924CF-2089-4A6B-A223-B1868A82F41C}">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B3F24CF-AF58-43E5-8235-E930E67781D7}">
      <formula1>0</formula1>
    </dataValidation>
    <dataValidation operator="lessThan" allowBlank="1" showInputMessage="1" showErrorMessage="1" sqref="A3:A8" xr:uid="{0FCBB8AC-82EA-4377-8F28-71D77D5A1EC7}"/>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1C72-6CD5-43C5-AB6C-67371D387C5B}">
  <sheetPr>
    <tabColor theme="9" tint="0.59999389629810485"/>
    <pageSetUpPr fitToPage="1"/>
  </sheetPr>
  <dimension ref="A1:T193"/>
  <sheetViews>
    <sheetView topLeftCell="A4" zoomScale="70" zoomScaleNormal="70" workbookViewId="0">
      <selection activeCell="R121" sqref="R121"/>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779</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Fund",VLOOKUP(F5,[16]qryIndex02a!$A$2:$K$654,4,FALSE)),"Unidentified")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1541948</v>
      </c>
      <c r="M17" s="134">
        <v>1541948</v>
      </c>
      <c r="P17" s="134">
        <v>1541948</v>
      </c>
      <c r="Q17" s="135"/>
      <c r="S17" s="136">
        <f>P17-M17</f>
        <v>0</v>
      </c>
      <c r="T17" s="137" t="s">
        <v>123</v>
      </c>
    </row>
    <row r="18" spans="1:20" ht="16.5" customHeight="1" x14ac:dyDescent="0.25">
      <c r="A18" s="138"/>
      <c r="B18" s="129" t="s">
        <v>126</v>
      </c>
      <c r="C18" s="129"/>
      <c r="D18" s="129"/>
      <c r="E18" s="130"/>
      <c r="F18" s="131"/>
      <c r="G18" s="131"/>
      <c r="H18" s="132"/>
      <c r="I18" s="132"/>
      <c r="J18" s="133">
        <f>P18</f>
        <v>8724</v>
      </c>
      <c r="M18" s="134">
        <v>8724</v>
      </c>
      <c r="P18" s="139">
        <f>IF(SUM($Q$20:$Q$23)&gt;SUM($P$15:$P$17),SUM($Q$20:$Q$23)-SUM($P$15:$P$17),0)</f>
        <v>8724</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1027966</v>
      </c>
      <c r="N22" s="134">
        <v>1027966</v>
      </c>
      <c r="P22" s="135"/>
      <c r="Q22" s="134">
        <v>1027966</v>
      </c>
      <c r="S22" s="136">
        <f t="shared" si="0"/>
        <v>0</v>
      </c>
      <c r="T22" s="140" t="s">
        <v>127</v>
      </c>
    </row>
    <row r="23" spans="1:20" ht="16.5" customHeight="1" x14ac:dyDescent="0.25">
      <c r="A23" s="142" t="s">
        <v>132</v>
      </c>
      <c r="B23" s="129"/>
      <c r="C23" s="129" t="s">
        <v>133</v>
      </c>
      <c r="D23" s="129"/>
      <c r="E23" s="130"/>
      <c r="F23" s="131"/>
      <c r="G23" s="131"/>
      <c r="H23" s="132"/>
      <c r="I23" s="132"/>
      <c r="J23" s="141"/>
      <c r="K23" s="133">
        <f>N23</f>
        <v>522706</v>
      </c>
      <c r="N23" s="134">
        <v>522706</v>
      </c>
      <c r="P23" s="135"/>
      <c r="Q23" s="134">
        <v>522706</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1550672</v>
      </c>
      <c r="K26" s="146">
        <f>SUM(K15:K25)</f>
        <v>1550672</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ADJ)",VLOOKUP($F$9,'[16]Drop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513982</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513982</v>
      </c>
    </row>
    <row r="59" spans="1:16" ht="16.5" customHeight="1" x14ac:dyDescent="0.25">
      <c r="A59" s="138"/>
      <c r="C59" s="124"/>
      <c r="D59" s="124"/>
      <c r="E59" s="124"/>
      <c r="F59" s="125"/>
      <c r="G59" s="125"/>
      <c r="H59" s="126"/>
      <c r="I59" s="126"/>
      <c r="J59" s="146">
        <f>SUM(J55:J58)</f>
        <v>513982</v>
      </c>
      <c r="K59" s="146">
        <f>SUM(K55:K58)</f>
        <v>513982</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522706</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568</v>
      </c>
      <c r="K63" s="158"/>
    </row>
    <row r="64" spans="1:16" ht="16.5" customHeight="1" x14ac:dyDescent="0.25">
      <c r="A64" s="138"/>
      <c r="B64" s="129"/>
      <c r="C64" s="129" t="str">
        <f>IF($F$7="Proprietary","Cr: Acct 0870 - SERVICES &amp; CHARGES (MG ADJ)",VLOOKUP($F$9,'[16]Drop Down Menus'!$F$2:$G$10,2,FALSE))</f>
        <v>Cr: Acct 0825 - BUS, CONSUMER SERV, HOUSING</v>
      </c>
      <c r="D64" s="130"/>
      <c r="E64" s="130"/>
      <c r="F64" s="131"/>
      <c r="G64" s="131"/>
      <c r="H64" s="132"/>
      <c r="I64" s="132"/>
      <c r="J64" s="158"/>
      <c r="K64" s="134">
        <v>523274</v>
      </c>
    </row>
    <row r="65" spans="1:12" ht="16.5" customHeight="1" x14ac:dyDescent="0.25">
      <c r="A65" s="138"/>
      <c r="C65" s="124"/>
      <c r="D65" s="124"/>
      <c r="E65" s="124"/>
      <c r="F65" s="125"/>
      <c r="G65" s="125"/>
      <c r="H65" s="126"/>
      <c r="I65" s="126"/>
      <c r="J65" s="146">
        <f>SUM(J62:J64)</f>
        <v>523274</v>
      </c>
      <c r="K65" s="146">
        <f>SUM(K62:K64)</f>
        <v>523274</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522706</v>
      </c>
      <c r="K68" s="154"/>
    </row>
    <row r="69" spans="1:12" ht="16.5" customHeight="1" x14ac:dyDescent="0.25">
      <c r="A69" s="138"/>
      <c r="B69" s="129"/>
      <c r="C69" s="129" t="s">
        <v>155</v>
      </c>
      <c r="D69" s="130"/>
      <c r="E69" s="130"/>
      <c r="F69" s="131"/>
      <c r="G69" s="131"/>
      <c r="H69" s="132"/>
      <c r="I69" s="132"/>
      <c r="J69" s="154"/>
      <c r="K69" s="134">
        <v>522706</v>
      </c>
      <c r="L69" s="100" t="str">
        <f>IF($J$62=$K$69,"","&lt;- Accts 0848 must agree")</f>
        <v/>
      </c>
    </row>
    <row r="70" spans="1:12" ht="16.5" customHeight="1" x14ac:dyDescent="0.25">
      <c r="A70" s="138"/>
      <c r="C70" s="124"/>
      <c r="D70" s="124"/>
      <c r="E70" s="124"/>
      <c r="F70" s="125"/>
      <c r="G70" s="125"/>
      <c r="H70" s="126"/>
      <c r="I70" s="126"/>
      <c r="J70" s="146">
        <f>SUM(J68:J69)</f>
        <v>522706</v>
      </c>
      <c r="K70" s="146">
        <f>SUM(K68:K69)</f>
        <v>522706</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c r="K75" s="154"/>
    </row>
    <row r="76" spans="1:12" ht="16.5" customHeight="1" x14ac:dyDescent="0.25">
      <c r="A76" s="138"/>
      <c r="B76" s="129"/>
      <c r="C76" s="129" t="s">
        <v>158</v>
      </c>
      <c r="D76" s="130"/>
      <c r="E76" s="130"/>
      <c r="F76" s="131"/>
      <c r="G76" s="131"/>
      <c r="H76" s="132"/>
      <c r="I76" s="132"/>
      <c r="J76" s="154"/>
      <c r="K76" s="134"/>
    </row>
    <row r="77" spans="1:12" ht="16.5" customHeight="1" x14ac:dyDescent="0.2">
      <c r="A77" s="138"/>
      <c r="B77" s="187" t="s">
        <v>159</v>
      </c>
      <c r="C77" s="187"/>
      <c r="D77" s="187"/>
      <c r="E77" s="187"/>
      <c r="F77" s="187"/>
      <c r="G77" s="187"/>
      <c r="H77" s="187"/>
      <c r="I77" s="187"/>
      <c r="J77" s="146">
        <f>SUM(J75:J76)</f>
        <v>0</v>
      </c>
      <c r="K77" s="146">
        <f>SUM(K75:K76)</f>
        <v>0</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v>1541948</v>
      </c>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v>1541948</v>
      </c>
    </row>
    <row r="91" spans="1:16" ht="16.5" customHeight="1" x14ac:dyDescent="0.25">
      <c r="B91" s="120" t="s">
        <v>169</v>
      </c>
      <c r="H91" s="100"/>
      <c r="J91" s="161">
        <f>SUM(J85:J90)</f>
        <v>1541948</v>
      </c>
      <c r="K91" s="161">
        <f>SUM(K85:K90)</f>
        <v>1541948</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ADJ)",VLOOKUP($F$9,'[16]Drop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ADJ)",VLOOKUP($F$9,'[16]Drop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0</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0</v>
      </c>
    </row>
    <row r="128" spans="1:12" ht="16.5" customHeight="1" x14ac:dyDescent="0.25">
      <c r="D128" s="130" t="s">
        <v>181</v>
      </c>
      <c r="H128" s="100"/>
      <c r="K128" s="175">
        <f>-K23-K48+J68+J75+J96-K113</f>
        <v>0</v>
      </c>
    </row>
    <row r="129" spans="4:11" ht="16.5" customHeight="1" x14ac:dyDescent="0.25">
      <c r="D129" s="130" t="s">
        <v>182</v>
      </c>
      <c r="H129" s="100"/>
      <c r="K129" s="175">
        <f>-K76</f>
        <v>0</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type="textLength" operator="equal" allowBlank="1" showInputMessage="1" showErrorMessage="1" errorTitle="4-Digit Org Code" error="Enter the Org Code/BU as 4 digits." sqref="F5" xr:uid="{FE922F29-01D2-4B67-B6B5-6728DECC5BDE}">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ED558AE-259C-4F8D-AFE1-D362DA15E93A}">
      <formula1>0</formula1>
    </dataValidation>
    <dataValidation operator="lessThan" allowBlank="1" showInputMessage="1" showErrorMessage="1" sqref="A3:A8" xr:uid="{D35ED160-3A07-4687-9E35-FCD2750AD060}"/>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87F36-51DF-406C-B2E2-820B6E238906}">
  <sheetPr>
    <tabColor theme="9" tint="0.59999389629810485"/>
    <pageSetUpPr fitToPage="1"/>
  </sheetPr>
  <dimension ref="A1:T193"/>
  <sheetViews>
    <sheetView topLeftCell="A22" zoomScale="70" zoomScaleNormal="70" workbookViewId="0">
      <selection activeCell="N23" sqref="N23"/>
    </sheetView>
  </sheetViews>
  <sheetFormatPr defaultColWidth="9.140625" defaultRowHeight="15" x14ac:dyDescent="0.25"/>
  <cols>
    <col min="1" max="1" width="13.28515625" style="100" customWidth="1"/>
    <col min="2" max="5" width="10.7109375" style="100" customWidth="1"/>
    <col min="6" max="7" width="15.28515625" style="100" customWidth="1"/>
    <col min="8" max="8" width="15.28515625" style="176" customWidth="1"/>
    <col min="9" max="9" width="15.28515625" style="100" customWidth="1"/>
    <col min="10" max="10" width="21.28515625" style="100" customWidth="1"/>
    <col min="11" max="11" width="19.140625" style="100" customWidth="1"/>
    <col min="12" max="12" width="4" style="100" customWidth="1"/>
    <col min="13" max="14" width="17.28515625" style="100" customWidth="1"/>
    <col min="15" max="15" width="4" style="100" customWidth="1"/>
    <col min="16" max="17" width="15.85546875" style="100" customWidth="1"/>
    <col min="18" max="18" width="4" style="100" customWidth="1"/>
    <col min="19" max="19" width="15.85546875" style="100" customWidth="1"/>
    <col min="20" max="16384" width="9.140625" style="100"/>
  </cols>
  <sheetData>
    <row r="1" spans="1:20" ht="45" customHeight="1" x14ac:dyDescent="0.25">
      <c r="A1" s="190" t="s">
        <v>105</v>
      </c>
      <c r="B1" s="190"/>
      <c r="C1" s="190"/>
      <c r="D1" s="190"/>
      <c r="E1" s="190"/>
      <c r="F1" s="190"/>
      <c r="G1" s="190"/>
      <c r="H1" s="190"/>
      <c r="I1" s="190"/>
      <c r="J1" s="190"/>
      <c r="K1" s="190"/>
      <c r="L1" s="99"/>
      <c r="M1" s="99"/>
      <c r="N1" s="99"/>
      <c r="O1" s="99"/>
    </row>
    <row r="2" spans="1:20" ht="16.5" customHeight="1" x14ac:dyDescent="0.25">
      <c r="A2" s="101" t="s">
        <v>106</v>
      </c>
      <c r="B2" s="102"/>
      <c r="C2" s="102"/>
      <c r="D2" s="102"/>
      <c r="E2" s="102"/>
      <c r="F2" s="102"/>
      <c r="G2" s="102"/>
      <c r="H2" s="102"/>
      <c r="I2" s="102"/>
      <c r="J2" s="102"/>
      <c r="K2" s="102"/>
      <c r="L2" s="102"/>
      <c r="M2" s="102"/>
      <c r="N2" s="102"/>
      <c r="O2" s="102"/>
    </row>
    <row r="3" spans="1:20" ht="16.5" customHeight="1" x14ac:dyDescent="0.25">
      <c r="A3" s="183" t="s">
        <v>79</v>
      </c>
      <c r="B3" s="183"/>
      <c r="C3" s="183"/>
      <c r="D3" s="183"/>
      <c r="E3" s="183"/>
      <c r="F3" s="191" t="s">
        <v>80</v>
      </c>
      <c r="G3" s="191"/>
      <c r="H3" s="191"/>
      <c r="I3" s="191"/>
    </row>
    <row r="4" spans="1:20" ht="16.5" customHeight="1" x14ac:dyDescent="0.2">
      <c r="A4" s="183" t="s">
        <v>82</v>
      </c>
      <c r="B4" s="183"/>
      <c r="C4" s="183"/>
      <c r="D4" s="183"/>
      <c r="E4" s="183"/>
      <c r="F4" s="189" t="s">
        <v>83</v>
      </c>
      <c r="G4" s="189"/>
      <c r="H4" s="189"/>
      <c r="I4" s="189"/>
    </row>
    <row r="5" spans="1:20" ht="16.5" customHeight="1" x14ac:dyDescent="0.2">
      <c r="A5" s="183" t="s">
        <v>107</v>
      </c>
      <c r="B5" s="183"/>
      <c r="C5" s="183"/>
      <c r="D5" s="183"/>
      <c r="E5" s="183"/>
      <c r="F5" s="189" t="s">
        <v>108</v>
      </c>
      <c r="G5" s="189"/>
      <c r="H5" s="189"/>
      <c r="I5" s="189"/>
      <c r="L5" s="104"/>
      <c r="M5" s="104"/>
      <c r="N5" s="104"/>
      <c r="O5" s="104"/>
      <c r="P5" s="104"/>
      <c r="Q5" s="104"/>
    </row>
    <row r="6" spans="1:20" ht="16.5" customHeight="1" x14ac:dyDescent="0.25">
      <c r="A6" s="183" t="s">
        <v>109</v>
      </c>
      <c r="B6" s="183"/>
      <c r="C6" s="183"/>
      <c r="D6" s="183"/>
      <c r="E6" s="183"/>
      <c r="F6" s="188">
        <v>3017</v>
      </c>
      <c r="G6" s="188"/>
      <c r="H6" s="188"/>
      <c r="I6" s="188"/>
      <c r="L6" s="105"/>
      <c r="M6" s="105"/>
      <c r="N6" s="105"/>
      <c r="O6" s="105"/>
      <c r="P6" s="104"/>
      <c r="Q6" s="104"/>
    </row>
    <row r="7" spans="1:20" ht="16.5" customHeight="1" x14ac:dyDescent="0.25">
      <c r="A7" s="183" t="s">
        <v>110</v>
      </c>
      <c r="B7" s="183"/>
      <c r="C7" s="183"/>
      <c r="D7" s="183"/>
      <c r="E7" s="183"/>
      <c r="F7" s="188" t="s">
        <v>111</v>
      </c>
      <c r="G7" s="188"/>
      <c r="H7" s="188"/>
      <c r="I7" s="188"/>
      <c r="K7" s="106"/>
      <c r="L7" s="105"/>
      <c r="M7" s="105"/>
      <c r="N7" s="105"/>
      <c r="O7" s="105"/>
      <c r="P7" s="104"/>
      <c r="Q7" s="104"/>
    </row>
    <row r="8" spans="1:20" ht="16.5" customHeight="1" x14ac:dyDescent="0.25">
      <c r="A8" s="183" t="s">
        <v>112</v>
      </c>
      <c r="B8" s="183"/>
      <c r="C8" s="183"/>
      <c r="D8" s="183"/>
      <c r="E8" s="183"/>
      <c r="F8" s="188" t="s">
        <v>113</v>
      </c>
      <c r="G8" s="188"/>
      <c r="H8" s="188"/>
      <c r="I8" s="188"/>
      <c r="K8" s="106"/>
      <c r="L8" s="105"/>
      <c r="M8" s="105"/>
      <c r="N8" s="105"/>
      <c r="O8" s="105"/>
      <c r="P8" s="104"/>
      <c r="Q8" s="104"/>
    </row>
    <row r="9" spans="1:20" ht="16.5" customHeight="1" x14ac:dyDescent="0.25">
      <c r="A9" s="183" t="s">
        <v>114</v>
      </c>
      <c r="B9" s="183"/>
      <c r="C9" s="183"/>
      <c r="D9" s="183"/>
      <c r="E9" s="183"/>
      <c r="F9" s="184" t="str">
        <f>IFERROR(IF(F7="Proprietary","Proprietary Fund",VLOOKUP(F5,[17]qryIndex02a!$A$2:$K$654,4,FALSE)),"Unidentified")</f>
        <v>BUS, CONSUMER SERV, HOUSING</v>
      </c>
      <c r="G9" s="184"/>
      <c r="H9" s="184"/>
      <c r="I9" s="184"/>
      <c r="K9" s="104"/>
      <c r="L9" s="104"/>
      <c r="M9" s="104"/>
      <c r="N9" s="104"/>
      <c r="O9" s="104"/>
      <c r="P9" s="104"/>
    </row>
    <row r="10" spans="1:20" ht="16.5" customHeight="1" x14ac:dyDescent="0.25">
      <c r="A10" s="103"/>
      <c r="B10" s="103"/>
      <c r="C10" s="103"/>
      <c r="D10" s="103"/>
      <c r="E10" s="105"/>
      <c r="F10" s="104"/>
      <c r="G10" s="104"/>
      <c r="H10" s="107"/>
      <c r="I10" s="104"/>
      <c r="J10" s="104"/>
      <c r="K10" s="104"/>
      <c r="L10" s="104"/>
      <c r="M10" s="104"/>
      <c r="N10" s="104"/>
      <c r="O10" s="104"/>
      <c r="P10" s="104"/>
    </row>
    <row r="11" spans="1:20" ht="16.5" customHeight="1" x14ac:dyDescent="0.25">
      <c r="A11" s="103"/>
      <c r="B11" s="103"/>
      <c r="C11" s="103"/>
      <c r="D11" s="103"/>
      <c r="E11" s="105"/>
      <c r="F11" s="104"/>
      <c r="G11" s="104"/>
      <c r="H11" s="107"/>
      <c r="I11" s="104"/>
      <c r="J11" s="104"/>
      <c r="K11" s="104"/>
      <c r="L11" s="104"/>
      <c r="M11" s="104"/>
      <c r="N11" s="104"/>
      <c r="O11" s="104"/>
      <c r="P11" s="104"/>
    </row>
    <row r="12" spans="1:20" s="114" customFormat="1" ht="21" customHeight="1" x14ac:dyDescent="0.3">
      <c r="A12" s="108" t="s">
        <v>115</v>
      </c>
      <c r="B12" s="109"/>
      <c r="C12" s="110"/>
      <c r="D12" s="110"/>
      <c r="E12" s="110"/>
      <c r="F12" s="111"/>
      <c r="G12" s="111"/>
      <c r="H12" s="112"/>
      <c r="I12" s="112"/>
      <c r="J12" s="111"/>
      <c r="K12" s="111"/>
      <c r="L12" s="104"/>
      <c r="M12" s="104"/>
      <c r="N12" s="113"/>
      <c r="O12" s="113"/>
      <c r="P12" s="113"/>
    </row>
    <row r="13" spans="1:20" s="117" customFormat="1" ht="16.5" customHeight="1" x14ac:dyDescent="0.3">
      <c r="A13" s="115" t="s">
        <v>116</v>
      </c>
      <c r="B13" s="116"/>
      <c r="D13" s="118"/>
      <c r="E13" s="118"/>
      <c r="F13" s="119"/>
      <c r="G13" s="119"/>
      <c r="H13" s="120"/>
      <c r="I13" s="120"/>
      <c r="J13" s="121"/>
      <c r="K13" s="121"/>
    </row>
    <row r="14" spans="1:20" ht="16.5" customHeight="1" x14ac:dyDescent="0.3">
      <c r="A14" s="122">
        <v>0</v>
      </c>
      <c r="B14" s="123" t="s">
        <v>117</v>
      </c>
      <c r="C14" s="124"/>
      <c r="D14" s="124"/>
      <c r="E14" s="124"/>
      <c r="F14" s="125"/>
      <c r="G14" s="125"/>
      <c r="H14" s="126"/>
      <c r="I14" s="126"/>
      <c r="J14" s="121"/>
      <c r="K14" s="121"/>
      <c r="L14" s="117"/>
      <c r="M14" s="185" t="s">
        <v>118</v>
      </c>
      <c r="N14" s="186"/>
      <c r="O14" s="117"/>
      <c r="P14" s="185" t="s">
        <v>119</v>
      </c>
      <c r="Q14" s="186"/>
      <c r="R14" s="117"/>
      <c r="S14" s="127" t="s">
        <v>120</v>
      </c>
    </row>
    <row r="15" spans="1:20" ht="16.5" customHeight="1" x14ac:dyDescent="0.25">
      <c r="A15" s="128" t="s">
        <v>121</v>
      </c>
      <c r="B15" s="129" t="s">
        <v>122</v>
      </c>
      <c r="C15" s="129"/>
      <c r="D15" s="129"/>
      <c r="E15" s="130"/>
      <c r="F15" s="131"/>
      <c r="G15" s="131"/>
      <c r="H15" s="132"/>
      <c r="I15" s="132"/>
      <c r="J15" s="133">
        <f>M15</f>
        <v>0</v>
      </c>
      <c r="M15" s="134"/>
      <c r="P15" s="134"/>
      <c r="Q15" s="135"/>
      <c r="S15" s="136">
        <f>P15-M15</f>
        <v>0</v>
      </c>
      <c r="T15" s="137" t="s">
        <v>123</v>
      </c>
    </row>
    <row r="16" spans="1:20" ht="16.5" customHeight="1" x14ac:dyDescent="0.25">
      <c r="A16" s="128" t="s">
        <v>121</v>
      </c>
      <c r="B16" s="129" t="s">
        <v>124</v>
      </c>
      <c r="C16" s="129"/>
      <c r="D16" s="129"/>
      <c r="E16" s="130"/>
      <c r="F16" s="131"/>
      <c r="G16" s="131"/>
      <c r="H16" s="132"/>
      <c r="I16" s="132"/>
      <c r="J16" s="133">
        <f>M16</f>
        <v>0</v>
      </c>
      <c r="M16" s="134"/>
      <c r="P16" s="134"/>
      <c r="Q16" s="135"/>
      <c r="S16" s="136">
        <f>P16-M16</f>
        <v>0</v>
      </c>
      <c r="T16" s="137" t="s">
        <v>123</v>
      </c>
    </row>
    <row r="17" spans="1:20" ht="16.5" customHeight="1" x14ac:dyDescent="0.25">
      <c r="A17" s="128" t="s">
        <v>121</v>
      </c>
      <c r="B17" s="129" t="s">
        <v>125</v>
      </c>
      <c r="C17" s="129"/>
      <c r="D17" s="129"/>
      <c r="E17" s="130"/>
      <c r="F17" s="131"/>
      <c r="G17" s="131"/>
      <c r="H17" s="132"/>
      <c r="I17" s="132"/>
      <c r="J17" s="133">
        <f>M17</f>
        <v>331372</v>
      </c>
      <c r="M17" s="134">
        <v>331372</v>
      </c>
      <c r="P17" s="134">
        <v>331372</v>
      </c>
      <c r="Q17" s="135"/>
      <c r="S17" s="136">
        <f>P17-M17</f>
        <v>0</v>
      </c>
      <c r="T17" s="137" t="s">
        <v>123</v>
      </c>
    </row>
    <row r="18" spans="1:20" ht="16.5" customHeight="1" x14ac:dyDescent="0.25">
      <c r="A18" s="138"/>
      <c r="B18" s="129" t="s">
        <v>126</v>
      </c>
      <c r="C18" s="129"/>
      <c r="D18" s="129"/>
      <c r="E18" s="130"/>
      <c r="F18" s="131"/>
      <c r="G18" s="131"/>
      <c r="H18" s="132"/>
      <c r="I18" s="132"/>
      <c r="J18" s="133">
        <f>P18</f>
        <v>1677</v>
      </c>
      <c r="M18" s="134">
        <v>1677</v>
      </c>
      <c r="P18" s="139">
        <f>IF(SUM($Q$20:$Q$23)&gt;SUM($P$15:$P$17),SUM($Q$20:$Q$23)-SUM($P$15:$P$17),0)</f>
        <v>1677</v>
      </c>
      <c r="Q18" s="135"/>
      <c r="S18" s="136">
        <f>P18-M18</f>
        <v>0</v>
      </c>
      <c r="T18" s="140" t="s">
        <v>127</v>
      </c>
    </row>
    <row r="19" spans="1:20" ht="16.5" customHeight="1" x14ac:dyDescent="0.25">
      <c r="A19" s="138"/>
      <c r="B19" s="129" t="s">
        <v>128</v>
      </c>
      <c r="C19" s="129"/>
      <c r="D19" s="129"/>
      <c r="E19" s="130"/>
      <c r="F19" s="131"/>
      <c r="G19" s="131"/>
      <c r="H19" s="132"/>
      <c r="I19" s="132"/>
      <c r="J19" s="133">
        <f>IF(SUM($K$20:$K$24)&gt;SUM($J$15:$J$18),SUM($K$20:$K$24)-SUM($J$15:$J$18),0)</f>
        <v>0</v>
      </c>
      <c r="M19" s="134"/>
      <c r="P19" s="135"/>
      <c r="Q19" s="135"/>
      <c r="S19" s="136">
        <f>P19-M19</f>
        <v>0</v>
      </c>
      <c r="T19" s="140" t="s">
        <v>127</v>
      </c>
    </row>
    <row r="20" spans="1:20" ht="16.5" customHeight="1" x14ac:dyDescent="0.25">
      <c r="A20" s="138"/>
      <c r="B20" s="129"/>
      <c r="C20" s="129" t="s">
        <v>129</v>
      </c>
      <c r="D20" s="129"/>
      <c r="E20" s="130"/>
      <c r="F20" s="131"/>
      <c r="G20" s="131"/>
      <c r="H20" s="132"/>
      <c r="I20" s="132"/>
      <c r="J20" s="141"/>
      <c r="K20" s="133">
        <f>N20</f>
        <v>0</v>
      </c>
      <c r="N20" s="134"/>
      <c r="P20" s="135"/>
      <c r="Q20" s="134"/>
      <c r="S20" s="136">
        <f t="shared" ref="S20:S25" si="0">Q20-N20</f>
        <v>0</v>
      </c>
      <c r="T20" s="140" t="s">
        <v>127</v>
      </c>
    </row>
    <row r="21" spans="1:20" ht="16.5" customHeight="1" x14ac:dyDescent="0.25">
      <c r="A21" s="138"/>
      <c r="B21" s="129"/>
      <c r="C21" s="129" t="s">
        <v>130</v>
      </c>
      <c r="D21" s="129"/>
      <c r="E21" s="130"/>
      <c r="F21" s="131"/>
      <c r="G21" s="131"/>
      <c r="H21" s="132"/>
      <c r="I21" s="132"/>
      <c r="J21" s="141"/>
      <c r="K21" s="133">
        <f>N21</f>
        <v>0</v>
      </c>
      <c r="N21" s="134"/>
      <c r="P21" s="135"/>
      <c r="Q21" s="134"/>
      <c r="S21" s="136">
        <f t="shared" si="0"/>
        <v>0</v>
      </c>
      <c r="T21" s="140" t="s">
        <v>127</v>
      </c>
    </row>
    <row r="22" spans="1:20" ht="16.5" customHeight="1" x14ac:dyDescent="0.25">
      <c r="A22" s="138"/>
      <c r="B22" s="129"/>
      <c r="C22" s="129" t="s">
        <v>131</v>
      </c>
      <c r="D22" s="129"/>
      <c r="E22" s="130"/>
      <c r="F22" s="131"/>
      <c r="G22" s="131"/>
      <c r="H22" s="132"/>
      <c r="I22" s="132"/>
      <c r="J22" s="141"/>
      <c r="K22" s="133">
        <f>N22</f>
        <v>265098</v>
      </c>
      <c r="N22" s="134">
        <v>265098</v>
      </c>
      <c r="P22" s="135"/>
      <c r="Q22" s="134">
        <v>265098</v>
      </c>
      <c r="S22" s="136">
        <f t="shared" si="0"/>
        <v>0</v>
      </c>
      <c r="T22" s="140" t="s">
        <v>127</v>
      </c>
    </row>
    <row r="23" spans="1:20" ht="16.5" customHeight="1" x14ac:dyDescent="0.25">
      <c r="A23" s="142" t="s">
        <v>132</v>
      </c>
      <c r="B23" s="129"/>
      <c r="C23" s="129" t="s">
        <v>133</v>
      </c>
      <c r="D23" s="129"/>
      <c r="E23" s="130"/>
      <c r="F23" s="131"/>
      <c r="G23" s="131"/>
      <c r="H23" s="132"/>
      <c r="I23" s="132"/>
      <c r="J23" s="141"/>
      <c r="K23" s="133">
        <f>N23</f>
        <v>67951</v>
      </c>
      <c r="N23" s="134">
        <v>67951</v>
      </c>
      <c r="P23" s="135"/>
      <c r="Q23" s="134">
        <v>67951</v>
      </c>
      <c r="S23" s="136">
        <f t="shared" si="0"/>
        <v>0</v>
      </c>
      <c r="T23" s="140" t="s">
        <v>127</v>
      </c>
    </row>
    <row r="24" spans="1:20" ht="16.5" customHeight="1" x14ac:dyDescent="0.25">
      <c r="A24" s="138"/>
      <c r="B24" s="129"/>
      <c r="C24" s="129" t="s">
        <v>134</v>
      </c>
      <c r="D24" s="129"/>
      <c r="E24" s="130"/>
      <c r="F24" s="131"/>
      <c r="G24" s="131"/>
      <c r="H24" s="132"/>
      <c r="I24" s="132"/>
      <c r="J24" s="141"/>
      <c r="K24" s="133">
        <f>Q24</f>
        <v>0</v>
      </c>
      <c r="N24" s="134"/>
      <c r="P24" s="135"/>
      <c r="Q24" s="139">
        <f>IF(SUM($Q$20:$Q$23)&lt;SUM($P$15:$P$17),-SUM($Q$20:$Q$23)+SUM($P$15:$P$17),0)</f>
        <v>0</v>
      </c>
      <c r="S24" s="136">
        <f t="shared" si="0"/>
        <v>0</v>
      </c>
      <c r="T24" s="140" t="s">
        <v>127</v>
      </c>
    </row>
    <row r="25" spans="1:20" ht="16.5" customHeight="1" x14ac:dyDescent="0.25">
      <c r="A25" s="138"/>
      <c r="B25" s="129"/>
      <c r="C25" s="129" t="s">
        <v>135</v>
      </c>
      <c r="D25" s="129"/>
      <c r="E25" s="130"/>
      <c r="F25" s="131"/>
      <c r="G25" s="131"/>
      <c r="H25" s="132"/>
      <c r="I25" s="132"/>
      <c r="J25" s="141"/>
      <c r="K25" s="133">
        <f>IF(SUM($K$20:$K$24)&lt;SUM($J$15:$J$18),-SUM($K$20:$K$24)+SUM($J$15:$J$18),0)</f>
        <v>0</v>
      </c>
      <c r="N25" s="134"/>
      <c r="P25" s="135"/>
      <c r="Q25" s="135"/>
      <c r="S25" s="136">
        <f t="shared" si="0"/>
        <v>0</v>
      </c>
      <c r="T25" s="140" t="s">
        <v>127</v>
      </c>
    </row>
    <row r="26" spans="1:20" ht="16.5" customHeight="1" x14ac:dyDescent="0.25">
      <c r="A26" s="138"/>
      <c r="C26" s="143"/>
      <c r="D26" s="143"/>
      <c r="E26" s="143"/>
      <c r="F26" s="144"/>
      <c r="G26" s="144"/>
      <c r="H26" s="145"/>
      <c r="I26" s="145"/>
      <c r="J26" s="146">
        <f>SUM(J15:J25)</f>
        <v>333049</v>
      </c>
      <c r="K26" s="146">
        <f>SUM(K15:K25)</f>
        <v>333049</v>
      </c>
      <c r="L26" s="147" t="str">
        <f>IF(J26=K26,"&lt;- Debits and Credits equal each other.","&lt;- Debits and Credits do not equal each other.")</f>
        <v>&lt;- Debits and Credits equal each other.</v>
      </c>
    </row>
    <row r="27" spans="1:20" ht="16.5" customHeight="1" x14ac:dyDescent="0.25">
      <c r="A27" s="54"/>
      <c r="B27" s="120" t="s">
        <v>136</v>
      </c>
      <c r="C27" s="148"/>
      <c r="D27" s="143"/>
      <c r="E27" s="143"/>
      <c r="F27" s="149"/>
      <c r="G27" s="149"/>
      <c r="H27" s="145"/>
      <c r="I27" s="145"/>
      <c r="J27" s="150"/>
      <c r="K27" s="150"/>
      <c r="L27" s="151"/>
    </row>
    <row r="28" spans="1:20" ht="16.149999999999999" customHeight="1" x14ac:dyDescent="0.3">
      <c r="A28" s="54"/>
      <c r="B28" s="152" t="s">
        <v>137</v>
      </c>
      <c r="C28" s="153"/>
      <c r="D28" s="143"/>
      <c r="E28" s="143"/>
      <c r="F28" s="144"/>
      <c r="G28" s="144"/>
      <c r="H28" s="145"/>
      <c r="I28" s="145"/>
      <c r="J28" s="150"/>
      <c r="K28" s="150"/>
      <c r="L28" s="151"/>
    </row>
    <row r="29" spans="1:20" ht="16.149999999999999" customHeight="1" x14ac:dyDescent="0.3">
      <c r="A29" s="54"/>
      <c r="B29" s="152"/>
      <c r="C29" s="153"/>
      <c r="D29" s="143"/>
      <c r="E29" s="143"/>
      <c r="F29" s="144"/>
      <c r="G29" s="144"/>
      <c r="H29" s="145"/>
      <c r="I29" s="145"/>
      <c r="J29" s="150"/>
      <c r="K29" s="150"/>
      <c r="L29" s="151"/>
    </row>
    <row r="30" spans="1:20" ht="16.5" customHeight="1" x14ac:dyDescent="0.25">
      <c r="A30" s="138"/>
      <c r="C30" s="143"/>
      <c r="D30" s="143"/>
      <c r="E30" s="143"/>
      <c r="F30" s="144"/>
      <c r="G30" s="144"/>
      <c r="H30" s="145"/>
      <c r="I30" s="145"/>
      <c r="J30" s="146"/>
      <c r="K30" s="146"/>
      <c r="L30" s="151"/>
    </row>
    <row r="31" spans="1:20" s="114" customFormat="1" ht="21" customHeight="1" x14ac:dyDescent="0.3">
      <c r="A31" s="108" t="s">
        <v>138</v>
      </c>
      <c r="B31" s="109"/>
      <c r="C31" s="110"/>
      <c r="D31" s="110"/>
      <c r="E31" s="110"/>
      <c r="F31" s="111"/>
      <c r="G31" s="111"/>
      <c r="H31" s="112"/>
      <c r="I31" s="112"/>
      <c r="J31" s="111"/>
      <c r="K31" s="111"/>
      <c r="L31" s="104"/>
      <c r="M31" s="104"/>
      <c r="N31" s="113"/>
      <c r="O31" s="113"/>
      <c r="P31" s="113"/>
    </row>
    <row r="32" spans="1:20" s="117" customFormat="1" ht="16.5" customHeight="1" x14ac:dyDescent="0.3">
      <c r="A32" s="115">
        <v>1</v>
      </c>
      <c r="B32" s="116" t="s">
        <v>139</v>
      </c>
      <c r="D32" s="118"/>
      <c r="E32" s="118"/>
      <c r="F32" s="119"/>
      <c r="G32" s="119"/>
      <c r="H32" s="120"/>
      <c r="I32" s="120"/>
      <c r="J32" s="121"/>
      <c r="K32" s="121"/>
    </row>
    <row r="33" spans="1:12" ht="16.5" customHeight="1" x14ac:dyDescent="0.25">
      <c r="B33" s="129" t="s">
        <v>140</v>
      </c>
      <c r="C33" s="129"/>
      <c r="D33" s="130"/>
      <c r="E33" s="130"/>
      <c r="F33" s="131"/>
      <c r="G33" s="131"/>
      <c r="H33" s="132"/>
      <c r="I33" s="132"/>
      <c r="J33" s="134"/>
      <c r="K33" s="154"/>
    </row>
    <row r="34" spans="1:12" ht="16.5" customHeight="1" x14ac:dyDescent="0.25">
      <c r="A34" s="138"/>
      <c r="B34" s="129"/>
      <c r="C34" s="129" t="s">
        <v>141</v>
      </c>
      <c r="D34" s="130"/>
      <c r="E34" s="130"/>
      <c r="F34" s="131"/>
      <c r="G34" s="131"/>
      <c r="H34" s="132"/>
      <c r="I34" s="132"/>
      <c r="J34" s="154"/>
      <c r="K34" s="134"/>
    </row>
    <row r="35" spans="1:12" ht="16.5" customHeight="1" x14ac:dyDescent="0.25">
      <c r="A35" s="138"/>
      <c r="B35" s="129"/>
      <c r="C35" s="129" t="str">
        <f>IF($F$7="Proprietary","Cr: Acct 0870 - SERVICES &amp; CHARGES (MG ADJ)",VLOOKUP($F$9,'[17]Drop Down Menus'!$F$2:$G$10,2,FALSE))</f>
        <v>Cr: Acct 0825 - BUS, CONSUMER SERV, HOUSING</v>
      </c>
      <c r="D35" s="130"/>
      <c r="E35" s="130"/>
      <c r="F35" s="131"/>
      <c r="G35" s="131"/>
      <c r="H35" s="132"/>
      <c r="I35" s="132"/>
      <c r="J35" s="154"/>
      <c r="K35" s="134"/>
    </row>
    <row r="36" spans="1:12" ht="16.5" customHeight="1" x14ac:dyDescent="0.25">
      <c r="A36" s="138"/>
      <c r="C36" s="124"/>
      <c r="D36" s="124"/>
      <c r="E36" s="124"/>
      <c r="F36" s="125"/>
      <c r="G36" s="125"/>
      <c r="H36" s="126"/>
      <c r="I36" s="126"/>
      <c r="J36" s="146">
        <f>SUM(J33:J35)</f>
        <v>0</v>
      </c>
      <c r="K36" s="146">
        <f>SUM(K33:K35)</f>
        <v>0</v>
      </c>
      <c r="L36" s="147" t="str">
        <f>IF(J36=K36,"&lt;- Debits and Credits equal each other.","&lt;- Debits and Credits do not equal each other.")</f>
        <v>&lt;- Debits and Credits equal each other.</v>
      </c>
    </row>
    <row r="37" spans="1:12" ht="16.5" customHeight="1" x14ac:dyDescent="0.25">
      <c r="A37" s="54"/>
      <c r="B37" s="155"/>
      <c r="C37" s="124"/>
      <c r="D37" s="124"/>
      <c r="E37" s="124"/>
      <c r="F37" s="125"/>
      <c r="G37" s="125"/>
      <c r="H37" s="126"/>
      <c r="I37" s="126"/>
      <c r="J37" s="150"/>
      <c r="K37" s="150"/>
      <c r="L37" s="151"/>
    </row>
    <row r="38" spans="1:12" ht="16.5" customHeight="1" x14ac:dyDescent="0.3">
      <c r="A38" s="122">
        <v>2</v>
      </c>
      <c r="B38" s="116" t="s">
        <v>142</v>
      </c>
      <c r="C38" s="124"/>
      <c r="D38" s="124"/>
      <c r="E38" s="124"/>
      <c r="F38" s="125"/>
      <c r="G38" s="125"/>
      <c r="H38" s="126"/>
      <c r="I38" s="126"/>
      <c r="J38" s="150"/>
      <c r="K38" s="150"/>
      <c r="L38" s="151"/>
    </row>
    <row r="39" spans="1:12" ht="16.5" customHeight="1" x14ac:dyDescent="0.25">
      <c r="A39" s="128" t="s">
        <v>121</v>
      </c>
      <c r="B39" s="129" t="s">
        <v>122</v>
      </c>
      <c r="C39" s="129"/>
      <c r="D39" s="130"/>
      <c r="E39" s="130"/>
      <c r="F39" s="131"/>
      <c r="G39" s="131"/>
      <c r="H39" s="132"/>
      <c r="I39" s="132"/>
      <c r="J39" s="134"/>
      <c r="K39" s="154"/>
    </row>
    <row r="40" spans="1:12" ht="16.5" customHeight="1" x14ac:dyDescent="0.25">
      <c r="A40" s="128" t="s">
        <v>121</v>
      </c>
      <c r="B40" s="129" t="s">
        <v>124</v>
      </c>
      <c r="C40" s="129"/>
      <c r="D40" s="130"/>
      <c r="E40" s="130"/>
      <c r="F40" s="131"/>
      <c r="G40" s="131"/>
      <c r="H40" s="132"/>
      <c r="I40" s="132"/>
      <c r="J40" s="134"/>
      <c r="K40" s="154"/>
    </row>
    <row r="41" spans="1:12" ht="16.5" customHeight="1" x14ac:dyDescent="0.25">
      <c r="A41" s="128" t="s">
        <v>121</v>
      </c>
      <c r="B41" s="129" t="s">
        <v>125</v>
      </c>
      <c r="C41" s="129"/>
      <c r="D41" s="130"/>
      <c r="E41" s="130"/>
      <c r="F41" s="131"/>
      <c r="G41" s="131"/>
      <c r="H41" s="132"/>
      <c r="I41" s="132"/>
      <c r="J41" s="134"/>
      <c r="K41" s="154"/>
    </row>
    <row r="42" spans="1:12" ht="16.5" customHeight="1" x14ac:dyDescent="0.25">
      <c r="A42" s="138"/>
      <c r="B42" s="129"/>
      <c r="C42" s="129" t="s">
        <v>143</v>
      </c>
      <c r="D42" s="130"/>
      <c r="E42" s="130"/>
      <c r="F42" s="131"/>
      <c r="G42" s="131"/>
      <c r="H42" s="132"/>
      <c r="I42" s="132"/>
      <c r="J42" s="154"/>
      <c r="K42" s="134"/>
    </row>
    <row r="43" spans="1:12" ht="16.5" customHeight="1" x14ac:dyDescent="0.25">
      <c r="A43" s="138"/>
      <c r="B43" s="120" t="s">
        <v>144</v>
      </c>
      <c r="C43" s="124"/>
      <c r="D43" s="124"/>
      <c r="E43" s="124"/>
      <c r="F43" s="125"/>
      <c r="G43" s="125"/>
      <c r="H43" s="126"/>
      <c r="I43" s="126"/>
      <c r="J43" s="146">
        <f>SUM(J39:J42)</f>
        <v>0</v>
      </c>
      <c r="K43" s="146">
        <f>SUM(K39:K42)</f>
        <v>0</v>
      </c>
      <c r="L43" s="147" t="str">
        <f>IF(J43=K43,"&lt;- Debits and Credits equal each other.","&lt;- Debits and Credits do not equal each other.")</f>
        <v>&lt;- Debits and Credits equal each other.</v>
      </c>
    </row>
    <row r="44" spans="1:12" ht="16.5" customHeight="1" x14ac:dyDescent="0.25">
      <c r="A44" s="54"/>
      <c r="C44" s="148"/>
      <c r="D44" s="143"/>
      <c r="E44" s="143"/>
      <c r="F44" s="149"/>
      <c r="G44" s="149"/>
      <c r="H44" s="145"/>
      <c r="I44" s="145"/>
      <c r="J44" s="150"/>
      <c r="K44" s="150"/>
      <c r="L44" s="151"/>
    </row>
    <row r="45" spans="1:12" ht="16.5" customHeight="1" x14ac:dyDescent="0.25">
      <c r="A45" s="54"/>
      <c r="B45" s="120"/>
      <c r="C45" s="148"/>
      <c r="D45" s="143"/>
      <c r="E45" s="143"/>
      <c r="F45" s="149"/>
      <c r="G45" s="149"/>
      <c r="H45" s="145"/>
      <c r="I45" s="145"/>
      <c r="J45" s="150"/>
      <c r="K45" s="150"/>
      <c r="L45" s="151"/>
    </row>
    <row r="46" spans="1:12" s="117" customFormat="1" ht="16.5" customHeight="1" x14ac:dyDescent="0.3">
      <c r="A46" s="115">
        <v>3</v>
      </c>
      <c r="B46" s="116" t="s">
        <v>145</v>
      </c>
      <c r="C46" s="118"/>
      <c r="D46" s="118"/>
      <c r="E46" s="118"/>
      <c r="F46" s="119"/>
      <c r="G46" s="119"/>
      <c r="H46" s="120"/>
      <c r="I46" s="120"/>
      <c r="J46" s="121"/>
      <c r="K46" s="121"/>
    </row>
    <row r="47" spans="1:12" ht="16.5" customHeight="1" x14ac:dyDescent="0.25">
      <c r="B47" s="129" t="s">
        <v>146</v>
      </c>
      <c r="C47" s="129"/>
      <c r="D47" s="130"/>
      <c r="E47" s="130"/>
      <c r="F47" s="131"/>
      <c r="G47" s="131"/>
      <c r="H47" s="132"/>
      <c r="I47" s="132"/>
      <c r="J47" s="134"/>
      <c r="K47" s="154"/>
    </row>
    <row r="48" spans="1:12" ht="16.5" customHeight="1" x14ac:dyDescent="0.25">
      <c r="A48" s="142" t="s">
        <v>132</v>
      </c>
      <c r="B48" s="129"/>
      <c r="C48" s="129" t="s">
        <v>133</v>
      </c>
      <c r="D48" s="130"/>
      <c r="E48" s="130"/>
      <c r="F48" s="131"/>
      <c r="G48" s="131"/>
      <c r="H48" s="132"/>
      <c r="I48" s="132"/>
      <c r="J48" s="154"/>
      <c r="K48" s="134"/>
    </row>
    <row r="49" spans="1:16" ht="16.5" customHeight="1" x14ac:dyDescent="0.25">
      <c r="A49" s="138"/>
      <c r="C49" s="124"/>
      <c r="D49" s="124"/>
      <c r="E49" s="124"/>
      <c r="F49" s="125"/>
      <c r="G49" s="125"/>
      <c r="H49" s="126"/>
      <c r="I49" s="126"/>
      <c r="J49" s="146">
        <f>SUM(J47:J48)</f>
        <v>0</v>
      </c>
      <c r="K49" s="146">
        <f>SUM(K47:K48)</f>
        <v>0</v>
      </c>
      <c r="L49" s="147" t="str">
        <f>IF(J49=K49,"&lt;- Debits and Credits equal each other.","&lt;- Debits and Credits do not equal each other.")</f>
        <v>&lt;- Debits and Credits equal each other.</v>
      </c>
    </row>
    <row r="50" spans="1:16" ht="16.5" customHeight="1" x14ac:dyDescent="0.25">
      <c r="A50" s="138"/>
      <c r="B50" s="152" t="s">
        <v>147</v>
      </c>
      <c r="C50" s="124"/>
      <c r="D50" s="124"/>
      <c r="E50" s="124"/>
      <c r="F50" s="125"/>
      <c r="G50" s="125"/>
      <c r="H50" s="126"/>
      <c r="I50" s="126"/>
      <c r="J50" s="146"/>
      <c r="K50" s="146"/>
      <c r="L50" s="151"/>
    </row>
    <row r="51" spans="1:16" ht="16.5" customHeight="1" x14ac:dyDescent="0.25">
      <c r="A51" s="138"/>
      <c r="B51" s="152"/>
      <c r="C51" s="124"/>
      <c r="D51" s="124"/>
      <c r="E51" s="124"/>
      <c r="F51" s="125"/>
      <c r="G51" s="125"/>
      <c r="H51" s="126"/>
      <c r="I51" s="126"/>
      <c r="J51" s="146"/>
      <c r="K51" s="146"/>
      <c r="L51" s="151"/>
    </row>
    <row r="52" spans="1:16" ht="16.5" customHeight="1" x14ac:dyDescent="0.25">
      <c r="A52" s="54"/>
      <c r="B52" s="124"/>
      <c r="C52" s="124"/>
      <c r="D52" s="124"/>
      <c r="E52" s="124"/>
      <c r="F52" s="125"/>
      <c r="G52" s="125"/>
      <c r="H52" s="126"/>
      <c r="I52" s="126"/>
      <c r="J52" s="150"/>
      <c r="K52" s="150"/>
      <c r="L52" s="151"/>
    </row>
    <row r="53" spans="1:16" s="114" customFormat="1" ht="21" customHeight="1" x14ac:dyDescent="0.3">
      <c r="A53" s="108" t="s">
        <v>148</v>
      </c>
      <c r="B53" s="109"/>
      <c r="C53" s="110"/>
      <c r="D53" s="110"/>
      <c r="E53" s="110"/>
      <c r="F53" s="111"/>
      <c r="G53" s="111"/>
      <c r="H53" s="112"/>
      <c r="I53" s="112"/>
      <c r="J53" s="111"/>
      <c r="K53" s="111"/>
      <c r="L53" s="104"/>
      <c r="M53" s="104"/>
      <c r="N53" s="113"/>
      <c r="O53" s="113"/>
      <c r="P53" s="113"/>
    </row>
    <row r="54" spans="1:16" s="117" customFormat="1" ht="16.5" customHeight="1" x14ac:dyDescent="0.3">
      <c r="A54" s="115">
        <v>4</v>
      </c>
      <c r="B54" s="116" t="s">
        <v>149</v>
      </c>
      <c r="C54" s="118"/>
      <c r="D54" s="118"/>
      <c r="E54" s="118"/>
      <c r="F54" s="119"/>
      <c r="G54" s="119"/>
      <c r="H54" s="120"/>
      <c r="I54" s="120"/>
      <c r="J54" s="121"/>
      <c r="K54" s="121"/>
    </row>
    <row r="55" spans="1:16" ht="16.5" customHeight="1" x14ac:dyDescent="0.25">
      <c r="B55" s="129" t="s">
        <v>150</v>
      </c>
      <c r="C55" s="147"/>
      <c r="D55" s="130"/>
      <c r="E55" s="130"/>
      <c r="F55" s="131"/>
      <c r="G55" s="131"/>
      <c r="H55" s="132"/>
      <c r="I55" s="132"/>
      <c r="J55" s="134">
        <v>66274</v>
      </c>
      <c r="K55" s="154"/>
    </row>
    <row r="56" spans="1:16" ht="16.5" customHeight="1" x14ac:dyDescent="0.25">
      <c r="A56" s="138"/>
      <c r="B56" s="147"/>
      <c r="C56" s="129" t="s">
        <v>129</v>
      </c>
      <c r="D56" s="130"/>
      <c r="E56" s="130"/>
      <c r="F56" s="131"/>
      <c r="G56" s="131"/>
      <c r="H56" s="132"/>
      <c r="I56" s="132"/>
      <c r="J56" s="156"/>
      <c r="K56" s="134"/>
    </row>
    <row r="57" spans="1:16" ht="16.5" customHeight="1" x14ac:dyDescent="0.25">
      <c r="A57" s="138"/>
      <c r="B57" s="147"/>
      <c r="C57" s="129" t="s">
        <v>130</v>
      </c>
      <c r="D57" s="130"/>
      <c r="E57" s="130"/>
      <c r="F57" s="131"/>
      <c r="G57" s="131"/>
      <c r="H57" s="132"/>
      <c r="I57" s="132"/>
      <c r="J57" s="156"/>
      <c r="K57" s="134"/>
    </row>
    <row r="58" spans="1:16" ht="16.5" customHeight="1" x14ac:dyDescent="0.25">
      <c r="A58" s="138"/>
      <c r="B58" s="129"/>
      <c r="C58" s="129" t="s">
        <v>131</v>
      </c>
      <c r="D58" s="130"/>
      <c r="E58" s="130"/>
      <c r="F58" s="131"/>
      <c r="G58" s="131"/>
      <c r="H58" s="132"/>
      <c r="I58" s="132"/>
      <c r="J58" s="154"/>
      <c r="K58" s="134">
        <v>66274</v>
      </c>
    </row>
    <row r="59" spans="1:16" ht="16.5" customHeight="1" x14ac:dyDescent="0.25">
      <c r="A59" s="138"/>
      <c r="C59" s="124"/>
      <c r="D59" s="124"/>
      <c r="E59" s="124"/>
      <c r="F59" s="125"/>
      <c r="G59" s="125"/>
      <c r="H59" s="126"/>
      <c r="I59" s="126"/>
      <c r="J59" s="146">
        <f>SUM(J55:J58)</f>
        <v>66274</v>
      </c>
      <c r="K59" s="146">
        <f>SUM(K55:K58)</f>
        <v>66274</v>
      </c>
      <c r="L59" s="147" t="str">
        <f>IF(J59=K59,"&lt;- Debits and Credits equal each other.","&lt;- Debits and Credits do not equal each other.")</f>
        <v>&lt;- Debits and Credits equal each other.</v>
      </c>
    </row>
    <row r="60" spans="1:16" ht="16.5" customHeight="1" x14ac:dyDescent="0.3">
      <c r="A60" s="138"/>
      <c r="B60" s="123"/>
      <c r="C60" s="143"/>
      <c r="D60" s="143"/>
      <c r="E60" s="143"/>
      <c r="F60" s="149"/>
      <c r="G60" s="149"/>
      <c r="H60" s="145"/>
      <c r="I60" s="145"/>
    </row>
    <row r="61" spans="1:16" s="117" customFormat="1" ht="16.5" customHeight="1" x14ac:dyDescent="0.3">
      <c r="A61" s="115">
        <v>5</v>
      </c>
      <c r="B61" s="116" t="s">
        <v>151</v>
      </c>
      <c r="C61" s="118"/>
      <c r="D61" s="118"/>
      <c r="E61" s="118"/>
      <c r="F61" s="119"/>
      <c r="G61" s="119"/>
      <c r="H61" s="120"/>
      <c r="I61" s="120"/>
      <c r="J61" s="121"/>
      <c r="K61" s="121"/>
    </row>
    <row r="62" spans="1:16" ht="16.5" customHeight="1" x14ac:dyDescent="0.25">
      <c r="B62" s="129" t="s">
        <v>152</v>
      </c>
      <c r="C62" s="129"/>
      <c r="D62" s="130"/>
      <c r="E62" s="130"/>
      <c r="F62" s="131"/>
      <c r="G62" s="131"/>
      <c r="H62" s="132"/>
      <c r="I62" s="132"/>
      <c r="J62" s="157">
        <v>67951</v>
      </c>
      <c r="K62" s="158"/>
      <c r="L62" s="100" t="str">
        <f>IF($J$62=$K$69,"","&lt;- Accts 0848 must agree")</f>
        <v/>
      </c>
    </row>
    <row r="63" spans="1:16" ht="16.5" customHeight="1" x14ac:dyDescent="0.25">
      <c r="A63" s="138"/>
      <c r="B63" s="129" t="str">
        <f>IF(F7="Governmental","Dr: Acct 0851 - DEBT SERVICE - INTEREST LEASES","Dr: Acct 0894 - INTEREST EXPENSE AND FISCAL CHARGES")</f>
        <v>Dr: Acct 0851 - DEBT SERVICE - INTEREST LEASES</v>
      </c>
      <c r="C63" s="129"/>
      <c r="D63" s="130"/>
      <c r="E63" s="130"/>
      <c r="F63" s="131"/>
      <c r="G63" s="131"/>
      <c r="H63" s="132"/>
      <c r="I63" s="132"/>
      <c r="J63" s="157">
        <v>40</v>
      </c>
      <c r="K63" s="158"/>
    </row>
    <row r="64" spans="1:16" ht="16.5" customHeight="1" x14ac:dyDescent="0.25">
      <c r="A64" s="138"/>
      <c r="B64" s="129"/>
      <c r="C64" s="129" t="str">
        <f>IF($F$7="Proprietary","Cr: Acct 0870 - SERVICES &amp; CHARGES (MG ADJ)",VLOOKUP($F$9,'[17]Drop Down Menus'!$F$2:$G$10,2,FALSE))</f>
        <v>Cr: Acct 0825 - BUS, CONSUMER SERV, HOUSING</v>
      </c>
      <c r="D64" s="130"/>
      <c r="E64" s="130"/>
      <c r="F64" s="131"/>
      <c r="G64" s="131"/>
      <c r="H64" s="132"/>
      <c r="I64" s="132"/>
      <c r="J64" s="158"/>
      <c r="K64" s="134">
        <v>67991</v>
      </c>
    </row>
    <row r="65" spans="1:12" ht="16.5" customHeight="1" x14ac:dyDescent="0.25">
      <c r="A65" s="138"/>
      <c r="C65" s="124"/>
      <c r="D65" s="124"/>
      <c r="E65" s="124"/>
      <c r="F65" s="125"/>
      <c r="G65" s="125"/>
      <c r="H65" s="126"/>
      <c r="I65" s="126"/>
      <c r="J65" s="146">
        <f>SUM(J62:J64)</f>
        <v>67991</v>
      </c>
      <c r="K65" s="146">
        <f>SUM(K62:K64)</f>
        <v>67991</v>
      </c>
      <c r="L65" s="147" t="str">
        <f>IF(J65=K65,"&lt;- Debits and Credits equal each other.","&lt;- Debits and Credits do not equal each other.")</f>
        <v>&lt;- Debits and Credits equal each other.</v>
      </c>
    </row>
    <row r="66" spans="1:12" ht="16.5" customHeight="1" x14ac:dyDescent="0.3">
      <c r="A66" s="54"/>
      <c r="B66" s="123"/>
      <c r="C66" s="124"/>
      <c r="D66" s="124"/>
      <c r="E66" s="124"/>
      <c r="F66" s="125"/>
      <c r="G66" s="125"/>
      <c r="H66" s="126"/>
      <c r="I66" s="126"/>
      <c r="J66" s="150"/>
      <c r="K66" s="150"/>
      <c r="L66" s="151"/>
    </row>
    <row r="67" spans="1:12" s="117" customFormat="1" ht="16.5" customHeight="1" x14ac:dyDescent="0.3">
      <c r="A67" s="115">
        <v>6</v>
      </c>
      <c r="B67" s="116" t="s">
        <v>153</v>
      </c>
      <c r="C67" s="118"/>
      <c r="D67" s="118"/>
      <c r="E67" s="118"/>
      <c r="F67" s="119"/>
      <c r="G67" s="119"/>
      <c r="H67" s="120"/>
      <c r="I67" s="120"/>
      <c r="J67" s="121"/>
      <c r="K67" s="121"/>
    </row>
    <row r="68" spans="1:12" ht="16.5" customHeight="1" x14ac:dyDescent="0.25">
      <c r="A68" s="142" t="s">
        <v>132</v>
      </c>
      <c r="B68" s="129" t="s">
        <v>154</v>
      </c>
      <c r="C68" s="129"/>
      <c r="D68" s="130"/>
      <c r="E68" s="130"/>
      <c r="F68" s="131"/>
      <c r="G68" s="131"/>
      <c r="H68" s="132"/>
      <c r="I68" s="132"/>
      <c r="J68" s="134">
        <v>67951</v>
      </c>
      <c r="K68" s="154"/>
    </row>
    <row r="69" spans="1:12" ht="16.5" customHeight="1" x14ac:dyDescent="0.25">
      <c r="A69" s="138"/>
      <c r="B69" s="129"/>
      <c r="C69" s="129" t="s">
        <v>155</v>
      </c>
      <c r="D69" s="130"/>
      <c r="E69" s="130"/>
      <c r="F69" s="131"/>
      <c r="G69" s="131"/>
      <c r="H69" s="132"/>
      <c r="I69" s="132"/>
      <c r="J69" s="154"/>
      <c r="K69" s="134">
        <v>67951</v>
      </c>
      <c r="L69" s="100" t="str">
        <f>IF($J$62=$K$69,"","&lt;- Accts 0848 must agree")</f>
        <v/>
      </c>
    </row>
    <row r="70" spans="1:12" ht="16.5" customHeight="1" x14ac:dyDescent="0.25">
      <c r="A70" s="138"/>
      <c r="C70" s="124"/>
      <c r="D70" s="124"/>
      <c r="E70" s="124"/>
      <c r="F70" s="125"/>
      <c r="G70" s="125"/>
      <c r="H70" s="126"/>
      <c r="I70" s="126"/>
      <c r="J70" s="146">
        <f>SUM(J68:J69)</f>
        <v>67951</v>
      </c>
      <c r="K70" s="146">
        <f>SUM(K68:K69)</f>
        <v>67951</v>
      </c>
      <c r="L70" s="147" t="str">
        <f>IF(J70=K70,"&lt;- Debits and Credits equal each other.","&lt;- Debits and Credits do not equal each other.")</f>
        <v>&lt;- Debits and Credits equal each other.</v>
      </c>
    </row>
    <row r="71" spans="1:12" ht="16.5" customHeight="1" x14ac:dyDescent="0.25">
      <c r="A71" s="138"/>
      <c r="B71" s="152" t="s">
        <v>156</v>
      </c>
      <c r="C71" s="124"/>
      <c r="D71" s="124"/>
      <c r="E71" s="124"/>
      <c r="F71" s="125"/>
      <c r="G71" s="125"/>
      <c r="H71" s="126"/>
      <c r="I71" s="126"/>
    </row>
    <row r="72" spans="1:12" ht="16.5" customHeight="1" x14ac:dyDescent="0.25">
      <c r="A72" s="138"/>
      <c r="B72" s="152"/>
      <c r="C72" s="124"/>
      <c r="D72" s="124"/>
      <c r="E72" s="124"/>
      <c r="F72" s="125"/>
      <c r="G72" s="125"/>
      <c r="H72" s="126"/>
      <c r="I72" s="126"/>
    </row>
    <row r="73" spans="1:12" ht="16.5" customHeight="1" x14ac:dyDescent="0.25">
      <c r="A73" s="138"/>
      <c r="B73" s="152"/>
      <c r="C73" s="124"/>
      <c r="D73" s="124"/>
      <c r="E73" s="124"/>
      <c r="F73" s="125"/>
      <c r="G73" s="125"/>
      <c r="H73" s="126"/>
      <c r="I73" s="126"/>
    </row>
    <row r="74" spans="1:12" s="117" customFormat="1" ht="16.5" customHeight="1" x14ac:dyDescent="0.3">
      <c r="A74" s="115">
        <v>7</v>
      </c>
      <c r="B74" s="116" t="s">
        <v>157</v>
      </c>
      <c r="C74" s="118"/>
      <c r="D74" s="118"/>
      <c r="E74" s="118"/>
      <c r="F74" s="119"/>
      <c r="G74" s="119"/>
      <c r="H74" s="120"/>
      <c r="I74" s="120"/>
      <c r="J74" s="121"/>
      <c r="K74" s="121"/>
    </row>
    <row r="75" spans="1:12" ht="16.5" customHeight="1" x14ac:dyDescent="0.25">
      <c r="A75" s="142" t="s">
        <v>132</v>
      </c>
      <c r="B75" s="129" t="s">
        <v>154</v>
      </c>
      <c r="C75" s="129"/>
      <c r="D75" s="130"/>
      <c r="E75" s="130"/>
      <c r="F75" s="131"/>
      <c r="G75" s="131"/>
      <c r="H75" s="132"/>
      <c r="I75" s="132"/>
      <c r="J75" s="134"/>
      <c r="K75" s="154"/>
    </row>
    <row r="76" spans="1:12" ht="16.5" customHeight="1" x14ac:dyDescent="0.25">
      <c r="A76" s="138"/>
      <c r="B76" s="129"/>
      <c r="C76" s="129" t="s">
        <v>158</v>
      </c>
      <c r="D76" s="130"/>
      <c r="E76" s="130"/>
      <c r="F76" s="131"/>
      <c r="G76" s="131"/>
      <c r="H76" s="132"/>
      <c r="I76" s="132"/>
      <c r="J76" s="154"/>
      <c r="K76" s="134"/>
    </row>
    <row r="77" spans="1:12" ht="16.5" customHeight="1" x14ac:dyDescent="0.2">
      <c r="A77" s="138"/>
      <c r="B77" s="187" t="s">
        <v>159</v>
      </c>
      <c r="C77" s="187"/>
      <c r="D77" s="187"/>
      <c r="E77" s="187"/>
      <c r="F77" s="187"/>
      <c r="G77" s="187"/>
      <c r="H77" s="187"/>
      <c r="I77" s="187"/>
      <c r="J77" s="146">
        <f>SUM(J75:J76)</f>
        <v>0</v>
      </c>
      <c r="K77" s="146">
        <f>SUM(K75:K76)</f>
        <v>0</v>
      </c>
      <c r="L77" s="147" t="str">
        <f>IF(J77=K77,"&lt;- Debits and Credits equal each other.","&lt;- Debits and Credits do not equal each other.")</f>
        <v>&lt;- Debits and Credits equal each other.</v>
      </c>
    </row>
    <row r="78" spans="1:12" ht="16.5" customHeight="1" x14ac:dyDescent="0.2">
      <c r="A78" s="138"/>
      <c r="B78" s="187"/>
      <c r="C78" s="187"/>
      <c r="D78" s="187"/>
      <c r="E78" s="187"/>
      <c r="F78" s="187"/>
      <c r="G78" s="187"/>
      <c r="H78" s="187"/>
      <c r="I78" s="187"/>
      <c r="J78" s="146"/>
      <c r="K78" s="146"/>
      <c r="L78" s="151"/>
    </row>
    <row r="79" spans="1:12" ht="24.6" customHeight="1" x14ac:dyDescent="0.2">
      <c r="A79" s="138"/>
      <c r="B79" s="187"/>
      <c r="C79" s="187"/>
      <c r="D79" s="187"/>
      <c r="E79" s="187"/>
      <c r="F79" s="187"/>
      <c r="G79" s="187"/>
      <c r="H79" s="187"/>
      <c r="I79" s="187"/>
      <c r="J79" s="146"/>
      <c r="K79" s="146"/>
      <c r="L79" s="151"/>
    </row>
    <row r="80" spans="1:12" ht="16.5" customHeight="1" x14ac:dyDescent="0.25">
      <c r="A80" s="54"/>
      <c r="B80" s="152" t="s">
        <v>160</v>
      </c>
      <c r="C80" s="124"/>
      <c r="D80" s="124"/>
      <c r="E80" s="124"/>
      <c r="F80" s="125"/>
      <c r="G80" s="125"/>
      <c r="H80" s="126"/>
      <c r="I80" s="126"/>
      <c r="J80" s="150"/>
      <c r="K80" s="150"/>
      <c r="L80" s="151"/>
    </row>
    <row r="81" spans="1:16" ht="16.5" customHeight="1" x14ac:dyDescent="0.25">
      <c r="A81" s="54"/>
      <c r="B81" s="152"/>
      <c r="C81" s="124"/>
      <c r="D81" s="124"/>
      <c r="E81" s="124"/>
      <c r="F81" s="125"/>
      <c r="G81" s="125"/>
      <c r="H81" s="126"/>
      <c r="I81" s="126"/>
      <c r="J81" s="150"/>
      <c r="K81" s="150"/>
      <c r="L81" s="151"/>
    </row>
    <row r="82" spans="1:16" ht="16.5" customHeight="1" x14ac:dyDescent="0.3">
      <c r="A82" s="54"/>
      <c r="B82" s="123"/>
      <c r="C82" s="124"/>
      <c r="D82" s="124"/>
      <c r="E82" s="124"/>
      <c r="F82" s="125"/>
      <c r="G82" s="125"/>
      <c r="H82" s="126"/>
      <c r="I82" s="126"/>
      <c r="J82" s="150"/>
      <c r="K82" s="150"/>
      <c r="L82" s="151"/>
    </row>
    <row r="83" spans="1:16" s="114" customFormat="1" ht="21" customHeight="1" x14ac:dyDescent="0.3">
      <c r="A83" s="108" t="s">
        <v>161</v>
      </c>
      <c r="B83" s="109"/>
      <c r="C83" s="110"/>
      <c r="D83" s="110"/>
      <c r="E83" s="110"/>
      <c r="F83" s="111"/>
      <c r="G83" s="111"/>
      <c r="H83" s="112"/>
      <c r="I83" s="112"/>
      <c r="J83" s="111"/>
      <c r="K83" s="111"/>
      <c r="L83" s="104"/>
      <c r="M83" s="104"/>
      <c r="N83" s="113"/>
      <c r="O83" s="113"/>
      <c r="P83" s="113"/>
    </row>
    <row r="84" spans="1:16" s="117" customFormat="1" ht="16.5" customHeight="1" x14ac:dyDescent="0.3">
      <c r="A84" s="115">
        <v>8</v>
      </c>
      <c r="B84" s="116" t="s">
        <v>162</v>
      </c>
      <c r="H84" s="159"/>
    </row>
    <row r="85" spans="1:16" ht="16.5" customHeight="1" x14ac:dyDescent="0.25">
      <c r="B85" s="129" t="s">
        <v>163</v>
      </c>
      <c r="C85" s="129"/>
      <c r="D85" s="130"/>
      <c r="E85" s="130"/>
      <c r="F85" s="131"/>
      <c r="G85" s="131"/>
      <c r="H85" s="132"/>
      <c r="I85" s="132"/>
      <c r="J85" s="134"/>
      <c r="K85" s="154"/>
      <c r="L85" s="151"/>
    </row>
    <row r="86" spans="1:16" ht="16.5" customHeight="1" x14ac:dyDescent="0.2">
      <c r="A86" s="138"/>
      <c r="B86" s="129" t="s">
        <v>164</v>
      </c>
      <c r="C86" s="147"/>
      <c r="D86" s="147"/>
      <c r="E86" s="147"/>
      <c r="F86" s="147"/>
      <c r="G86" s="147"/>
      <c r="H86" s="147"/>
      <c r="I86" s="147"/>
      <c r="J86" s="134"/>
      <c r="K86" s="160"/>
    </row>
    <row r="87" spans="1:16" ht="16.5" customHeight="1" x14ac:dyDescent="0.2">
      <c r="A87" s="138"/>
      <c r="B87" s="129" t="s">
        <v>165</v>
      </c>
      <c r="C87" s="147"/>
      <c r="D87" s="147"/>
      <c r="E87" s="147"/>
      <c r="F87" s="147"/>
      <c r="G87" s="147"/>
      <c r="H87" s="147"/>
      <c r="I87" s="147"/>
      <c r="J87" s="134">
        <v>331372</v>
      </c>
      <c r="K87" s="160"/>
    </row>
    <row r="88" spans="1:16" ht="16.5" customHeight="1" x14ac:dyDescent="0.2">
      <c r="A88" s="128" t="s">
        <v>121</v>
      </c>
      <c r="B88" s="147"/>
      <c r="C88" s="129" t="s">
        <v>166</v>
      </c>
      <c r="D88" s="147"/>
      <c r="E88" s="147"/>
      <c r="F88" s="147"/>
      <c r="G88" s="147"/>
      <c r="H88" s="147"/>
      <c r="I88" s="147"/>
      <c r="J88" s="160"/>
      <c r="K88" s="134"/>
    </row>
    <row r="89" spans="1:16" ht="16.5" customHeight="1" x14ac:dyDescent="0.2">
      <c r="A89" s="128" t="s">
        <v>121</v>
      </c>
      <c r="B89" s="147"/>
      <c r="C89" s="129" t="s">
        <v>167</v>
      </c>
      <c r="D89" s="147"/>
      <c r="E89" s="147"/>
      <c r="F89" s="147"/>
      <c r="G89" s="147"/>
      <c r="H89" s="147"/>
      <c r="I89" s="147"/>
      <c r="J89" s="160"/>
      <c r="K89" s="134"/>
    </row>
    <row r="90" spans="1:16" ht="16.5" customHeight="1" x14ac:dyDescent="0.2">
      <c r="A90" s="128" t="s">
        <v>121</v>
      </c>
      <c r="B90" s="147"/>
      <c r="C90" s="129" t="s">
        <v>168</v>
      </c>
      <c r="D90" s="147"/>
      <c r="E90" s="147"/>
      <c r="F90" s="147"/>
      <c r="G90" s="147"/>
      <c r="H90" s="147"/>
      <c r="I90" s="147"/>
      <c r="J90" s="160"/>
      <c r="K90" s="134">
        <v>331372</v>
      </c>
    </row>
    <row r="91" spans="1:16" ht="16.5" customHeight="1" x14ac:dyDescent="0.25">
      <c r="B91" s="120" t="s">
        <v>169</v>
      </c>
      <c r="H91" s="100"/>
      <c r="J91" s="161">
        <f>SUM(J85:J90)</f>
        <v>331372</v>
      </c>
      <c r="K91" s="161">
        <f>SUM(K85:K90)</f>
        <v>331372</v>
      </c>
      <c r="L91" s="147" t="str">
        <f>IF(J91=K91,"&lt;- Debits and Credits equal each other.","&lt;- Debits and Credits do not equal each other.")</f>
        <v>&lt;- Debits and Credits equal each other.</v>
      </c>
    </row>
    <row r="92" spans="1:16" ht="16.5" customHeight="1" x14ac:dyDescent="0.25">
      <c r="H92" s="100"/>
    </row>
    <row r="93" spans="1:16" ht="16.5" customHeight="1" x14ac:dyDescent="0.25">
      <c r="H93" s="100"/>
    </row>
    <row r="94" spans="1:16" s="114" customFormat="1" ht="21" customHeight="1" x14ac:dyDescent="0.3">
      <c r="A94" s="108" t="s">
        <v>170</v>
      </c>
      <c r="B94" s="109"/>
      <c r="C94" s="110"/>
      <c r="D94" s="110"/>
      <c r="E94" s="110"/>
      <c r="F94" s="111"/>
      <c r="G94" s="111"/>
      <c r="H94" s="112"/>
      <c r="I94" s="112"/>
      <c r="J94" s="111"/>
      <c r="K94" s="111"/>
      <c r="L94" s="104"/>
      <c r="M94" s="104"/>
      <c r="N94" s="113"/>
      <c r="O94" s="113"/>
      <c r="P94" s="113"/>
    </row>
    <row r="95" spans="1:16" s="117" customFormat="1" ht="16.5" customHeight="1" x14ac:dyDescent="0.3">
      <c r="A95" s="162">
        <v>9</v>
      </c>
      <c r="B95" s="116" t="s">
        <v>171</v>
      </c>
      <c r="C95" s="163"/>
      <c r="D95" s="163"/>
      <c r="E95" s="163"/>
      <c r="F95" s="163"/>
      <c r="G95" s="163"/>
      <c r="H95" s="163"/>
      <c r="I95" s="163"/>
      <c r="J95" s="164"/>
      <c r="K95" s="164"/>
    </row>
    <row r="96" spans="1:16" ht="16.5" customHeight="1" x14ac:dyDescent="0.2">
      <c r="A96" s="142" t="s">
        <v>132</v>
      </c>
      <c r="B96" s="129" t="s">
        <v>154</v>
      </c>
      <c r="C96" s="129"/>
      <c r="D96" s="165"/>
      <c r="E96" s="165"/>
      <c r="F96" s="165"/>
      <c r="G96" s="165"/>
      <c r="H96" s="165"/>
      <c r="I96" s="165"/>
      <c r="J96" s="134"/>
      <c r="K96" s="166"/>
    </row>
    <row r="97" spans="1:12" ht="16.5" customHeight="1" x14ac:dyDescent="0.2">
      <c r="B97" s="129" t="s">
        <v>163</v>
      </c>
      <c r="C97" s="147"/>
      <c r="D97" s="147"/>
      <c r="E97" s="147"/>
      <c r="F97" s="147"/>
      <c r="G97" s="147"/>
      <c r="H97" s="147"/>
      <c r="I97" s="147"/>
      <c r="J97" s="134"/>
      <c r="K97" s="147"/>
    </row>
    <row r="98" spans="1:12" ht="16.5" customHeight="1" x14ac:dyDescent="0.2">
      <c r="B98" s="129" t="s">
        <v>164</v>
      </c>
      <c r="C98" s="147"/>
      <c r="D98" s="147"/>
      <c r="E98" s="147"/>
      <c r="F98" s="147"/>
      <c r="G98" s="147"/>
      <c r="H98" s="147"/>
      <c r="I98" s="147"/>
      <c r="J98" s="134"/>
      <c r="K98" s="147"/>
    </row>
    <row r="99" spans="1:12" ht="16.5" customHeight="1" x14ac:dyDescent="0.2">
      <c r="B99" s="129" t="s">
        <v>165</v>
      </c>
      <c r="C99" s="147"/>
      <c r="D99" s="147"/>
      <c r="E99" s="147"/>
      <c r="F99" s="147"/>
      <c r="G99" s="147"/>
      <c r="H99" s="147"/>
      <c r="I99" s="147"/>
      <c r="J99" s="134"/>
      <c r="K99" s="147"/>
    </row>
    <row r="100" spans="1:12" ht="16.5" customHeight="1" x14ac:dyDescent="0.2">
      <c r="B100" s="129" t="str">
        <f>IF($F$7="Proprietary","Dr: Acct 0870 - SERVICES &amp; CHARGES (MG ADJ)",VLOOKUP($F$9,'[17]Drop Down Menus'!$F$2:$H$10,3,FALSE))</f>
        <v>Dr: Acct 0825 - BUS, CONSUMER SERV, HOUSING</v>
      </c>
      <c r="C100" s="147"/>
      <c r="D100" s="147"/>
      <c r="E100" s="147"/>
      <c r="F100" s="147"/>
      <c r="G100" s="147"/>
      <c r="H100" s="147"/>
      <c r="I100" s="147"/>
      <c r="J100" s="134"/>
      <c r="K100" s="147"/>
    </row>
    <row r="101" spans="1:12" ht="16.5" customHeight="1" x14ac:dyDescent="0.2">
      <c r="A101" s="128" t="s">
        <v>121</v>
      </c>
      <c r="B101" s="147"/>
      <c r="C101" s="129" t="s">
        <v>166</v>
      </c>
      <c r="D101" s="147"/>
      <c r="E101" s="147"/>
      <c r="F101" s="147"/>
      <c r="G101" s="147"/>
      <c r="H101" s="147"/>
      <c r="I101" s="147"/>
      <c r="J101" s="147"/>
      <c r="K101" s="134"/>
    </row>
    <row r="102" spans="1:12" ht="16.5" customHeight="1" x14ac:dyDescent="0.2">
      <c r="A102" s="128" t="s">
        <v>121</v>
      </c>
      <c r="B102" s="147"/>
      <c r="C102" s="129" t="s">
        <v>167</v>
      </c>
      <c r="D102" s="147"/>
      <c r="E102" s="147"/>
      <c r="F102" s="147"/>
      <c r="G102" s="147"/>
      <c r="H102" s="147"/>
      <c r="I102" s="147"/>
      <c r="J102" s="147"/>
      <c r="K102" s="134"/>
    </row>
    <row r="103" spans="1:12" ht="16.5" customHeight="1" x14ac:dyDescent="0.2">
      <c r="A103" s="128" t="s">
        <v>121</v>
      </c>
      <c r="B103" s="147"/>
      <c r="C103" s="129" t="s">
        <v>168</v>
      </c>
      <c r="D103" s="147"/>
      <c r="E103" s="147"/>
      <c r="F103" s="147"/>
      <c r="G103" s="147"/>
      <c r="H103" s="147"/>
      <c r="I103" s="147"/>
      <c r="J103" s="147"/>
      <c r="K103" s="134"/>
    </row>
    <row r="104" spans="1:12" ht="16.5" customHeight="1" x14ac:dyDescent="0.2">
      <c r="B104" s="147"/>
      <c r="C104" s="129" t="str">
        <f>IF($F$7="Proprietary","Dr: Acct 0870 - SERVICES &amp; CHARGES (MG ADJ)",VLOOKUP($F$9,'[17]Drop Down Menus'!$F$2:$G$10,2,FALSE))</f>
        <v>Cr: Acct 0825 - BUS, CONSUMER SERV, HOUSING</v>
      </c>
      <c r="D104" s="147"/>
      <c r="E104" s="147"/>
      <c r="F104" s="147"/>
      <c r="G104" s="147"/>
      <c r="H104" s="147"/>
      <c r="I104" s="147"/>
      <c r="J104" s="147"/>
      <c r="K104" s="134"/>
    </row>
    <row r="105" spans="1:12" ht="16.5" customHeight="1" x14ac:dyDescent="0.25">
      <c r="B105" s="120" t="s">
        <v>169</v>
      </c>
      <c r="H105" s="100"/>
      <c r="J105" s="161">
        <f>SUM(J96:J104)</f>
        <v>0</v>
      </c>
      <c r="K105" s="161">
        <f>SUM(K96:K104)</f>
        <v>0</v>
      </c>
      <c r="L105" s="147" t="str">
        <f>IF(J105=K105,"&lt;- Debits and Credits equal each other.","&lt;- Debits and Credits do not equal each other.")</f>
        <v>&lt;- Debits and Credits equal each other.</v>
      </c>
    </row>
    <row r="106" spans="1:12" ht="16.5" customHeight="1" x14ac:dyDescent="0.25">
      <c r="B106" s="152" t="s">
        <v>156</v>
      </c>
      <c r="H106" s="100"/>
      <c r="J106" s="161"/>
      <c r="K106" s="161"/>
      <c r="L106" s="151"/>
    </row>
    <row r="107" spans="1:12" ht="16.5" customHeight="1" x14ac:dyDescent="0.25">
      <c r="H107" s="100"/>
    </row>
    <row r="108" spans="1:12" ht="16.5" customHeight="1" x14ac:dyDescent="0.25">
      <c r="H108" s="100"/>
    </row>
    <row r="109" spans="1:12" s="117" customFormat="1" ht="16.5" customHeight="1" x14ac:dyDescent="0.3">
      <c r="A109" s="162">
        <v>10</v>
      </c>
      <c r="B109" s="116" t="s">
        <v>172</v>
      </c>
      <c r="C109" s="163"/>
      <c r="D109" s="163"/>
    </row>
    <row r="110" spans="1:12" ht="16.5" customHeight="1" x14ac:dyDescent="0.2">
      <c r="A110" s="128" t="s">
        <v>121</v>
      </c>
      <c r="B110" s="129" t="s">
        <v>122</v>
      </c>
      <c r="C110" s="129"/>
      <c r="D110" s="165"/>
      <c r="E110" s="147"/>
      <c r="F110" s="147"/>
      <c r="G110" s="147"/>
      <c r="H110" s="147"/>
      <c r="I110" s="147"/>
      <c r="J110" s="134"/>
      <c r="K110" s="147"/>
    </row>
    <row r="111" spans="1:12" ht="16.5" customHeight="1" x14ac:dyDescent="0.2">
      <c r="A111" s="128" t="s">
        <v>121</v>
      </c>
      <c r="B111" s="129" t="s">
        <v>124</v>
      </c>
      <c r="C111" s="129"/>
      <c r="D111" s="165"/>
      <c r="E111" s="147"/>
      <c r="F111" s="147"/>
      <c r="G111" s="147"/>
      <c r="H111" s="147"/>
      <c r="I111" s="147"/>
      <c r="J111" s="134"/>
      <c r="K111" s="147"/>
    </row>
    <row r="112" spans="1:12" ht="16.5" customHeight="1" x14ac:dyDescent="0.2">
      <c r="A112" s="128" t="s">
        <v>121</v>
      </c>
      <c r="B112" s="129" t="s">
        <v>125</v>
      </c>
      <c r="C112" s="129"/>
      <c r="D112" s="165"/>
      <c r="E112" s="147"/>
      <c r="F112" s="147"/>
      <c r="G112" s="147"/>
      <c r="H112" s="147"/>
      <c r="I112" s="147"/>
      <c r="J112" s="134"/>
      <c r="K112" s="147"/>
    </row>
    <row r="113" spans="1:12" ht="16.5" customHeight="1" x14ac:dyDescent="0.2">
      <c r="A113" s="142" t="s">
        <v>132</v>
      </c>
      <c r="B113" s="129"/>
      <c r="C113" s="129" t="s">
        <v>133</v>
      </c>
      <c r="D113" s="165"/>
      <c r="E113" s="147"/>
      <c r="F113" s="147"/>
      <c r="G113" s="147"/>
      <c r="H113" s="147"/>
      <c r="I113" s="147"/>
      <c r="J113" s="147"/>
      <c r="K113" s="134"/>
    </row>
    <row r="114" spans="1:12" ht="16.5" customHeight="1" x14ac:dyDescent="0.25">
      <c r="A114" s="167"/>
      <c r="B114" s="120" t="s">
        <v>144</v>
      </c>
      <c r="C114" s="168"/>
      <c r="D114" s="168"/>
      <c r="H114" s="100"/>
      <c r="J114" s="161">
        <f>SUM(J110:J113)</f>
        <v>0</v>
      </c>
      <c r="K114" s="161">
        <f>SUM(K110:K113)</f>
        <v>0</v>
      </c>
      <c r="L114" s="147" t="str">
        <f>IF(J114=K114,"&lt;- Debits and Credits equal each other.","&lt;- Debits and Credits do not equal each other.")</f>
        <v>&lt;- Debits and Credits equal each other.</v>
      </c>
    </row>
    <row r="115" spans="1:12" ht="16.5" customHeight="1" x14ac:dyDescent="0.25">
      <c r="A115" s="167"/>
      <c r="B115" s="152" t="s">
        <v>147</v>
      </c>
      <c r="C115" s="168"/>
      <c r="D115" s="168"/>
      <c r="H115" s="100"/>
      <c r="J115" s="161"/>
      <c r="K115" s="161"/>
      <c r="L115" s="151"/>
    </row>
    <row r="116" spans="1:12" ht="16.5" customHeight="1" x14ac:dyDescent="0.25">
      <c r="H116" s="100"/>
    </row>
    <row r="117" spans="1:12" ht="16.5" customHeight="1" x14ac:dyDescent="0.25">
      <c r="H117" s="100"/>
    </row>
    <row r="118" spans="1:12" ht="16.5" customHeight="1" x14ac:dyDescent="0.25">
      <c r="H118" s="100"/>
    </row>
    <row r="119" spans="1:12" ht="16.5" customHeight="1" x14ac:dyDescent="0.25">
      <c r="H119" s="100"/>
    </row>
    <row r="120" spans="1:12" ht="20.25" x14ac:dyDescent="0.3">
      <c r="D120" s="169" t="s">
        <v>173</v>
      </c>
      <c r="E120" s="170"/>
      <c r="F120" s="171"/>
      <c r="G120" s="171"/>
      <c r="H120" s="171"/>
      <c r="I120" s="172"/>
      <c r="J120" s="172"/>
      <c r="K120" s="173"/>
    </row>
    <row r="121" spans="1:12" ht="16.5" customHeight="1" x14ac:dyDescent="0.25">
      <c r="H121" s="100"/>
      <c r="K121" s="174" t="s">
        <v>174</v>
      </c>
    </row>
    <row r="122" spans="1:12" ht="16.5" customHeight="1" x14ac:dyDescent="0.25">
      <c r="D122" s="130" t="s">
        <v>175</v>
      </c>
      <c r="H122" s="100"/>
      <c r="K122" s="175">
        <f>J15+J39-K88-K101+J110</f>
        <v>0</v>
      </c>
    </row>
    <row r="123" spans="1:12" ht="16.5" customHeight="1" x14ac:dyDescent="0.25">
      <c r="D123" s="130" t="s">
        <v>176</v>
      </c>
      <c r="H123" s="100"/>
      <c r="K123" s="175">
        <f>J16+J40-K89-K102+J111</f>
        <v>0</v>
      </c>
    </row>
    <row r="124" spans="1:12" ht="16.5" customHeight="1" x14ac:dyDescent="0.25">
      <c r="D124" s="130" t="s">
        <v>177</v>
      </c>
      <c r="H124" s="100"/>
      <c r="K124" s="175">
        <f>J17+J41-K90-K103+J112</f>
        <v>0</v>
      </c>
    </row>
    <row r="125" spans="1:12" ht="16.5" customHeight="1" x14ac:dyDescent="0.25">
      <c r="D125" s="130" t="s">
        <v>178</v>
      </c>
      <c r="H125" s="100"/>
      <c r="K125" s="175">
        <f>-K20-K56+J85+J97</f>
        <v>0</v>
      </c>
    </row>
    <row r="126" spans="1:12" ht="16.5" customHeight="1" x14ac:dyDescent="0.25">
      <c r="D126" s="130" t="s">
        <v>179</v>
      </c>
      <c r="H126" s="100"/>
      <c r="K126" s="175">
        <f>-K21-K57+J86+J98</f>
        <v>0</v>
      </c>
    </row>
    <row r="127" spans="1:12" ht="16.5" customHeight="1" x14ac:dyDescent="0.25">
      <c r="D127" s="130" t="s">
        <v>180</v>
      </c>
      <c r="H127" s="100"/>
      <c r="K127" s="175">
        <f>-K22-K58+J87+J99</f>
        <v>0</v>
      </c>
    </row>
    <row r="128" spans="1:12" ht="16.5" customHeight="1" x14ac:dyDescent="0.25">
      <c r="D128" s="130" t="s">
        <v>181</v>
      </c>
      <c r="H128" s="100"/>
      <c r="K128" s="175">
        <f>-K23-K48+J68+J75+J96-K113</f>
        <v>0</v>
      </c>
    </row>
    <row r="129" spans="4:11" ht="16.5" customHeight="1" x14ac:dyDescent="0.25">
      <c r="D129" s="130" t="s">
        <v>182</v>
      </c>
      <c r="H129" s="100"/>
      <c r="K129" s="175">
        <f>-K76</f>
        <v>0</v>
      </c>
    </row>
    <row r="130" spans="4:11" ht="16.5" customHeight="1" x14ac:dyDescent="0.25">
      <c r="H130" s="100"/>
    </row>
    <row r="131" spans="4:11" ht="16.5" customHeight="1" x14ac:dyDescent="0.25">
      <c r="H131" s="100"/>
    </row>
    <row r="132" spans="4:11" x14ac:dyDescent="0.25">
      <c r="H132" s="100"/>
    </row>
    <row r="133" spans="4:11" ht="16.5" customHeight="1" x14ac:dyDescent="0.25">
      <c r="H133" s="100"/>
    </row>
    <row r="134" spans="4:11" ht="16.5" customHeight="1" x14ac:dyDescent="0.25">
      <c r="H134" s="100"/>
    </row>
    <row r="135" spans="4:11" ht="16.5" customHeight="1" x14ac:dyDescent="0.25">
      <c r="H135" s="100"/>
    </row>
    <row r="136" spans="4:11" ht="16.5" customHeight="1" x14ac:dyDescent="0.25">
      <c r="H136" s="100"/>
    </row>
    <row r="137" spans="4:11" ht="16.5" customHeight="1" x14ac:dyDescent="0.25">
      <c r="H137" s="100"/>
    </row>
    <row r="138" spans="4:11" s="147" customFormat="1" ht="16.5" customHeight="1" x14ac:dyDescent="0.25"/>
    <row r="139" spans="4:11" ht="16.5" customHeight="1" x14ac:dyDescent="0.25">
      <c r="H139" s="100"/>
    </row>
    <row r="140" spans="4:11" ht="16.5" customHeight="1" x14ac:dyDescent="0.25">
      <c r="H140" s="100"/>
    </row>
    <row r="141" spans="4:11" x14ac:dyDescent="0.25">
      <c r="H141" s="100"/>
    </row>
    <row r="142" spans="4:11" ht="16.5" customHeight="1" x14ac:dyDescent="0.25">
      <c r="H142" s="100"/>
    </row>
    <row r="143" spans="4:11" ht="16.5" customHeight="1" x14ac:dyDescent="0.25">
      <c r="H143" s="100"/>
    </row>
    <row r="144" spans="4:11" ht="16.5" customHeight="1" x14ac:dyDescent="0.25">
      <c r="H144" s="100"/>
    </row>
    <row r="145" spans="8:8" ht="16.5" customHeight="1" x14ac:dyDescent="0.25">
      <c r="H145" s="100"/>
    </row>
    <row r="146" spans="8:8" ht="16.5" customHeight="1" x14ac:dyDescent="0.25">
      <c r="H146" s="100"/>
    </row>
    <row r="147" spans="8:8" ht="16.5" customHeight="1" x14ac:dyDescent="0.25">
      <c r="H147" s="100"/>
    </row>
    <row r="148" spans="8:8" ht="16.5" customHeight="1" x14ac:dyDescent="0.25">
      <c r="H148" s="100"/>
    </row>
    <row r="149" spans="8:8" ht="16.5" customHeight="1" x14ac:dyDescent="0.25">
      <c r="H149" s="100"/>
    </row>
    <row r="150" spans="8:8" ht="16.5" customHeight="1" x14ac:dyDescent="0.25">
      <c r="H150" s="100"/>
    </row>
    <row r="151" spans="8:8" ht="16.5" customHeight="1" x14ac:dyDescent="0.25">
      <c r="H151" s="100"/>
    </row>
    <row r="152" spans="8:8" ht="16.5" customHeight="1" x14ac:dyDescent="0.25">
      <c r="H152" s="100"/>
    </row>
    <row r="153" spans="8:8" ht="16.5" customHeight="1" x14ac:dyDescent="0.25">
      <c r="H153" s="100"/>
    </row>
    <row r="154" spans="8:8" ht="16.5" customHeight="1" x14ac:dyDescent="0.25">
      <c r="H154" s="100"/>
    </row>
    <row r="155" spans="8:8" ht="16.5" customHeight="1" x14ac:dyDescent="0.25">
      <c r="H155" s="100"/>
    </row>
    <row r="156" spans="8:8" ht="16.5" customHeight="1" x14ac:dyDescent="0.25">
      <c r="H156" s="100"/>
    </row>
    <row r="157" spans="8:8" ht="16.5" customHeight="1" x14ac:dyDescent="0.25">
      <c r="H157" s="100"/>
    </row>
    <row r="158" spans="8:8" ht="16.5" customHeight="1" x14ac:dyDescent="0.25">
      <c r="H158" s="100"/>
    </row>
    <row r="159" spans="8:8" ht="16.5" customHeight="1" x14ac:dyDescent="0.25">
      <c r="H159" s="100"/>
    </row>
    <row r="160" spans="8:8" ht="16.5" customHeight="1" x14ac:dyDescent="0.25">
      <c r="H160" s="100"/>
    </row>
    <row r="161" spans="8:8" ht="16.5" customHeight="1" x14ac:dyDescent="0.25">
      <c r="H161" s="100"/>
    </row>
    <row r="162" spans="8:8" ht="16.5" customHeight="1" x14ac:dyDescent="0.25">
      <c r="H162" s="100"/>
    </row>
    <row r="163" spans="8:8" ht="16.5" customHeight="1" x14ac:dyDescent="0.25">
      <c r="H163" s="100"/>
    </row>
    <row r="164" spans="8:8" ht="16.5" customHeight="1" x14ac:dyDescent="0.25">
      <c r="H164" s="100"/>
    </row>
    <row r="165" spans="8:8" ht="16.5" customHeight="1" x14ac:dyDescent="0.25">
      <c r="H165" s="100"/>
    </row>
    <row r="166" spans="8:8" ht="16.5" customHeight="1" x14ac:dyDescent="0.25">
      <c r="H166" s="100"/>
    </row>
    <row r="167" spans="8:8" ht="16.5" customHeight="1" x14ac:dyDescent="0.25">
      <c r="H167" s="100"/>
    </row>
    <row r="168" spans="8:8" x14ac:dyDescent="0.25">
      <c r="H168" s="100"/>
    </row>
    <row r="169" spans="8:8" ht="16.5" customHeight="1" x14ac:dyDescent="0.25">
      <c r="H169" s="100"/>
    </row>
    <row r="170" spans="8:8" ht="16.5" customHeight="1" x14ac:dyDescent="0.25">
      <c r="H170" s="100"/>
    </row>
    <row r="171" spans="8:8" ht="16.5" customHeight="1" x14ac:dyDescent="0.25">
      <c r="H171" s="100"/>
    </row>
    <row r="172" spans="8:8" s="147" customFormat="1" ht="16.5" customHeight="1" x14ac:dyDescent="0.25"/>
    <row r="173" spans="8:8" ht="16.5" customHeight="1" x14ac:dyDescent="0.25">
      <c r="H173" s="100"/>
    </row>
    <row r="174" spans="8:8" ht="16.5" customHeight="1" x14ac:dyDescent="0.25">
      <c r="H174" s="100"/>
    </row>
    <row r="175" spans="8:8" x14ac:dyDescent="0.25">
      <c r="H175" s="100"/>
    </row>
    <row r="176" spans="8:8" ht="16.5" customHeight="1" x14ac:dyDescent="0.25">
      <c r="H176" s="100"/>
    </row>
    <row r="177" spans="8:8" ht="16.5" customHeight="1" x14ac:dyDescent="0.25">
      <c r="H177" s="100"/>
    </row>
    <row r="178" spans="8:8" ht="16.5" customHeight="1" x14ac:dyDescent="0.25">
      <c r="H178" s="100"/>
    </row>
    <row r="179" spans="8:8" ht="16.5" customHeight="1" x14ac:dyDescent="0.25">
      <c r="H179" s="100"/>
    </row>
    <row r="180" spans="8:8" ht="16.5" customHeight="1" x14ac:dyDescent="0.25">
      <c r="H180" s="100"/>
    </row>
    <row r="181" spans="8:8" ht="16.5" customHeight="1" x14ac:dyDescent="0.25">
      <c r="H181" s="100"/>
    </row>
    <row r="182" spans="8:8" s="147" customFormat="1" ht="16.5" customHeight="1" x14ac:dyDescent="0.25"/>
    <row r="183" spans="8:8" ht="16.5" customHeight="1" x14ac:dyDescent="0.25">
      <c r="H183" s="100"/>
    </row>
    <row r="184" spans="8:8" ht="34.5" customHeight="1" x14ac:dyDescent="0.25">
      <c r="H184" s="100"/>
    </row>
    <row r="185" spans="8:8" ht="16.5" customHeight="1" x14ac:dyDescent="0.25">
      <c r="H185" s="100"/>
    </row>
    <row r="186" spans="8:8" ht="16.5" customHeight="1" x14ac:dyDescent="0.25">
      <c r="H186" s="100"/>
    </row>
    <row r="187" spans="8:8" ht="16.5" customHeight="1" x14ac:dyDescent="0.25">
      <c r="H187" s="100"/>
    </row>
    <row r="188" spans="8:8" ht="16.5" customHeight="1" x14ac:dyDescent="0.25">
      <c r="H188" s="100"/>
    </row>
    <row r="189" spans="8:8" ht="16.5" customHeight="1" x14ac:dyDescent="0.25">
      <c r="H189" s="100"/>
    </row>
    <row r="190" spans="8:8" ht="16.5" customHeight="1" x14ac:dyDescent="0.25">
      <c r="H190" s="100"/>
    </row>
    <row r="191" spans="8:8" ht="16.5" customHeight="1" x14ac:dyDescent="0.25">
      <c r="H191" s="100"/>
    </row>
    <row r="192" spans="8:8" ht="16.5" customHeight="1" x14ac:dyDescent="0.25">
      <c r="H192" s="100"/>
    </row>
    <row r="193" spans="8:8" ht="16.5" customHeight="1" x14ac:dyDescent="0.25">
      <c r="H193" s="100"/>
    </row>
  </sheetData>
  <sheetProtection algorithmName="SHA-512" hashValue="g9DHlcYmwkz79VlsG1F8MkUBuWb2CMi0oeYvQsK8Sr4ZLX537IRzlepH8g2wny77KfPNrZ1Ovgj/yeyOVv86iQ==" saltValue="n4uGwwQphsoEclzGRIp+E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type="textLength" operator="equal" allowBlank="1" showInputMessage="1" showErrorMessage="1" errorTitle="4-Digit Org Code" error="Enter the Org Code/BU as 4 digits." sqref="F5" xr:uid="{C7584F9E-1D3F-4752-98DA-D5B44C27F2A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FC597B3-6EA1-4B59-AF2D-10D816722AE4}">
      <formula1>0</formula1>
    </dataValidation>
    <dataValidation operator="lessThan" allowBlank="1" showInputMessage="1" showErrorMessage="1" sqref="A3:A8" xr:uid="{CA05FA5C-53C0-46A9-9B23-9FD5E1110D0D}"/>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BC395-8F19-4492-B8A7-E112B69AA2AB}">
  <sheetPr>
    <tabColor theme="9" tint="0.59999389629810485"/>
  </sheetPr>
  <dimension ref="B1:Q23"/>
  <sheetViews>
    <sheetView tabSelected="1" zoomScale="80" zoomScaleNormal="80" workbookViewId="0">
      <selection activeCell="V15" sqref="V15"/>
    </sheetView>
  </sheetViews>
  <sheetFormatPr defaultColWidth="9.140625" defaultRowHeight="18" x14ac:dyDescent="0.25"/>
  <cols>
    <col min="1" max="1" width="9.140625" style="71"/>
    <col min="2" max="3" width="3.7109375" style="71" customWidth="1"/>
    <col min="4" max="4" width="35.7109375" style="71" customWidth="1"/>
    <col min="5" max="5" width="3.7109375" style="71" customWidth="1"/>
    <col min="6" max="6" width="16.85546875" style="72" customWidth="1"/>
    <col min="7" max="7" width="3.7109375" style="71" customWidth="1"/>
    <col min="8" max="8" width="16.85546875" style="72" customWidth="1"/>
    <col min="9" max="9" width="3.7109375" style="71" customWidth="1"/>
    <col min="10" max="10" width="16.85546875" style="72" customWidth="1"/>
    <col min="11" max="11" width="3.7109375" style="71" customWidth="1"/>
    <col min="12" max="12" width="16.85546875" style="72" customWidth="1"/>
    <col min="13" max="13" width="3.7109375" style="71" customWidth="1"/>
    <col min="14" max="14" width="16.85546875" style="72" customWidth="1"/>
    <col min="15" max="15" width="3.7109375" style="71" customWidth="1"/>
    <col min="16" max="16" width="17.7109375" style="72" bestFit="1" customWidth="1"/>
    <col min="17" max="17" width="3.7109375" style="71" customWidth="1"/>
    <col min="18" max="16384" width="9.140625" style="71"/>
  </cols>
  <sheetData>
    <row r="1" spans="2:17" ht="18.75" thickBot="1" x14ac:dyDescent="0.3"/>
    <row r="2" spans="2:17" x14ac:dyDescent="0.25">
      <c r="B2" s="73"/>
      <c r="C2" s="74"/>
      <c r="D2" s="74"/>
      <c r="E2" s="74"/>
      <c r="F2" s="75"/>
      <c r="G2" s="74"/>
      <c r="H2" s="75"/>
      <c r="I2" s="74"/>
      <c r="J2" s="75"/>
      <c r="K2" s="74"/>
      <c r="L2" s="75"/>
      <c r="M2" s="74"/>
      <c r="N2" s="75"/>
      <c r="O2" s="74"/>
      <c r="P2" s="75"/>
      <c r="Q2" s="76"/>
    </row>
    <row r="3" spans="2:17" ht="20.25" x14ac:dyDescent="0.3">
      <c r="B3" s="77"/>
      <c r="D3" s="78"/>
      <c r="E3" s="78"/>
      <c r="F3" s="78"/>
      <c r="G3" s="78"/>
      <c r="H3" s="78"/>
      <c r="I3" s="78"/>
      <c r="J3" s="79" t="s">
        <v>31</v>
      </c>
      <c r="K3" s="78"/>
      <c r="L3" s="78"/>
      <c r="M3" s="78"/>
      <c r="N3" s="78"/>
      <c r="O3" s="78"/>
      <c r="P3" s="78"/>
      <c r="Q3" s="80"/>
    </row>
    <row r="4" spans="2:17" ht="20.25" x14ac:dyDescent="0.3">
      <c r="B4" s="77"/>
      <c r="D4" s="78"/>
      <c r="E4" s="78"/>
      <c r="F4" s="78"/>
      <c r="G4" s="78"/>
      <c r="H4" s="78"/>
      <c r="I4" s="78"/>
      <c r="J4" s="79" t="str">
        <f>CONCATENATE("FY ",'[18]LS-Fund xxxx Journal Entries'!F3)</f>
        <v>FY 2023–2024</v>
      </c>
      <c r="K4" s="78"/>
      <c r="L4" s="78"/>
      <c r="M4" s="78"/>
      <c r="N4" s="78"/>
      <c r="O4" s="78"/>
      <c r="P4" s="78"/>
      <c r="Q4" s="80"/>
    </row>
    <row r="5" spans="2:17" ht="20.25" x14ac:dyDescent="0.3">
      <c r="B5" s="77"/>
      <c r="D5" s="78"/>
      <c r="E5" s="78"/>
      <c r="F5" s="78"/>
      <c r="G5" s="78"/>
      <c r="H5" s="78"/>
      <c r="I5" s="78"/>
      <c r="J5" s="81" t="str">
        <f>CONCATENATE("Business Unit ",'[18]LS-Department Note Disclosure'!B9," - ",'[18]LS-Department Note Disclosure'!B10)</f>
        <v>Business Unit 1111 - Department of Consumer Affairs</v>
      </c>
      <c r="K5" s="78"/>
      <c r="L5" s="78"/>
      <c r="M5" s="78"/>
      <c r="N5" s="78"/>
      <c r="O5" s="78"/>
      <c r="P5" s="78"/>
      <c r="Q5" s="80"/>
    </row>
    <row r="6" spans="2:17" x14ac:dyDescent="0.25">
      <c r="B6" s="77"/>
      <c r="Q6" s="80"/>
    </row>
    <row r="7" spans="2:17" ht="36.75" thickBot="1" x14ac:dyDescent="0.3">
      <c r="B7" s="77"/>
      <c r="F7" s="82" t="str">
        <f>CONCATENATE("Balance          July 1, ",MID(J4,4,4))</f>
        <v>Balance          July 1, 2023</v>
      </c>
      <c r="G7" s="83"/>
      <c r="H7" s="84" t="s">
        <v>10</v>
      </c>
      <c r="I7" s="83"/>
      <c r="J7" s="84" t="s">
        <v>11</v>
      </c>
      <c r="K7" s="83"/>
      <c r="L7" s="82" t="str">
        <f>CONCATENATE("Balance        June 30, ",RIGHT(J4,4))</f>
        <v>Balance        June 30, 2024</v>
      </c>
      <c r="M7" s="83"/>
      <c r="N7" s="82" t="s">
        <v>32</v>
      </c>
      <c r="O7" s="83"/>
      <c r="P7" s="82" t="s">
        <v>92</v>
      </c>
      <c r="Q7" s="80"/>
    </row>
    <row r="8" spans="2:17" x14ac:dyDescent="0.25">
      <c r="B8" s="77"/>
      <c r="F8" s="85" t="s">
        <v>93</v>
      </c>
      <c r="G8" s="83"/>
      <c r="H8" s="86" t="s">
        <v>94</v>
      </c>
      <c r="I8" s="83"/>
      <c r="J8" s="86" t="s">
        <v>95</v>
      </c>
      <c r="K8" s="83"/>
      <c r="L8" s="86"/>
      <c r="M8" s="83"/>
      <c r="N8" s="86" t="s">
        <v>96</v>
      </c>
      <c r="O8" s="83"/>
      <c r="P8" s="87"/>
      <c r="Q8" s="80"/>
    </row>
    <row r="9" spans="2:17" x14ac:dyDescent="0.25">
      <c r="B9" s="77"/>
      <c r="C9" s="83" t="s">
        <v>97</v>
      </c>
      <c r="Q9" s="80"/>
    </row>
    <row r="10" spans="2:17" ht="18.75" thickBot="1" x14ac:dyDescent="0.3">
      <c r="B10" s="77"/>
      <c r="D10" s="71" t="s">
        <v>98</v>
      </c>
      <c r="F10" s="88">
        <v>28785185</v>
      </c>
      <c r="G10" s="89"/>
      <c r="H10" s="88">
        <v>17098929</v>
      </c>
      <c r="I10" s="89"/>
      <c r="J10" s="88">
        <v>15588107</v>
      </c>
      <c r="K10" s="89"/>
      <c r="L10" s="90">
        <f>SUM(F10+H10-J10)</f>
        <v>30296007</v>
      </c>
      <c r="M10" s="89"/>
      <c r="N10" s="88">
        <v>12140181</v>
      </c>
      <c r="O10" s="89"/>
      <c r="P10" s="90">
        <f>L10-N10</f>
        <v>18155826</v>
      </c>
      <c r="Q10" s="80"/>
    </row>
    <row r="11" spans="2:17" ht="19.5" thickTop="1" thickBot="1" x14ac:dyDescent="0.3">
      <c r="B11" s="77"/>
      <c r="C11" s="83" t="s">
        <v>99</v>
      </c>
      <c r="F11" s="91">
        <f>SUM(F10:F10)</f>
        <v>28785185</v>
      </c>
      <c r="G11" s="89"/>
      <c r="H11" s="91">
        <f>SUM(H10:H10)</f>
        <v>17098929</v>
      </c>
      <c r="I11" s="89"/>
      <c r="J11" s="91">
        <f>SUM(J10:J10)</f>
        <v>15588107</v>
      </c>
      <c r="K11" s="89"/>
      <c r="L11" s="91">
        <f>SUM(L10:L10)</f>
        <v>30296007</v>
      </c>
      <c r="M11" s="89"/>
      <c r="N11" s="91">
        <f>SUM(N10:N10)</f>
        <v>12140181</v>
      </c>
      <c r="O11" s="89"/>
      <c r="P11" s="91">
        <f>SUM(P10:P10)</f>
        <v>18155826</v>
      </c>
      <c r="Q11" s="80"/>
    </row>
    <row r="12" spans="2:17" ht="18.75" thickTop="1" x14ac:dyDescent="0.25">
      <c r="B12" s="77"/>
      <c r="F12" s="89"/>
      <c r="G12" s="92"/>
      <c r="H12" s="89"/>
      <c r="I12" s="89"/>
      <c r="J12" s="89"/>
      <c r="K12" s="89"/>
      <c r="L12" s="89"/>
      <c r="M12" s="89"/>
      <c r="N12" s="89"/>
      <c r="O12" s="89"/>
      <c r="P12" s="89"/>
      <c r="Q12" s="80"/>
    </row>
    <row r="13" spans="2:17" x14ac:dyDescent="0.25">
      <c r="B13" s="77"/>
      <c r="C13" s="83" t="s">
        <v>100</v>
      </c>
      <c r="F13" s="89"/>
      <c r="G13" s="89"/>
      <c r="H13" s="89"/>
      <c r="I13" s="89"/>
      <c r="J13" s="89"/>
      <c r="K13" s="89"/>
      <c r="L13" s="89"/>
      <c r="M13" s="89"/>
      <c r="N13" s="89"/>
      <c r="O13" s="89"/>
      <c r="P13" s="89"/>
      <c r="Q13" s="80"/>
    </row>
    <row r="14" spans="2:17" ht="18.75" thickBot="1" x14ac:dyDescent="0.3">
      <c r="B14" s="77"/>
      <c r="D14" s="71" t="s">
        <v>98</v>
      </c>
      <c r="F14" s="88"/>
      <c r="G14" s="89"/>
      <c r="H14" s="88"/>
      <c r="I14" s="89"/>
      <c r="J14" s="88"/>
      <c r="K14" s="89"/>
      <c r="L14" s="90">
        <f>SUM(F14+H14-J14)</f>
        <v>0</v>
      </c>
      <c r="M14" s="89"/>
      <c r="N14" s="88"/>
      <c r="O14" s="89"/>
      <c r="P14" s="90">
        <f>L14-N14</f>
        <v>0</v>
      </c>
      <c r="Q14" s="80"/>
    </row>
    <row r="15" spans="2:17" ht="19.5" thickTop="1" thickBot="1" x14ac:dyDescent="0.3">
      <c r="B15" s="77"/>
      <c r="C15" s="83" t="s">
        <v>101</v>
      </c>
      <c r="F15" s="91">
        <f>SUM(F14:F14)</f>
        <v>0</v>
      </c>
      <c r="G15" s="89"/>
      <c r="H15" s="91">
        <f>SUM(H14:H14)</f>
        <v>0</v>
      </c>
      <c r="I15" s="89"/>
      <c r="J15" s="91">
        <f>SUM(J14:J14)</f>
        <v>0</v>
      </c>
      <c r="K15" s="89"/>
      <c r="L15" s="91">
        <f>SUM(L14:L14)</f>
        <v>0</v>
      </c>
      <c r="M15" s="89"/>
      <c r="N15" s="91">
        <f>SUM(N14:N14)</f>
        <v>0</v>
      </c>
      <c r="O15" s="89"/>
      <c r="P15" s="91">
        <f>SUM(P14:P14)</f>
        <v>0</v>
      </c>
      <c r="Q15" s="80"/>
    </row>
    <row r="16" spans="2:17" ht="18.75" thickTop="1" x14ac:dyDescent="0.25">
      <c r="B16" s="77"/>
      <c r="C16" s="83"/>
      <c r="F16" s="93"/>
      <c r="G16" s="89"/>
      <c r="H16" s="93"/>
      <c r="I16" s="89"/>
      <c r="J16" s="93"/>
      <c r="K16" s="89"/>
      <c r="L16" s="93"/>
      <c r="M16" s="89"/>
      <c r="N16" s="93"/>
      <c r="O16" s="89"/>
      <c r="P16" s="93"/>
      <c r="Q16" s="80"/>
    </row>
    <row r="17" spans="2:17" x14ac:dyDescent="0.25">
      <c r="B17" s="77"/>
      <c r="C17" s="83" t="s">
        <v>102</v>
      </c>
      <c r="F17" s="89"/>
      <c r="G17" s="89"/>
      <c r="H17" s="89"/>
      <c r="I17" s="89"/>
      <c r="J17" s="89"/>
      <c r="K17" s="89"/>
      <c r="L17" s="89"/>
      <c r="M17" s="89"/>
      <c r="N17" s="89"/>
      <c r="O17" s="89"/>
      <c r="P17" s="89"/>
      <c r="Q17" s="80"/>
    </row>
    <row r="18" spans="2:17" ht="18.75" thickBot="1" x14ac:dyDescent="0.3">
      <c r="B18" s="77"/>
      <c r="D18" s="71" t="s">
        <v>98</v>
      </c>
      <c r="F18" s="88"/>
      <c r="G18" s="89"/>
      <c r="H18" s="88"/>
      <c r="I18" s="89"/>
      <c r="J18" s="88"/>
      <c r="K18" s="89"/>
      <c r="L18" s="90">
        <f>SUM(F18+H18-J18)</f>
        <v>0</v>
      </c>
      <c r="M18" s="89"/>
      <c r="N18" s="88"/>
      <c r="O18" s="89"/>
      <c r="P18" s="90">
        <f>L18-N18</f>
        <v>0</v>
      </c>
      <c r="Q18" s="80"/>
    </row>
    <row r="19" spans="2:17" ht="19.5" thickTop="1" thickBot="1" x14ac:dyDescent="0.3">
      <c r="B19" s="77"/>
      <c r="C19" s="83" t="s">
        <v>103</v>
      </c>
      <c r="F19" s="91">
        <f>SUM(F18:F18)</f>
        <v>0</v>
      </c>
      <c r="G19" s="89"/>
      <c r="H19" s="91">
        <f>SUM(H18:H18)</f>
        <v>0</v>
      </c>
      <c r="I19" s="89"/>
      <c r="J19" s="91">
        <f>SUM(J18:J18)</f>
        <v>0</v>
      </c>
      <c r="K19" s="89"/>
      <c r="L19" s="91">
        <f>SUM(L18:L18)</f>
        <v>0</v>
      </c>
      <c r="M19" s="89"/>
      <c r="N19" s="91">
        <f>SUM(N18:N18)</f>
        <v>0</v>
      </c>
      <c r="O19" s="89"/>
      <c r="P19" s="91">
        <f>SUM(P18:P18)</f>
        <v>0</v>
      </c>
      <c r="Q19" s="80"/>
    </row>
    <row r="20" spans="2:17" ht="19.5" thickTop="1" thickBot="1" x14ac:dyDescent="0.3">
      <c r="B20" s="94"/>
      <c r="C20" s="95"/>
      <c r="D20" s="95"/>
      <c r="E20" s="95"/>
      <c r="F20" s="96"/>
      <c r="G20" s="95"/>
      <c r="H20" s="96"/>
      <c r="I20" s="95"/>
      <c r="J20" s="96"/>
      <c r="K20" s="95"/>
      <c r="L20" s="96"/>
      <c r="M20" s="95"/>
      <c r="N20" s="96"/>
      <c r="O20" s="95"/>
      <c r="P20" s="96"/>
      <c r="Q20" s="97"/>
    </row>
    <row r="22" spans="2:17" x14ac:dyDescent="0.25">
      <c r="B22" s="98" t="s">
        <v>104</v>
      </c>
    </row>
    <row r="23" spans="2:17" x14ac:dyDescent="0.25">
      <c r="B23" s="98" t="s">
        <v>4</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93BE9502-ECA3-4605-8B67-348AF72146DE}">
      <formula1>0</formula1>
    </dataValidation>
  </dataValidations>
  <pageMargins left="0.7" right="0.7" top="0.75" bottom="0.75" header="0.3" footer="0.3"/>
  <pageSetup scale="5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51C-CFEF-469A-9476-3581153ED35D}">
  <sheetPr>
    <tabColor theme="9" tint="0.59999389629810485"/>
    <pageSetUpPr fitToPage="1"/>
  </sheetPr>
  <dimension ref="A1:M98"/>
  <sheetViews>
    <sheetView topLeftCell="A5" zoomScale="90" zoomScaleNormal="90" workbookViewId="0">
      <selection activeCell="C17" sqref="C17"/>
    </sheetView>
  </sheetViews>
  <sheetFormatPr defaultColWidth="9.140625" defaultRowHeight="15" x14ac:dyDescent="0.2"/>
  <cols>
    <col min="1" max="1" width="37.42578125" style="54" customWidth="1"/>
    <col min="2" max="3" width="33.28515625" style="54" customWidth="1"/>
    <col min="4" max="4" width="86.85546875" style="54" customWidth="1"/>
    <col min="5" max="5" width="9.140625" style="54"/>
    <col min="6" max="6" width="19.28515625" style="54" customWidth="1"/>
    <col min="7" max="16384" width="9.140625" style="54"/>
  </cols>
  <sheetData>
    <row r="1" spans="1:13" ht="30" customHeight="1" x14ac:dyDescent="0.25">
      <c r="A1" s="205" t="s">
        <v>73</v>
      </c>
      <c r="B1" s="205"/>
      <c r="C1" s="205"/>
      <c r="D1" s="205"/>
      <c r="E1" s="205"/>
      <c r="F1" s="205"/>
      <c r="G1" s="53"/>
      <c r="H1" s="53"/>
      <c r="I1" s="53"/>
      <c r="J1" s="53"/>
      <c r="K1" s="53"/>
      <c r="L1" s="53"/>
      <c r="M1" s="53"/>
    </row>
    <row r="2" spans="1:13" ht="64.150000000000006" customHeight="1" x14ac:dyDescent="0.25">
      <c r="A2" s="206" t="s">
        <v>74</v>
      </c>
      <c r="B2" s="206"/>
      <c r="C2" s="206"/>
      <c r="D2" s="206"/>
      <c r="E2" s="206"/>
      <c r="F2" s="206"/>
      <c r="G2" s="53"/>
      <c r="H2" s="53"/>
      <c r="I2" s="53"/>
      <c r="J2" s="53"/>
      <c r="K2" s="53"/>
      <c r="L2" s="53"/>
      <c r="M2" s="53"/>
    </row>
    <row r="3" spans="1:13" ht="31.9" customHeight="1" x14ac:dyDescent="0.25">
      <c r="A3" s="207" t="s">
        <v>75</v>
      </c>
      <c r="B3" s="207"/>
      <c r="C3" s="207"/>
      <c r="D3" s="55"/>
      <c r="E3" s="53"/>
      <c r="F3" s="53"/>
      <c r="G3" s="53"/>
      <c r="H3" s="53"/>
      <c r="I3" s="53"/>
      <c r="J3" s="53"/>
      <c r="K3" s="53"/>
      <c r="L3" s="53"/>
      <c r="M3" s="53"/>
    </row>
    <row r="4" spans="1:13" ht="31.15" customHeight="1" x14ac:dyDescent="0.25">
      <c r="A4" s="208" t="s">
        <v>76</v>
      </c>
      <c r="B4" s="208"/>
      <c r="C4" s="208"/>
      <c r="D4" s="55"/>
      <c r="E4" s="53"/>
      <c r="F4" s="53"/>
      <c r="G4" s="53"/>
      <c r="H4" s="53"/>
      <c r="I4" s="53"/>
      <c r="J4" s="53"/>
      <c r="K4" s="53"/>
      <c r="L4" s="53"/>
      <c r="M4" s="53"/>
    </row>
    <row r="5" spans="1:13" ht="31.15" customHeight="1" x14ac:dyDescent="0.25">
      <c r="A5" s="208" t="s">
        <v>77</v>
      </c>
      <c r="B5" s="208"/>
      <c r="C5" s="208"/>
      <c r="D5" s="55"/>
      <c r="E5" s="53"/>
      <c r="F5" s="53"/>
      <c r="G5" s="53"/>
      <c r="H5" s="53"/>
      <c r="I5" s="53"/>
      <c r="J5" s="53"/>
      <c r="K5" s="53"/>
      <c r="L5" s="53"/>
      <c r="M5" s="53"/>
    </row>
    <row r="6" spans="1:13" ht="15.75" x14ac:dyDescent="0.25">
      <c r="A6" s="55"/>
      <c r="B6" s="55"/>
      <c r="C6" s="55"/>
      <c r="D6" s="55"/>
      <c r="E6" s="53"/>
      <c r="F6" s="53"/>
      <c r="G6" s="53"/>
      <c r="H6" s="53"/>
      <c r="I6" s="53"/>
      <c r="J6" s="53"/>
      <c r="K6" s="53"/>
      <c r="L6" s="53"/>
      <c r="M6" s="53"/>
    </row>
    <row r="7" spans="1:13" ht="20.25" x14ac:dyDescent="0.3">
      <c r="A7" s="56" t="s">
        <v>78</v>
      </c>
      <c r="B7" s="53"/>
      <c r="C7" s="53"/>
      <c r="D7" s="53"/>
      <c r="E7" s="53"/>
      <c r="F7" s="53"/>
      <c r="G7" s="53"/>
      <c r="H7" s="53"/>
      <c r="I7" s="53"/>
      <c r="J7" s="53"/>
      <c r="K7" s="53"/>
      <c r="L7" s="53"/>
      <c r="M7" s="53"/>
    </row>
    <row r="8" spans="1:13" ht="15.75" x14ac:dyDescent="0.25">
      <c r="A8" s="57" t="s">
        <v>79</v>
      </c>
      <c r="B8" s="204" t="s">
        <v>80</v>
      </c>
      <c r="C8" s="204"/>
      <c r="D8" s="53"/>
      <c r="E8" s="53"/>
      <c r="F8" s="53"/>
    </row>
    <row r="9" spans="1:13" ht="15.75" x14ac:dyDescent="0.25">
      <c r="A9" s="57" t="s">
        <v>81</v>
      </c>
      <c r="B9" s="202">
        <v>1111</v>
      </c>
      <c r="C9" s="202"/>
      <c r="D9" s="53"/>
      <c r="E9" s="53"/>
      <c r="F9" s="53"/>
    </row>
    <row r="10" spans="1:13" ht="15.75" x14ac:dyDescent="0.25">
      <c r="A10" s="57" t="s">
        <v>82</v>
      </c>
      <c r="B10" s="203" t="s">
        <v>83</v>
      </c>
      <c r="C10" s="203"/>
      <c r="D10" s="53"/>
      <c r="E10" s="53"/>
      <c r="F10" s="53"/>
      <c r="G10" s="58"/>
      <c r="H10" s="58"/>
      <c r="I10" s="58"/>
      <c r="J10" s="58"/>
      <c r="K10" s="58"/>
      <c r="L10" s="58"/>
      <c r="M10" s="58"/>
    </row>
    <row r="11" spans="1:13" ht="32.25" customHeight="1" x14ac:dyDescent="0.25">
      <c r="A11" s="199" t="s">
        <v>84</v>
      </c>
      <c r="B11" s="200"/>
      <c r="C11" s="200"/>
      <c r="D11" s="53"/>
      <c r="E11" s="53"/>
      <c r="F11" s="53"/>
      <c r="G11" s="59"/>
      <c r="H11" s="59"/>
      <c r="I11" s="59"/>
      <c r="J11" s="59"/>
      <c r="K11" s="59"/>
      <c r="L11" s="59"/>
      <c r="M11" s="59"/>
    </row>
    <row r="12" spans="1:13" ht="15" customHeight="1" x14ac:dyDescent="0.25">
      <c r="A12" s="60"/>
      <c r="B12" s="61" t="s">
        <v>85</v>
      </c>
      <c r="C12" s="61" t="s">
        <v>86</v>
      </c>
      <c r="D12" s="201" t="str">
        <f>"All of the below questions are for Fiscal Year "&amp;$B$8&amp;":"</f>
        <v>All of the below questions are for Fiscal Year 2023–2024:</v>
      </c>
      <c r="E12" s="201"/>
      <c r="F12" s="201"/>
      <c r="G12" s="59"/>
      <c r="H12" s="59"/>
      <c r="I12" s="59"/>
      <c r="J12" s="59"/>
      <c r="K12" s="59"/>
      <c r="L12" s="59"/>
      <c r="M12" s="59"/>
    </row>
    <row r="13" spans="1:13" ht="15.6" customHeight="1" x14ac:dyDescent="0.25">
      <c r="A13" s="60" t="str">
        <f>RIGHT(B8,4)&amp;"–"&amp;RIGHT(B8,4)+1</f>
        <v>2024–2025</v>
      </c>
      <c r="B13" s="62">
        <v>12140181</v>
      </c>
      <c r="C13" s="62">
        <v>445433</v>
      </c>
      <c r="D13" s="195" t="s">
        <v>87</v>
      </c>
      <c r="E13" s="196"/>
      <c r="F13" s="196"/>
      <c r="G13" s="59"/>
      <c r="H13" s="59"/>
      <c r="I13" s="59"/>
      <c r="J13" s="59"/>
      <c r="K13" s="59"/>
      <c r="L13" s="59"/>
      <c r="M13" s="59"/>
    </row>
    <row r="14" spans="1:13" x14ac:dyDescent="0.2">
      <c r="A14" s="60" t="str">
        <f>LEFT(A13,4)+1&amp;"–"&amp;RIGHT(A13,4)+1</f>
        <v>2025–2026</v>
      </c>
      <c r="B14" s="62">
        <v>6729986</v>
      </c>
      <c r="C14" s="62">
        <v>323366</v>
      </c>
      <c r="D14" s="195"/>
      <c r="E14" s="196"/>
      <c r="F14" s="196"/>
    </row>
    <row r="15" spans="1:13" ht="15.75" x14ac:dyDescent="0.2">
      <c r="A15" s="60" t="str">
        <f>LEFT(A14,4)+1&amp;"–"&amp;RIGHT(A14,4)+1</f>
        <v>2026–2027</v>
      </c>
      <c r="B15" s="62">
        <v>4911462</v>
      </c>
      <c r="C15" s="62">
        <v>210051</v>
      </c>
      <c r="D15" s="192" t="s">
        <v>88</v>
      </c>
      <c r="E15" s="192"/>
      <c r="F15" s="192"/>
      <c r="G15" s="63"/>
      <c r="H15" s="63"/>
      <c r="I15" s="63"/>
      <c r="J15" s="63"/>
      <c r="K15" s="63"/>
      <c r="L15" s="63"/>
      <c r="M15" s="63"/>
    </row>
    <row r="16" spans="1:13" x14ac:dyDescent="0.2">
      <c r="A16" s="60" t="str">
        <f>LEFT(A15,4)+1&amp;"–"&amp;RIGHT(A15,4)+1</f>
        <v>2027–2028</v>
      </c>
      <c r="B16" s="62">
        <v>3592236</v>
      </c>
      <c r="C16" s="62">
        <v>114549</v>
      </c>
      <c r="D16" s="194" t="str">
        <f>"If yes, record the dollar amount of variable payments below for fiscal year "&amp;$B$8&amp;":"</f>
        <v>If yes, record the dollar amount of variable payments below for fiscal year 2023–2024:</v>
      </c>
      <c r="E16" s="194"/>
      <c r="F16" s="194"/>
      <c r="G16" s="65"/>
      <c r="H16" s="65"/>
      <c r="I16" s="65"/>
      <c r="J16" s="65"/>
      <c r="K16" s="65"/>
    </row>
    <row r="17" spans="1:13" ht="15" customHeight="1" x14ac:dyDescent="0.2">
      <c r="A17" s="60" t="str">
        <f>LEFT(A16,4)+1&amp;"–"&amp;RIGHT(A16,4)+1</f>
        <v>2028–2029</v>
      </c>
      <c r="B17" s="62">
        <v>2646336</v>
      </c>
      <c r="C17" s="62">
        <v>41556</v>
      </c>
      <c r="D17" s="192"/>
      <c r="E17" s="192"/>
      <c r="F17" s="192"/>
      <c r="G17" s="65"/>
      <c r="H17" s="65"/>
      <c r="I17" s="65"/>
      <c r="J17" s="65"/>
      <c r="K17" s="65"/>
    </row>
    <row r="18" spans="1:13" ht="15" customHeight="1" x14ac:dyDescent="0.25">
      <c r="A18" s="60" t="str">
        <f>LEFT(A17,4)+1&amp;"–"&amp;RIGHT(A17,4)+5</f>
        <v>2029–2034</v>
      </c>
      <c r="B18" s="62">
        <v>275806</v>
      </c>
      <c r="C18" s="62">
        <v>5391</v>
      </c>
      <c r="D18" s="195" t="s">
        <v>89</v>
      </c>
      <c r="E18" s="196"/>
      <c r="F18" s="196"/>
      <c r="G18" s="59"/>
      <c r="H18" s="59"/>
      <c r="I18" s="59"/>
      <c r="J18" s="59"/>
      <c r="K18" s="59"/>
      <c r="L18" s="59"/>
      <c r="M18" s="59"/>
    </row>
    <row r="19" spans="1:13" x14ac:dyDescent="0.2">
      <c r="A19" s="60" t="str">
        <f t="shared" ref="A19:A32" si="0">LEFT(A18,4)+5&amp;"–"&amp;RIGHT(A18,4)+5</f>
        <v>2034–2039</v>
      </c>
      <c r="B19" s="62"/>
      <c r="C19" s="62"/>
      <c r="D19" s="195"/>
      <c r="E19" s="196"/>
      <c r="F19" s="196"/>
    </row>
    <row r="20" spans="1:13" ht="15.75" x14ac:dyDescent="0.2">
      <c r="A20" s="60" t="str">
        <f t="shared" si="0"/>
        <v>2039–2044</v>
      </c>
      <c r="B20" s="62"/>
      <c r="C20" s="62"/>
      <c r="D20" s="192" t="s">
        <v>88</v>
      </c>
      <c r="E20" s="192"/>
      <c r="F20" s="192"/>
      <c r="G20" s="63"/>
      <c r="H20" s="63"/>
      <c r="I20" s="63"/>
      <c r="J20" s="63"/>
      <c r="K20" s="63"/>
      <c r="L20" s="63"/>
      <c r="M20" s="63"/>
    </row>
    <row r="21" spans="1:13" ht="15" customHeight="1" x14ac:dyDescent="0.2">
      <c r="A21" s="60" t="str">
        <f t="shared" si="0"/>
        <v>2044–2049</v>
      </c>
      <c r="B21" s="62"/>
      <c r="C21" s="62"/>
      <c r="D21" s="193" t="str">
        <f>"If yes, record the dollar amount of any payments made for residual value guarantees below for fiscal year "&amp;$B$8&amp;":"</f>
        <v>If yes, record the dollar amount of any payments made for residual value guarantees below for fiscal year 2023–2024:</v>
      </c>
      <c r="E21" s="194"/>
      <c r="F21" s="194"/>
    </row>
    <row r="22" spans="1:13" x14ac:dyDescent="0.2">
      <c r="A22" s="60" t="str">
        <f t="shared" si="0"/>
        <v>2049–2054</v>
      </c>
      <c r="B22" s="62"/>
      <c r="C22" s="62"/>
      <c r="D22" s="193"/>
      <c r="E22" s="194"/>
      <c r="F22" s="194"/>
    </row>
    <row r="23" spans="1:13" x14ac:dyDescent="0.2">
      <c r="A23" s="60" t="str">
        <f t="shared" si="0"/>
        <v>2054–2059</v>
      </c>
      <c r="B23" s="62"/>
      <c r="C23" s="62"/>
      <c r="D23" s="192"/>
      <c r="E23" s="192"/>
      <c r="F23" s="192"/>
    </row>
    <row r="24" spans="1:13" x14ac:dyDescent="0.2">
      <c r="A24" s="60" t="str">
        <f t="shared" si="0"/>
        <v>2059–2064</v>
      </c>
      <c r="B24" s="62"/>
      <c r="C24" s="62"/>
      <c r="D24" s="19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4"/>
      <c r="F24" s="194"/>
    </row>
    <row r="25" spans="1:13" ht="15" customHeight="1" x14ac:dyDescent="0.2">
      <c r="A25" s="60" t="str">
        <f t="shared" si="0"/>
        <v>2064–2069</v>
      </c>
      <c r="B25" s="62"/>
      <c r="C25" s="62"/>
      <c r="D25" s="193"/>
      <c r="E25" s="194"/>
      <c r="F25" s="194"/>
    </row>
    <row r="26" spans="1:13" x14ac:dyDescent="0.2">
      <c r="A26" s="60" t="str">
        <f t="shared" si="0"/>
        <v>2069–2074</v>
      </c>
      <c r="B26" s="62"/>
      <c r="C26" s="62"/>
      <c r="D26" s="192"/>
      <c r="E26" s="192"/>
      <c r="F26" s="192"/>
    </row>
    <row r="27" spans="1:13" ht="15" customHeight="1" x14ac:dyDescent="0.2">
      <c r="A27" s="60" t="str">
        <f t="shared" si="0"/>
        <v>2074–2079</v>
      </c>
      <c r="B27" s="62"/>
      <c r="C27" s="62"/>
      <c r="D27" s="19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196"/>
      <c r="F27" s="196"/>
    </row>
    <row r="28" spans="1:13" ht="15.75" x14ac:dyDescent="0.2">
      <c r="A28" s="60" t="str">
        <f t="shared" si="0"/>
        <v>2079–2084</v>
      </c>
      <c r="B28" s="62"/>
      <c r="C28" s="62"/>
      <c r="D28" s="195"/>
      <c r="E28" s="196"/>
      <c r="F28" s="196"/>
      <c r="G28" s="66"/>
      <c r="H28" s="66"/>
      <c r="I28" s="66"/>
      <c r="J28" s="66"/>
      <c r="K28" s="66"/>
      <c r="L28" s="66"/>
      <c r="M28" s="66"/>
    </row>
    <row r="29" spans="1:13" ht="15.75" x14ac:dyDescent="0.2">
      <c r="A29" s="60" t="str">
        <f t="shared" si="0"/>
        <v>2084–2089</v>
      </c>
      <c r="B29" s="62"/>
      <c r="C29" s="62"/>
      <c r="D29" s="192"/>
      <c r="E29" s="192"/>
      <c r="F29" s="192"/>
      <c r="G29" s="66"/>
      <c r="H29" s="66"/>
      <c r="I29" s="66"/>
      <c r="J29" s="66"/>
      <c r="K29" s="66"/>
      <c r="L29" s="66"/>
      <c r="M29" s="66"/>
    </row>
    <row r="30" spans="1:13" ht="15.75" x14ac:dyDescent="0.2">
      <c r="A30" s="60" t="str">
        <f t="shared" si="0"/>
        <v>2089–2094</v>
      </c>
      <c r="B30" s="62"/>
      <c r="C30" s="62"/>
      <c r="D30" s="54" t="str">
        <f>CONCATENATE("5. Are there any lease commitments known that have yet to commence as of June 30, ",RIGHT(B8,4),"?")</f>
        <v>5. Are there any lease commitments known that have yet to commence as of June 30, 2024?</v>
      </c>
      <c r="E30" s="64"/>
      <c r="F30" s="64"/>
      <c r="G30" s="66"/>
      <c r="H30" s="66"/>
      <c r="I30" s="66"/>
      <c r="J30" s="66"/>
      <c r="K30" s="66"/>
      <c r="L30" s="66"/>
      <c r="M30" s="66"/>
    </row>
    <row r="31" spans="1:13" ht="15" customHeight="1" x14ac:dyDescent="0.2">
      <c r="A31" s="60" t="str">
        <f t="shared" si="0"/>
        <v>2094–2099</v>
      </c>
      <c r="B31" s="62"/>
      <c r="C31" s="62"/>
      <c r="D31" s="192" t="s">
        <v>88</v>
      </c>
      <c r="E31" s="192"/>
      <c r="F31" s="192"/>
    </row>
    <row r="32" spans="1:13" x14ac:dyDescent="0.2">
      <c r="A32" s="60" t="str">
        <f t="shared" si="0"/>
        <v>2099–2104</v>
      </c>
      <c r="B32" s="62"/>
      <c r="C32" s="62"/>
      <c r="D32" s="67" t="str">
        <f>"If yes, record the dollar amount of any lease commitments not commenced below for fiscal year "&amp;A13&amp;"."</f>
        <v>If yes, record the dollar amount of any lease commitments not commenced below for fiscal year 2024–2025.</v>
      </c>
      <c r="E32" s="68"/>
      <c r="F32" s="68"/>
    </row>
    <row r="33" spans="1:13" x14ac:dyDescent="0.2">
      <c r="A33" s="60" t="str">
        <f>LEFT(A32,4)+5&amp;"–"&amp;RIGHT(A32,4)+5</f>
        <v>2104–2109</v>
      </c>
      <c r="B33" s="62"/>
      <c r="C33" s="62"/>
      <c r="D33" s="192"/>
      <c r="E33" s="192"/>
      <c r="F33" s="192"/>
    </row>
    <row r="34" spans="1:13" ht="15" customHeight="1" x14ac:dyDescent="0.2">
      <c r="A34" s="60" t="str">
        <f>LEFT(A33,4)+5&amp;"–"&amp;RIGHT(A33,4)+5</f>
        <v>2109–2114</v>
      </c>
      <c r="B34" s="62"/>
      <c r="C34" s="62"/>
      <c r="G34" s="58"/>
      <c r="H34" s="58"/>
      <c r="I34" s="58"/>
      <c r="J34" s="58"/>
      <c r="K34" s="58"/>
      <c r="L34" s="58"/>
      <c r="M34" s="58"/>
    </row>
    <row r="35" spans="1:13" ht="16.5" customHeight="1" x14ac:dyDescent="0.2">
      <c r="A35" s="60" t="str">
        <f>LEFT(A34,4)+5&amp;"–"&amp;RIGHT(A34,4)+5</f>
        <v>2114–2119</v>
      </c>
      <c r="B35" s="62"/>
      <c r="C35" s="62"/>
      <c r="G35" s="69"/>
      <c r="H35" s="69"/>
      <c r="I35" s="69"/>
      <c r="J35" s="69"/>
      <c r="K35" s="69"/>
      <c r="L35" s="69"/>
      <c r="M35" s="69"/>
    </row>
    <row r="36" spans="1:13" ht="15" customHeight="1" x14ac:dyDescent="0.2">
      <c r="A36" s="60" t="str">
        <f>LEFT(A35,4)+5&amp;"–"&amp;RIGHT(A35,4)+5</f>
        <v>2119–2124</v>
      </c>
      <c r="B36" s="62"/>
      <c r="C36" s="62"/>
      <c r="G36" s="69"/>
      <c r="H36" s="69"/>
      <c r="I36" s="69"/>
      <c r="J36" s="69"/>
      <c r="K36" s="69"/>
      <c r="L36" s="69"/>
      <c r="M36" s="69"/>
    </row>
    <row r="37" spans="1:13" ht="15.75" x14ac:dyDescent="0.2">
      <c r="B37" s="70"/>
      <c r="C37" s="70"/>
      <c r="F37" s="66"/>
    </row>
    <row r="38" spans="1:13" ht="20.25" x14ac:dyDescent="0.3">
      <c r="A38" s="56" t="s">
        <v>90</v>
      </c>
      <c r="F38" s="66"/>
    </row>
    <row r="39" spans="1:13" ht="15.75" x14ac:dyDescent="0.25">
      <c r="A39" s="57" t="s">
        <v>79</v>
      </c>
      <c r="B39" s="197" t="str">
        <f>B8</f>
        <v>2023–2024</v>
      </c>
      <c r="C39" s="197"/>
      <c r="E39" s="64"/>
    </row>
    <row r="40" spans="1:13" ht="15.6" customHeight="1" x14ac:dyDescent="0.25">
      <c r="A40" s="57" t="s">
        <v>81</v>
      </c>
      <c r="B40" s="198">
        <f>B9</f>
        <v>1111</v>
      </c>
      <c r="C40" s="198"/>
      <c r="E40" s="64"/>
    </row>
    <row r="41" spans="1:13" ht="15.75" x14ac:dyDescent="0.25">
      <c r="A41" s="57" t="s">
        <v>82</v>
      </c>
      <c r="B41" s="197" t="str">
        <f>B10</f>
        <v>Department of Consumer Affairs</v>
      </c>
      <c r="C41" s="197"/>
      <c r="E41" s="64"/>
    </row>
    <row r="42" spans="1:13" ht="32.25" customHeight="1" x14ac:dyDescent="0.25">
      <c r="A42" s="199" t="s">
        <v>84</v>
      </c>
      <c r="B42" s="200"/>
      <c r="C42" s="200"/>
      <c r="D42" s="53"/>
      <c r="E42" s="53"/>
      <c r="F42" s="53"/>
      <c r="G42" s="59"/>
      <c r="H42" s="59"/>
      <c r="I42" s="59"/>
      <c r="J42" s="59"/>
      <c r="K42" s="59"/>
      <c r="L42" s="59"/>
      <c r="M42" s="59"/>
    </row>
    <row r="43" spans="1:13" ht="15" customHeight="1" x14ac:dyDescent="0.25">
      <c r="A43" s="60"/>
      <c r="B43" s="61" t="s">
        <v>85</v>
      </c>
      <c r="C43" s="61" t="s">
        <v>86</v>
      </c>
      <c r="D43" s="201" t="str">
        <f>"All of the below questions are for Fiscal Year "&amp;$B$8&amp;":"</f>
        <v>All of the below questions are for Fiscal Year 2023–2024:</v>
      </c>
      <c r="E43" s="201"/>
      <c r="F43" s="201"/>
    </row>
    <row r="44" spans="1:13" ht="15" customHeight="1" x14ac:dyDescent="0.2">
      <c r="A44" s="60" t="str">
        <f>RIGHT(B39,4)&amp;"–"&amp;RIGHT(B39,4)+1</f>
        <v>2024–2025</v>
      </c>
      <c r="B44" s="62"/>
      <c r="C44" s="62"/>
      <c r="D44" s="195" t="s">
        <v>87</v>
      </c>
      <c r="E44" s="196"/>
      <c r="F44" s="196"/>
    </row>
    <row r="45" spans="1:13" ht="15" customHeight="1" x14ac:dyDescent="0.2">
      <c r="A45" s="60" t="str">
        <f>LEFT(A44,4)+1&amp;"–"&amp;RIGHT(A44,4)+1</f>
        <v>2025–2026</v>
      </c>
      <c r="B45" s="62"/>
      <c r="C45" s="62"/>
      <c r="D45" s="195"/>
      <c r="E45" s="196"/>
      <c r="F45" s="196"/>
    </row>
    <row r="46" spans="1:13" x14ac:dyDescent="0.2">
      <c r="A46" s="60" t="str">
        <f>LEFT(A45,4)+1&amp;"–"&amp;RIGHT(A45,4)+1</f>
        <v>2026–2027</v>
      </c>
      <c r="B46" s="62"/>
      <c r="C46" s="62"/>
      <c r="D46" s="192"/>
      <c r="E46" s="192"/>
      <c r="F46" s="192"/>
    </row>
    <row r="47" spans="1:13" ht="15" customHeight="1" x14ac:dyDescent="0.2">
      <c r="A47" s="60" t="str">
        <f>LEFT(A46,4)+1&amp;"–"&amp;RIGHT(A46,4)+1</f>
        <v>2027–2028</v>
      </c>
      <c r="B47" s="62"/>
      <c r="C47" s="62"/>
      <c r="D47" s="194" t="str">
        <f>"If yes, record the dollar amount of variable payments below for fiscal year "&amp;$B$8&amp;":"</f>
        <v>If yes, record the dollar amount of variable payments below for fiscal year 2023–2024:</v>
      </c>
      <c r="E47" s="194"/>
      <c r="F47" s="194"/>
    </row>
    <row r="48" spans="1:13" ht="15" customHeight="1" x14ac:dyDescent="0.2">
      <c r="A48" s="60" t="str">
        <f>LEFT(A47,4)+1&amp;"–"&amp;RIGHT(A47,4)+1</f>
        <v>2028–2029</v>
      </c>
      <c r="B48" s="62"/>
      <c r="C48" s="62"/>
      <c r="D48" s="192"/>
      <c r="E48" s="192"/>
      <c r="F48" s="192"/>
    </row>
    <row r="49" spans="1:6" ht="15" customHeight="1" x14ac:dyDescent="0.2">
      <c r="A49" s="60" t="str">
        <f>LEFT(A48,4)+1&amp;"–"&amp;RIGHT(A48,4)+5</f>
        <v>2029–2034</v>
      </c>
      <c r="B49" s="62"/>
      <c r="C49" s="62"/>
      <c r="D49" s="195" t="s">
        <v>89</v>
      </c>
      <c r="E49" s="196"/>
      <c r="F49" s="196"/>
    </row>
    <row r="50" spans="1:6" x14ac:dyDescent="0.2">
      <c r="A50" s="60" t="str">
        <f t="shared" ref="A50:A63" si="1">LEFT(A49,4)+5&amp;"–"&amp;RIGHT(A49,4)+5</f>
        <v>2034–2039</v>
      </c>
      <c r="B50" s="62"/>
      <c r="C50" s="62"/>
      <c r="D50" s="195"/>
      <c r="E50" s="196"/>
      <c r="F50" s="196"/>
    </row>
    <row r="51" spans="1:6" ht="15" customHeight="1" x14ac:dyDescent="0.2">
      <c r="A51" s="60" t="str">
        <f t="shared" si="1"/>
        <v>2039–2044</v>
      </c>
      <c r="B51" s="62"/>
      <c r="C51" s="62"/>
      <c r="D51" s="192"/>
      <c r="E51" s="192"/>
      <c r="F51" s="192"/>
    </row>
    <row r="52" spans="1:6" ht="15" customHeight="1" x14ac:dyDescent="0.2">
      <c r="A52" s="60" t="str">
        <f t="shared" si="1"/>
        <v>2044–2049</v>
      </c>
      <c r="B52" s="62"/>
      <c r="C52" s="62"/>
      <c r="D52" s="193" t="str">
        <f>"If yes, record the dollar amount of any payments made for residual value guarantees below for fiscal year "&amp;$B$8&amp;":"</f>
        <v>If yes, record the dollar amount of any payments made for residual value guarantees below for fiscal year 2023–2024:</v>
      </c>
      <c r="E52" s="194"/>
      <c r="F52" s="194"/>
    </row>
    <row r="53" spans="1:6" x14ac:dyDescent="0.2">
      <c r="A53" s="60" t="str">
        <f t="shared" si="1"/>
        <v>2049–2054</v>
      </c>
      <c r="B53" s="62"/>
      <c r="C53" s="62"/>
      <c r="D53" s="193"/>
      <c r="E53" s="194"/>
      <c r="F53" s="194"/>
    </row>
    <row r="54" spans="1:6" x14ac:dyDescent="0.2">
      <c r="A54" s="60" t="str">
        <f t="shared" si="1"/>
        <v>2054–2059</v>
      </c>
      <c r="B54" s="62"/>
      <c r="C54" s="62"/>
      <c r="D54" s="192"/>
      <c r="E54" s="192"/>
      <c r="F54" s="192"/>
    </row>
    <row r="55" spans="1:6" ht="15" customHeight="1" x14ac:dyDescent="0.2">
      <c r="A55" s="60" t="str">
        <f t="shared" si="1"/>
        <v>2059–2064</v>
      </c>
      <c r="B55" s="62"/>
      <c r="C55" s="62"/>
      <c r="D55" s="19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4"/>
      <c r="F55" s="194"/>
    </row>
    <row r="56" spans="1:6" ht="15" customHeight="1" x14ac:dyDescent="0.2">
      <c r="A56" s="60" t="str">
        <f t="shared" si="1"/>
        <v>2064–2069</v>
      </c>
      <c r="B56" s="62"/>
      <c r="C56" s="62"/>
      <c r="D56" s="193"/>
      <c r="E56" s="194"/>
      <c r="F56" s="194"/>
    </row>
    <row r="57" spans="1:6" x14ac:dyDescent="0.2">
      <c r="A57" s="60" t="str">
        <f t="shared" si="1"/>
        <v>2069–2074</v>
      </c>
      <c r="B57" s="62"/>
      <c r="C57" s="62"/>
      <c r="D57" s="192"/>
      <c r="E57" s="192"/>
      <c r="F57" s="192"/>
    </row>
    <row r="58" spans="1:6" x14ac:dyDescent="0.2">
      <c r="A58" s="60" t="str">
        <f t="shared" si="1"/>
        <v>2074–2079</v>
      </c>
      <c r="B58" s="62"/>
      <c r="C58" s="62"/>
      <c r="D58" s="19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196"/>
      <c r="F58" s="196"/>
    </row>
    <row r="59" spans="1:6" x14ac:dyDescent="0.2">
      <c r="A59" s="60" t="str">
        <f t="shared" si="1"/>
        <v>2079–2084</v>
      </c>
      <c r="B59" s="62"/>
      <c r="C59" s="62"/>
      <c r="D59" s="195"/>
      <c r="E59" s="196"/>
      <c r="F59" s="196"/>
    </row>
    <row r="60" spans="1:6" ht="15" customHeight="1" x14ac:dyDescent="0.2">
      <c r="A60" s="60" t="str">
        <f t="shared" si="1"/>
        <v>2084–2089</v>
      </c>
      <c r="B60" s="62"/>
      <c r="C60" s="62"/>
      <c r="D60" s="192"/>
      <c r="E60" s="192"/>
      <c r="F60" s="192"/>
    </row>
    <row r="61" spans="1:6" x14ac:dyDescent="0.2">
      <c r="A61" s="60" t="str">
        <f t="shared" si="1"/>
        <v>2089–2094</v>
      </c>
      <c r="B61" s="62"/>
      <c r="C61" s="62"/>
      <c r="D61" s="54" t="str">
        <f>CONCATENATE("5. Are there any lease commitments known that have yet to commence as of June 30, ",RIGHT(B39,4),"?")</f>
        <v>5. Are there any lease commitments known that have yet to commence as of June 30, 2024?</v>
      </c>
      <c r="E61" s="64"/>
      <c r="F61" s="64"/>
    </row>
    <row r="62" spans="1:6" x14ac:dyDescent="0.2">
      <c r="A62" s="60" t="str">
        <f t="shared" si="1"/>
        <v>2094–2099</v>
      </c>
      <c r="B62" s="62"/>
      <c r="C62" s="62"/>
      <c r="D62" s="192"/>
      <c r="E62" s="192"/>
      <c r="F62" s="192"/>
    </row>
    <row r="63" spans="1:6" x14ac:dyDescent="0.2">
      <c r="A63" s="60" t="str">
        <f t="shared" si="1"/>
        <v>2099–2104</v>
      </c>
      <c r="B63" s="62"/>
      <c r="C63" s="62"/>
      <c r="D63" s="67" t="str">
        <f>"If yes, record the dollar amount of any lease commitments not commenced below for fiscal year "&amp;A44&amp;"."</f>
        <v>If yes, record the dollar amount of any lease commitments not commenced below for fiscal year 2024–2025.</v>
      </c>
      <c r="E63" s="68"/>
      <c r="F63" s="68"/>
    </row>
    <row r="64" spans="1:6" x14ac:dyDescent="0.2">
      <c r="A64" s="60" t="str">
        <f>LEFT(A63,4)+5&amp;"–"&amp;RIGHT(A63,4)+5</f>
        <v>2104–2109</v>
      </c>
      <c r="B64" s="62"/>
      <c r="C64" s="62"/>
      <c r="D64" s="192"/>
      <c r="E64" s="192"/>
      <c r="F64" s="192"/>
    </row>
    <row r="65" spans="1:13" x14ac:dyDescent="0.2">
      <c r="A65" s="60" t="str">
        <f>LEFT(A64,4)+5&amp;"–"&amp;RIGHT(A64,4)+5</f>
        <v>2109–2114</v>
      </c>
      <c r="B65" s="62"/>
      <c r="C65" s="62"/>
    </row>
    <row r="66" spans="1:13" x14ac:dyDescent="0.2">
      <c r="A66" s="60" t="str">
        <f>LEFT(A65,4)+5&amp;"–"&amp;RIGHT(A65,4)+5</f>
        <v>2114–2119</v>
      </c>
      <c r="B66" s="62"/>
      <c r="C66" s="62"/>
    </row>
    <row r="67" spans="1:13" x14ac:dyDescent="0.2">
      <c r="A67" s="60" t="str">
        <f>LEFT(A66,4)+5&amp;"–"&amp;RIGHT(A66,4)+5</f>
        <v>2119–2124</v>
      </c>
      <c r="B67" s="62"/>
      <c r="C67" s="62"/>
    </row>
    <row r="69" spans="1:13" ht="20.25" x14ac:dyDescent="0.3">
      <c r="A69" s="56" t="s">
        <v>91</v>
      </c>
    </row>
    <row r="70" spans="1:13" ht="15.75" x14ac:dyDescent="0.25">
      <c r="A70" s="57" t="s">
        <v>79</v>
      </c>
      <c r="B70" s="197" t="str">
        <f>B8</f>
        <v>2023–2024</v>
      </c>
      <c r="C70" s="197"/>
    </row>
    <row r="71" spans="1:13" ht="15.75" x14ac:dyDescent="0.25">
      <c r="A71" s="57" t="s">
        <v>81</v>
      </c>
      <c r="B71" s="198">
        <f>B9</f>
        <v>1111</v>
      </c>
      <c r="C71" s="198"/>
    </row>
    <row r="72" spans="1:13" ht="15.75" x14ac:dyDescent="0.25">
      <c r="A72" s="57" t="s">
        <v>82</v>
      </c>
      <c r="B72" s="197" t="str">
        <f>B10</f>
        <v>Department of Consumer Affairs</v>
      </c>
      <c r="C72" s="197"/>
    </row>
    <row r="73" spans="1:13" ht="32.25" customHeight="1" x14ac:dyDescent="0.25">
      <c r="A73" s="199" t="s">
        <v>84</v>
      </c>
      <c r="B73" s="200"/>
      <c r="C73" s="200"/>
      <c r="D73" s="53"/>
      <c r="E73" s="53"/>
      <c r="F73" s="53"/>
      <c r="G73" s="59"/>
      <c r="H73" s="59"/>
      <c r="I73" s="59"/>
      <c r="J73" s="59"/>
      <c r="K73" s="59"/>
      <c r="L73" s="59"/>
      <c r="M73" s="59"/>
    </row>
    <row r="74" spans="1:13" ht="15.75" x14ac:dyDescent="0.25">
      <c r="A74" s="60"/>
      <c r="B74" s="61" t="s">
        <v>85</v>
      </c>
      <c r="C74" s="61" t="s">
        <v>86</v>
      </c>
      <c r="D74" s="201" t="str">
        <f>"All of the below questions are for Fiscal Year "&amp;$B$8&amp;":"</f>
        <v>All of the below questions are for Fiscal Year 2023–2024:</v>
      </c>
      <c r="E74" s="201"/>
      <c r="F74" s="201"/>
    </row>
    <row r="75" spans="1:13" ht="15" customHeight="1" x14ac:dyDescent="0.2">
      <c r="A75" s="60" t="str">
        <f>RIGHT(B70,4)&amp;"–"&amp;RIGHT(B70,4)+1</f>
        <v>2024–2025</v>
      </c>
      <c r="B75" s="62"/>
      <c r="C75" s="62"/>
      <c r="D75" s="195" t="s">
        <v>87</v>
      </c>
      <c r="E75" s="196"/>
      <c r="F75" s="196"/>
    </row>
    <row r="76" spans="1:13" x14ac:dyDescent="0.2">
      <c r="A76" s="60" t="str">
        <f>LEFT(A75,4)+1&amp;"–"&amp;RIGHT(A75,4)+1</f>
        <v>2025–2026</v>
      </c>
      <c r="B76" s="62"/>
      <c r="C76" s="62"/>
      <c r="D76" s="195"/>
      <c r="E76" s="196"/>
      <c r="F76" s="196"/>
    </row>
    <row r="77" spans="1:13" x14ac:dyDescent="0.2">
      <c r="A77" s="60" t="str">
        <f>LEFT(A76,4)+1&amp;"–"&amp;RIGHT(A76,4)+1</f>
        <v>2026–2027</v>
      </c>
      <c r="B77" s="62"/>
      <c r="C77" s="62"/>
      <c r="D77" s="192"/>
      <c r="E77" s="192"/>
      <c r="F77" s="192"/>
    </row>
    <row r="78" spans="1:13" ht="15" customHeight="1" x14ac:dyDescent="0.2">
      <c r="A78" s="60" t="str">
        <f>LEFT(A77,4)+1&amp;"–"&amp;RIGHT(A77,4)+1</f>
        <v>2027–2028</v>
      </c>
      <c r="B78" s="62"/>
      <c r="C78" s="62"/>
      <c r="D78" s="194" t="str">
        <f>"If yes, record the dollar amount of variable payments below for fiscal year "&amp;$B$8&amp;":"</f>
        <v>If yes, record the dollar amount of variable payments below for fiscal year 2023–2024:</v>
      </c>
      <c r="E78" s="194"/>
      <c r="F78" s="194"/>
    </row>
    <row r="79" spans="1:13" x14ac:dyDescent="0.2">
      <c r="A79" s="60" t="str">
        <f>LEFT(A78,4)+1&amp;"–"&amp;RIGHT(A78,4)+1</f>
        <v>2028–2029</v>
      </c>
      <c r="B79" s="62"/>
      <c r="C79" s="62"/>
      <c r="D79" s="192"/>
      <c r="E79" s="192"/>
      <c r="F79" s="192"/>
    </row>
    <row r="80" spans="1:13" ht="15" customHeight="1" x14ac:dyDescent="0.2">
      <c r="A80" s="60" t="str">
        <f>LEFT(A79,4)+1&amp;"–"&amp;RIGHT(A79,4)+5</f>
        <v>2029–2034</v>
      </c>
      <c r="B80" s="62"/>
      <c r="C80" s="62"/>
      <c r="D80" s="195" t="s">
        <v>89</v>
      </c>
      <c r="E80" s="196"/>
      <c r="F80" s="196"/>
    </row>
    <row r="81" spans="1:6" x14ac:dyDescent="0.2">
      <c r="A81" s="60" t="str">
        <f t="shared" ref="A81:A94" si="2">LEFT(A80,4)+5&amp;"–"&amp;RIGHT(A80,4)+5</f>
        <v>2034–2039</v>
      </c>
      <c r="B81" s="62"/>
      <c r="C81" s="62"/>
      <c r="D81" s="195"/>
      <c r="E81" s="196"/>
      <c r="F81" s="196"/>
    </row>
    <row r="82" spans="1:6" x14ac:dyDescent="0.2">
      <c r="A82" s="60" t="str">
        <f t="shared" si="2"/>
        <v>2039–2044</v>
      </c>
      <c r="B82" s="62"/>
      <c r="C82" s="62"/>
      <c r="D82" s="192"/>
      <c r="E82" s="192"/>
      <c r="F82" s="192"/>
    </row>
    <row r="83" spans="1:6" ht="15" customHeight="1" x14ac:dyDescent="0.2">
      <c r="A83" s="60" t="str">
        <f t="shared" si="2"/>
        <v>2044–2049</v>
      </c>
      <c r="B83" s="62"/>
      <c r="C83" s="62"/>
      <c r="D83" s="193" t="str">
        <f>"If yes, record the dollar amount of any payments made for residual value guarantees below for fiscal year "&amp;$B$8&amp;":"</f>
        <v>If yes, record the dollar amount of any payments made for residual value guarantees below for fiscal year 2023–2024:</v>
      </c>
      <c r="E83" s="194"/>
      <c r="F83" s="194"/>
    </row>
    <row r="84" spans="1:6" x14ac:dyDescent="0.2">
      <c r="A84" s="60" t="str">
        <f t="shared" si="2"/>
        <v>2049–2054</v>
      </c>
      <c r="B84" s="62"/>
      <c r="C84" s="62"/>
      <c r="D84" s="193"/>
      <c r="E84" s="194"/>
      <c r="F84" s="194"/>
    </row>
    <row r="85" spans="1:6" x14ac:dyDescent="0.2">
      <c r="A85" s="60" t="str">
        <f t="shared" si="2"/>
        <v>2054–2059</v>
      </c>
      <c r="B85" s="62"/>
      <c r="C85" s="62"/>
      <c r="D85" s="192"/>
      <c r="E85" s="192"/>
      <c r="F85" s="192"/>
    </row>
    <row r="86" spans="1:6" ht="15" customHeight="1" x14ac:dyDescent="0.2">
      <c r="A86" s="60" t="str">
        <f t="shared" si="2"/>
        <v>2059–2064</v>
      </c>
      <c r="B86" s="62"/>
      <c r="C86" s="62"/>
      <c r="D86" s="19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4"/>
      <c r="F86" s="194"/>
    </row>
    <row r="87" spans="1:6" x14ac:dyDescent="0.2">
      <c r="A87" s="60" t="str">
        <f t="shared" si="2"/>
        <v>2064–2069</v>
      </c>
      <c r="B87" s="62"/>
      <c r="C87" s="62"/>
      <c r="D87" s="193"/>
      <c r="E87" s="194"/>
      <c r="F87" s="194"/>
    </row>
    <row r="88" spans="1:6" x14ac:dyDescent="0.2">
      <c r="A88" s="60" t="str">
        <f t="shared" si="2"/>
        <v>2069–2074</v>
      </c>
      <c r="B88" s="62"/>
      <c r="C88" s="62"/>
      <c r="D88" s="192"/>
      <c r="E88" s="192"/>
      <c r="F88" s="192"/>
    </row>
    <row r="89" spans="1:6" x14ac:dyDescent="0.2">
      <c r="A89" s="60" t="str">
        <f t="shared" si="2"/>
        <v>2074–2079</v>
      </c>
      <c r="B89" s="62"/>
      <c r="C89" s="62"/>
      <c r="D89" s="19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196"/>
      <c r="F89" s="196"/>
    </row>
    <row r="90" spans="1:6" x14ac:dyDescent="0.2">
      <c r="A90" s="60" t="str">
        <f t="shared" si="2"/>
        <v>2079–2084</v>
      </c>
      <c r="B90" s="62"/>
      <c r="C90" s="62"/>
      <c r="D90" s="195"/>
      <c r="E90" s="196"/>
      <c r="F90" s="196"/>
    </row>
    <row r="91" spans="1:6" ht="15" customHeight="1" x14ac:dyDescent="0.2">
      <c r="A91" s="60" t="str">
        <f t="shared" si="2"/>
        <v>2084–2089</v>
      </c>
      <c r="B91" s="62"/>
      <c r="C91" s="62"/>
      <c r="D91" s="192"/>
      <c r="E91" s="192"/>
      <c r="F91" s="192"/>
    </row>
    <row r="92" spans="1:6" x14ac:dyDescent="0.2">
      <c r="A92" s="60" t="str">
        <f t="shared" si="2"/>
        <v>2089–2094</v>
      </c>
      <c r="B92" s="62"/>
      <c r="C92" s="62"/>
      <c r="D92" s="54" t="str">
        <f>CONCATENATE("5. Are there any lease commitments known that have yet to commence as of June 30, ",RIGHT(B70,4),"?")</f>
        <v>5. Are there any lease commitments known that have yet to commence as of June 30, 2024?</v>
      </c>
      <c r="E92" s="64"/>
      <c r="F92" s="64"/>
    </row>
    <row r="93" spans="1:6" x14ac:dyDescent="0.2">
      <c r="A93" s="60" t="str">
        <f t="shared" si="2"/>
        <v>2094–2099</v>
      </c>
      <c r="B93" s="62"/>
      <c r="C93" s="62"/>
      <c r="D93" s="192"/>
      <c r="E93" s="192"/>
      <c r="F93" s="192"/>
    </row>
    <row r="94" spans="1:6" x14ac:dyDescent="0.2">
      <c r="A94" s="60" t="str">
        <f t="shared" si="2"/>
        <v>2099–2104</v>
      </c>
      <c r="B94" s="62"/>
      <c r="C94" s="62"/>
      <c r="D94" s="67" t="str">
        <f>"If yes, record the dollar amount of any lease commitments not commenced below for fiscal year "&amp;A75&amp;"."</f>
        <v>If yes, record the dollar amount of any lease commitments not commenced below for fiscal year 2024–2025.</v>
      </c>
      <c r="E94" s="68"/>
      <c r="F94" s="68"/>
    </row>
    <row r="95" spans="1:6" x14ac:dyDescent="0.2">
      <c r="A95" s="60" t="str">
        <f>LEFT(A94,4)+5&amp;"–"&amp;RIGHT(A94,4)+5</f>
        <v>2104–2109</v>
      </c>
      <c r="B95" s="62"/>
      <c r="C95" s="62"/>
      <c r="D95" s="192"/>
      <c r="E95" s="192"/>
      <c r="F95" s="192"/>
    </row>
    <row r="96" spans="1:6" x14ac:dyDescent="0.2">
      <c r="A96" s="60" t="str">
        <f>LEFT(A95,4)+5&amp;"–"&amp;RIGHT(A95,4)+5</f>
        <v>2109–2114</v>
      </c>
      <c r="B96" s="62"/>
      <c r="C96" s="62"/>
    </row>
    <row r="97" spans="1:3" x14ac:dyDescent="0.2">
      <c r="A97" s="60" t="str">
        <f>LEFT(A96,4)+5&amp;"–"&amp;RIGHT(A96,4)+5</f>
        <v>2114–2119</v>
      </c>
      <c r="B97" s="62"/>
      <c r="C97" s="62"/>
    </row>
    <row r="98" spans="1:3" x14ac:dyDescent="0.2">
      <c r="A98" s="60" t="str">
        <f>LEFT(A97,4)+5&amp;"–"&amp;RIGHT(A97,4)+5</f>
        <v>2119–2124</v>
      </c>
      <c r="B98" s="62"/>
      <c r="C98" s="62"/>
    </row>
  </sheetData>
  <sheetProtection algorithmName="SHA-512" hashValue="dO2w6YTkGqXGTtGnupPH9VHRwyanIteTiaYPKTXNX8iPKhNV4qGOCwbaBmLXtWZwmxWTQnNyY/LGTWQFOMC4qg==" saltValue="fcJnm1kJgAcSX7/jIdKLfg==" spinCount="100000" sheet="1" objects="1" scenarios="1"/>
  <mergeCells count="62">
    <mergeCell ref="B8:C8"/>
    <mergeCell ref="A1:F1"/>
    <mergeCell ref="A2:F2"/>
    <mergeCell ref="A3:C3"/>
    <mergeCell ref="A4:C4"/>
    <mergeCell ref="A5:C5"/>
    <mergeCell ref="D23:F23"/>
    <mergeCell ref="B9:C9"/>
    <mergeCell ref="B10:C10"/>
    <mergeCell ref="A11:C11"/>
    <mergeCell ref="D12:F12"/>
    <mergeCell ref="D13:F14"/>
    <mergeCell ref="D15:F15"/>
    <mergeCell ref="D16:F16"/>
    <mergeCell ref="D17:F17"/>
    <mergeCell ref="D18:F19"/>
    <mergeCell ref="D20:F20"/>
    <mergeCell ref="D21:F22"/>
    <mergeCell ref="D44:F45"/>
    <mergeCell ref="D24:F25"/>
    <mergeCell ref="D26:F26"/>
    <mergeCell ref="D27:F28"/>
    <mergeCell ref="D29:F29"/>
    <mergeCell ref="D31:F31"/>
    <mergeCell ref="D33:F33"/>
    <mergeCell ref="B39:C39"/>
    <mergeCell ref="B40:C40"/>
    <mergeCell ref="B41:C41"/>
    <mergeCell ref="A42:C42"/>
    <mergeCell ref="D43:F43"/>
    <mergeCell ref="D62:F62"/>
    <mergeCell ref="D46:F46"/>
    <mergeCell ref="D47:F47"/>
    <mergeCell ref="D48:F48"/>
    <mergeCell ref="D49:F50"/>
    <mergeCell ref="D51:F51"/>
    <mergeCell ref="D52:F53"/>
    <mergeCell ref="D54:F54"/>
    <mergeCell ref="D55:F56"/>
    <mergeCell ref="D57:F57"/>
    <mergeCell ref="D58:F59"/>
    <mergeCell ref="D60:F60"/>
    <mergeCell ref="D82:F82"/>
    <mergeCell ref="D64:F64"/>
    <mergeCell ref="B70:C70"/>
    <mergeCell ref="B71:C71"/>
    <mergeCell ref="B72:C72"/>
    <mergeCell ref="A73:C73"/>
    <mergeCell ref="D74:F74"/>
    <mergeCell ref="D75:F76"/>
    <mergeCell ref="D77:F77"/>
    <mergeCell ref="D78:F78"/>
    <mergeCell ref="D79:F79"/>
    <mergeCell ref="D80:F81"/>
    <mergeCell ref="D93:F93"/>
    <mergeCell ref="D95:F95"/>
    <mergeCell ref="D83:F84"/>
    <mergeCell ref="D85:F85"/>
    <mergeCell ref="D86:F87"/>
    <mergeCell ref="D88:F88"/>
    <mergeCell ref="D89:F90"/>
    <mergeCell ref="D91:F91"/>
  </mergeCells>
  <dataValidations count="1">
    <dataValidation type="whole" operator="greaterThanOrEqual" allowBlank="1" showErrorMessage="1" errorTitle="Whole Number Only" error="Enter amounts as whole numbers only." sqref="B13:C36 B44:C67 B75:C98" xr:uid="{003CA1D1-E4CA-4B25-AEED-75511A6F414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23D8-E1D4-4389-A736-716C1ACD14AE}">
  <sheetPr>
    <tabColor theme="9" tint="0.59999389629810485"/>
    <pageSetUpPr fitToPage="1"/>
  </sheetPr>
  <dimension ref="A1:S577"/>
  <sheetViews>
    <sheetView showGridLines="0" topLeftCell="A23" zoomScale="112" zoomScaleNormal="112" workbookViewId="0">
      <selection activeCell="H33" sqref="H33"/>
    </sheetView>
  </sheetViews>
  <sheetFormatPr defaultColWidth="0" defaultRowHeight="15" zeroHeight="1" x14ac:dyDescent="0.25"/>
  <cols>
    <col min="1" max="1" width="2.85546875" style="11" customWidth="1"/>
    <col min="2" max="2" width="13.85546875" style="11" customWidth="1"/>
    <col min="3" max="3" width="2.85546875" style="40" customWidth="1"/>
    <col min="4" max="4" width="13.85546875" style="11" customWidth="1"/>
    <col min="5" max="5" width="2.85546875" style="40" customWidth="1"/>
    <col min="6" max="6" width="13.85546875" style="11" customWidth="1"/>
    <col min="7" max="7" width="2.85546875" style="11" customWidth="1"/>
    <col min="8" max="8" width="13.85546875" style="11" customWidth="1"/>
    <col min="9" max="9" width="2.85546875" style="11" customWidth="1"/>
    <col min="10" max="10" width="13.85546875" style="11" customWidth="1"/>
    <col min="11" max="11" width="2.85546875" style="40" customWidth="1"/>
    <col min="12" max="12" width="19.140625" style="11" customWidth="1"/>
    <col min="13" max="13" width="2.85546875" style="40" customWidth="1"/>
    <col min="14" max="14" width="25.85546875" style="11" customWidth="1"/>
    <col min="15" max="15" width="2.85546875" style="11" customWidth="1"/>
    <col min="16" max="16" width="13.85546875" style="11" customWidth="1"/>
    <col min="17" max="17" width="2.85546875" style="11" customWidth="1"/>
    <col min="18" max="19" width="0" style="11" hidden="1" customWidth="1"/>
    <col min="20" max="16384" width="9.140625" style="11" hidden="1"/>
  </cols>
  <sheetData>
    <row r="1" spans="1:17" s="6" customFormat="1" ht="15.75" x14ac:dyDescent="0.25">
      <c r="A1" s="1" t="s">
        <v>0</v>
      </c>
      <c r="B1" s="2"/>
      <c r="C1" s="3"/>
      <c r="D1" s="2"/>
      <c r="E1" s="3"/>
      <c r="F1" s="4"/>
      <c r="G1" s="4"/>
      <c r="H1" s="4"/>
      <c r="I1" s="4"/>
      <c r="J1" s="4"/>
      <c r="K1" s="5"/>
      <c r="L1" s="4"/>
      <c r="M1" s="5"/>
      <c r="N1" s="2"/>
      <c r="O1" s="2"/>
      <c r="P1" s="2"/>
      <c r="Q1" s="2"/>
    </row>
    <row r="2" spans="1:17" s="6" customFormat="1" ht="15.75" x14ac:dyDescent="0.25">
      <c r="A2" s="1" t="s">
        <v>1</v>
      </c>
      <c r="B2" s="2"/>
      <c r="C2" s="3"/>
      <c r="D2" s="2"/>
      <c r="E2" s="3"/>
      <c r="F2" s="2"/>
      <c r="G2" s="2"/>
      <c r="H2" s="2"/>
      <c r="I2" s="2"/>
      <c r="J2" s="2"/>
      <c r="K2" s="3"/>
      <c r="L2" s="2"/>
      <c r="M2" s="3"/>
      <c r="N2" s="2"/>
      <c r="O2" s="2"/>
      <c r="P2" s="2"/>
      <c r="Q2" s="2"/>
    </row>
    <row r="3" spans="1:17" s="6" customFormat="1" ht="15.75" x14ac:dyDescent="0.25">
      <c r="C3" s="7"/>
      <c r="E3" s="7"/>
      <c r="K3" s="7"/>
      <c r="M3" s="7"/>
    </row>
    <row r="4" spans="1:17" x14ac:dyDescent="0.25">
      <c r="A4" s="8" t="s">
        <v>2</v>
      </c>
      <c r="B4" s="9"/>
      <c r="C4" s="10"/>
      <c r="D4" s="9"/>
      <c r="E4" s="10"/>
      <c r="F4" s="9"/>
      <c r="G4" s="9"/>
      <c r="H4" s="9"/>
      <c r="I4" s="9"/>
      <c r="J4" s="9"/>
      <c r="K4" s="10"/>
      <c r="L4" s="9"/>
      <c r="M4" s="10"/>
      <c r="N4" s="9"/>
      <c r="O4" s="9"/>
      <c r="P4" s="9"/>
      <c r="Q4" s="9"/>
    </row>
    <row r="5" spans="1:17" ht="15" customHeight="1" x14ac:dyDescent="0.25">
      <c r="A5" s="210" t="s">
        <v>3</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4</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8" t="s">
        <v>5</v>
      </c>
      <c r="B10" s="9"/>
      <c r="C10" s="10"/>
      <c r="D10" s="9"/>
      <c r="E10" s="10"/>
      <c r="F10" s="9"/>
      <c r="G10" s="9"/>
      <c r="H10" s="9"/>
      <c r="I10" s="9"/>
      <c r="J10" s="9"/>
      <c r="K10" s="10"/>
      <c r="L10" s="9"/>
      <c r="M10" s="10"/>
      <c r="N10" s="9"/>
      <c r="O10" s="9"/>
      <c r="P10" s="9"/>
      <c r="Q10" s="9"/>
    </row>
    <row r="11" spans="1:17" x14ac:dyDescent="0.25">
      <c r="A11" s="12"/>
      <c r="B11" s="13" t="s">
        <v>6</v>
      </c>
      <c r="C11" s="13"/>
      <c r="D11" s="12"/>
      <c r="E11" s="14"/>
      <c r="F11" s="12"/>
      <c r="G11" s="12"/>
      <c r="H11" s="12"/>
      <c r="I11" s="12"/>
      <c r="J11" s="12"/>
      <c r="K11" s="14"/>
      <c r="L11" s="12"/>
      <c r="M11" s="14"/>
      <c r="N11" s="12"/>
      <c r="O11" s="12"/>
      <c r="P11" s="12"/>
      <c r="Q11" s="12"/>
    </row>
    <row r="12" spans="1:17" ht="6.75" customHeight="1" x14ac:dyDescent="0.25">
      <c r="A12" s="12"/>
      <c r="B12" s="12"/>
      <c r="C12" s="14"/>
      <c r="D12" s="12"/>
      <c r="E12" s="14"/>
      <c r="F12" s="12"/>
      <c r="G12" s="12"/>
      <c r="H12" s="12"/>
      <c r="I12" s="12"/>
      <c r="J12" s="12"/>
      <c r="K12" s="14"/>
      <c r="L12" s="12"/>
      <c r="M12" s="14"/>
      <c r="N12" s="12"/>
      <c r="O12" s="12"/>
      <c r="P12" s="12"/>
      <c r="Q12" s="12"/>
    </row>
    <row r="13" spans="1:17" ht="15" customHeight="1" x14ac:dyDescent="0.25">
      <c r="A13" s="12"/>
      <c r="B13" s="209" t="s">
        <v>7</v>
      </c>
      <c r="C13" s="209"/>
      <c r="D13" s="209"/>
      <c r="E13" s="209"/>
      <c r="F13" s="209"/>
      <c r="G13" s="209"/>
      <c r="H13" s="209"/>
      <c r="I13" s="209"/>
      <c r="J13" s="209"/>
      <c r="K13" s="209"/>
      <c r="L13" s="209"/>
      <c r="M13" s="14"/>
      <c r="N13" s="15" t="s">
        <v>8</v>
      </c>
      <c r="O13" s="16"/>
      <c r="P13" s="16"/>
      <c r="Q13" s="12"/>
    </row>
    <row r="14" spans="1:17" ht="15" customHeight="1" x14ac:dyDescent="0.25">
      <c r="A14" s="12"/>
      <c r="B14" s="17" t="s">
        <v>9</v>
      </c>
      <c r="C14" s="17"/>
      <c r="D14" s="17" t="s">
        <v>10</v>
      </c>
      <c r="E14" s="17"/>
      <c r="F14" s="17" t="s">
        <v>11</v>
      </c>
      <c r="G14" s="17"/>
      <c r="H14" s="17" t="s">
        <v>12</v>
      </c>
      <c r="I14" s="17"/>
      <c r="J14" s="17" t="s">
        <v>13</v>
      </c>
      <c r="K14" s="17"/>
      <c r="L14" s="17"/>
      <c r="M14" s="14"/>
      <c r="N14" s="18"/>
      <c r="O14" s="16"/>
      <c r="P14" s="16"/>
      <c r="Q14" s="12"/>
    </row>
    <row r="15" spans="1:17" ht="15" customHeight="1" x14ac:dyDescent="0.25">
      <c r="A15" s="12"/>
      <c r="B15" s="19" t="s">
        <v>14</v>
      </c>
      <c r="C15" s="20" t="s">
        <v>15</v>
      </c>
      <c r="D15" s="19" t="s">
        <v>16</v>
      </c>
      <c r="E15" s="19" t="s">
        <v>17</v>
      </c>
      <c r="F15" s="19" t="s">
        <v>18</v>
      </c>
      <c r="G15" s="19" t="s">
        <v>17</v>
      </c>
      <c r="H15" s="19" t="s">
        <v>19</v>
      </c>
      <c r="I15" s="19" t="s">
        <v>15</v>
      </c>
      <c r="J15" s="19" t="s">
        <v>20</v>
      </c>
      <c r="K15" s="20"/>
      <c r="L15" s="19"/>
      <c r="M15" s="20"/>
      <c r="N15" s="21" t="s">
        <v>21</v>
      </c>
      <c r="O15" s="16"/>
      <c r="P15" s="18" t="s">
        <v>22</v>
      </c>
      <c r="Q15" s="12"/>
    </row>
    <row r="16" spans="1:17" ht="15" customHeight="1" x14ac:dyDescent="0.25">
      <c r="A16" s="22"/>
      <c r="B16" s="23">
        <v>28785185</v>
      </c>
      <c r="C16" s="24" t="s">
        <v>15</v>
      </c>
      <c r="D16" s="23">
        <v>17098929</v>
      </c>
      <c r="E16" s="25" t="s">
        <v>17</v>
      </c>
      <c r="F16" s="23">
        <v>15588107</v>
      </c>
      <c r="G16" s="26" t="s">
        <v>17</v>
      </c>
      <c r="H16" s="23">
        <f>IF('[19]LS-Fund xxxx Journal Entries'!$F$8="Governmental Fund",'[19]LS-Fund xxxx Journal Entries'!$J$96,0)</f>
        <v>0</v>
      </c>
      <c r="I16" s="26" t="s">
        <v>15</v>
      </c>
      <c r="J16" s="23">
        <f>IF('[19]LS-Fund xxxx Journal Entries'!$F$8="Governmental Fund",'[19]LS-Fund xxxx Journal Entries'!$K$113,0)</f>
        <v>0</v>
      </c>
      <c r="K16" s="25" t="s">
        <v>23</v>
      </c>
      <c r="L16" s="27">
        <f>+B16+D16-F16-H16+J16</f>
        <v>30296007</v>
      </c>
      <c r="M16" s="28"/>
      <c r="N16" s="29">
        <f>SUM('LS-Department Note Disclosure'!B13:B18)</f>
        <v>30296007</v>
      </c>
      <c r="O16" s="30"/>
      <c r="P16" s="31">
        <f>L16-N16</f>
        <v>0</v>
      </c>
      <c r="Q16" s="12"/>
    </row>
    <row r="17" spans="1:17" ht="6" customHeight="1" x14ac:dyDescent="0.25">
      <c r="A17" s="22"/>
      <c r="B17" s="22"/>
      <c r="C17" s="32"/>
      <c r="D17" s="22"/>
      <c r="E17" s="32"/>
      <c r="F17" s="22"/>
      <c r="G17" s="22"/>
      <c r="H17" s="22"/>
      <c r="I17" s="22"/>
      <c r="J17" s="22"/>
      <c r="K17" s="32"/>
      <c r="L17" s="22"/>
      <c r="M17" s="32"/>
      <c r="N17" s="22"/>
      <c r="O17" s="22"/>
      <c r="P17" s="22"/>
      <c r="Q17" s="12"/>
    </row>
    <row r="18" spans="1:17" ht="15" customHeight="1" x14ac:dyDescent="0.25">
      <c r="A18" s="22"/>
      <c r="B18" s="22"/>
      <c r="C18" s="32"/>
      <c r="D18" s="33" t="str">
        <f>IF(OR(P16&gt;0, (P16&lt;0)), "Please review and correct the variance.","")</f>
        <v/>
      </c>
      <c r="E18" s="32"/>
      <c r="F18" s="22"/>
      <c r="G18" s="22"/>
      <c r="H18" s="22"/>
      <c r="I18" s="22"/>
      <c r="J18" s="22"/>
      <c r="K18" s="32"/>
      <c r="L18" s="22"/>
      <c r="M18" s="32"/>
      <c r="N18" s="22"/>
      <c r="O18" s="22"/>
      <c r="P18" s="22"/>
      <c r="Q18" s="12"/>
    </row>
    <row r="19" spans="1:17" x14ac:dyDescent="0.25">
      <c r="A19" s="12"/>
      <c r="B19" s="13" t="s">
        <v>24</v>
      </c>
      <c r="C19" s="13"/>
      <c r="D19" s="12"/>
      <c r="E19" s="14"/>
      <c r="F19" s="12"/>
      <c r="G19" s="12"/>
      <c r="H19" s="12"/>
      <c r="I19" s="12"/>
      <c r="J19" s="12"/>
      <c r="K19" s="14"/>
      <c r="L19" s="12"/>
      <c r="M19" s="14"/>
      <c r="N19" s="12"/>
      <c r="O19" s="12"/>
      <c r="P19" s="12"/>
      <c r="Q19" s="12"/>
    </row>
    <row r="20" spans="1:17" ht="6" customHeight="1" x14ac:dyDescent="0.25">
      <c r="A20" s="12"/>
      <c r="B20" s="12"/>
      <c r="C20" s="14"/>
      <c r="D20" s="12"/>
      <c r="E20" s="14"/>
      <c r="F20" s="12"/>
      <c r="G20" s="12"/>
      <c r="H20" s="12"/>
      <c r="I20" s="12"/>
      <c r="J20" s="12"/>
      <c r="K20" s="14"/>
      <c r="L20" s="12"/>
      <c r="M20" s="14"/>
      <c r="N20" s="12"/>
      <c r="O20" s="12"/>
      <c r="P20" s="12"/>
      <c r="Q20" s="12"/>
    </row>
    <row r="21" spans="1:17" ht="15" customHeight="1" x14ac:dyDescent="0.25">
      <c r="A21" s="12"/>
      <c r="B21" s="209" t="s">
        <v>7</v>
      </c>
      <c r="C21" s="209"/>
      <c r="D21" s="209"/>
      <c r="E21" s="209"/>
      <c r="F21" s="209"/>
      <c r="G21" s="209"/>
      <c r="H21" s="209"/>
      <c r="I21" s="209"/>
      <c r="J21" s="209"/>
      <c r="K21" s="209"/>
      <c r="L21" s="209"/>
      <c r="M21" s="14"/>
      <c r="N21" s="15" t="s">
        <v>8</v>
      </c>
      <c r="O21" s="16"/>
      <c r="P21" s="16"/>
      <c r="Q21" s="12"/>
    </row>
    <row r="22" spans="1:17" ht="15" customHeight="1" x14ac:dyDescent="0.25">
      <c r="A22" s="12"/>
      <c r="B22" s="17" t="s">
        <v>9</v>
      </c>
      <c r="C22" s="17"/>
      <c r="D22" s="17" t="s">
        <v>10</v>
      </c>
      <c r="E22" s="17"/>
      <c r="F22" s="17" t="s">
        <v>11</v>
      </c>
      <c r="G22" s="17"/>
      <c r="H22" s="17" t="s">
        <v>12</v>
      </c>
      <c r="I22" s="17"/>
      <c r="J22" s="17" t="s">
        <v>13</v>
      </c>
      <c r="K22" s="17"/>
      <c r="L22" s="17"/>
      <c r="M22" s="14"/>
      <c r="N22" s="18"/>
      <c r="O22" s="16"/>
      <c r="P22" s="16"/>
      <c r="Q22" s="12"/>
    </row>
    <row r="23" spans="1:17" ht="15" customHeight="1" x14ac:dyDescent="0.25">
      <c r="A23" s="12"/>
      <c r="B23" s="19" t="s">
        <v>14</v>
      </c>
      <c r="C23" s="20" t="s">
        <v>15</v>
      </c>
      <c r="D23" s="19" t="s">
        <v>16</v>
      </c>
      <c r="E23" s="19" t="s">
        <v>17</v>
      </c>
      <c r="F23" s="19" t="s">
        <v>18</v>
      </c>
      <c r="G23" s="19" t="s">
        <v>17</v>
      </c>
      <c r="H23" s="19" t="s">
        <v>19</v>
      </c>
      <c r="I23" s="19" t="s">
        <v>15</v>
      </c>
      <c r="J23" s="19" t="s">
        <v>20</v>
      </c>
      <c r="K23" s="20"/>
      <c r="L23" s="19"/>
      <c r="M23" s="20"/>
      <c r="N23" s="21" t="s">
        <v>21</v>
      </c>
      <c r="O23" s="16"/>
      <c r="P23" s="18" t="s">
        <v>22</v>
      </c>
      <c r="Q23" s="12"/>
    </row>
    <row r="24" spans="1:17" ht="15" customHeight="1" x14ac:dyDescent="0.25">
      <c r="A24" s="22"/>
      <c r="B24" s="23">
        <f>IF('[19]LS-Fund xxxx Journal Entries'!$F$8="Proprietary - Internal Service Fund",'[19]LS-Fund xxxx Journal Entries'!$K$23,0)</f>
        <v>0</v>
      </c>
      <c r="C24" s="24" t="s">
        <v>15</v>
      </c>
      <c r="D24" s="23">
        <f>IF('[19]LS-Fund xxxx Journal Entries'!$F$8="Proprietary - Internal Service Fund",'[19]LS-Fund xxxx Journal Entries'!$K$48,0)</f>
        <v>0</v>
      </c>
      <c r="E24" s="25" t="s">
        <v>17</v>
      </c>
      <c r="F24" s="23">
        <f>IF('[19]LS-Fund xxxx Journal Entries'!$F$8="Proprietary - Internal Service Fund",'[19]LS-Fund xxxx Journal Entries'!$J$68,0)</f>
        <v>0</v>
      </c>
      <c r="G24" s="26" t="s">
        <v>17</v>
      </c>
      <c r="H24" s="23">
        <f>IF('[19]LS-Fund xxxx Journal Entries'!$F$8="Proprietary - Internal Service Fund",'[19]LS-Fund xxxx Journal Entries'!$J$96,0)</f>
        <v>0</v>
      </c>
      <c r="I24" s="26" t="s">
        <v>15</v>
      </c>
      <c r="J24" s="23">
        <f>IF('[19]LS-Fund xxxx Journal Entries'!$F$8="Proprietary - Internal Service Fund",'[19]LS-Fund xxxx Journal Entries'!$K$113,0)</f>
        <v>0</v>
      </c>
      <c r="K24" s="25" t="s">
        <v>23</v>
      </c>
      <c r="L24" s="27">
        <f>+B24+D24-F24-H24+J24</f>
        <v>0</v>
      </c>
      <c r="M24" s="28"/>
      <c r="N24" s="29">
        <f>SUM('[19]LS-Department Note Disclosure'!B44:B67)</f>
        <v>0</v>
      </c>
      <c r="O24" s="30"/>
      <c r="P24" s="31">
        <f>L24-N24</f>
        <v>0</v>
      </c>
      <c r="Q24" s="12"/>
    </row>
    <row r="25" spans="1:17" ht="6" customHeight="1" x14ac:dyDescent="0.25">
      <c r="A25" s="22"/>
      <c r="B25" s="22"/>
      <c r="C25" s="32"/>
      <c r="D25" s="22"/>
      <c r="E25" s="32"/>
      <c r="F25" s="22"/>
      <c r="G25" s="22"/>
      <c r="H25" s="22"/>
      <c r="I25" s="22"/>
      <c r="J25" s="22"/>
      <c r="K25" s="32"/>
      <c r="L25" s="22"/>
      <c r="M25" s="32"/>
      <c r="N25" s="22"/>
      <c r="O25" s="22"/>
      <c r="P25" s="22"/>
      <c r="Q25" s="12"/>
    </row>
    <row r="26" spans="1:17" ht="15" customHeight="1" x14ac:dyDescent="0.25">
      <c r="A26" s="22"/>
      <c r="B26" s="22"/>
      <c r="C26" s="32"/>
      <c r="D26" s="33" t="str">
        <f>IF(OR(P24&gt;0, (P24&lt;0)), "Please review and correct the variance.","")</f>
        <v/>
      </c>
      <c r="E26" s="32"/>
      <c r="F26" s="22"/>
      <c r="G26" s="22"/>
      <c r="H26" s="22"/>
      <c r="I26" s="22"/>
      <c r="J26" s="22"/>
      <c r="K26" s="32"/>
      <c r="L26" s="22"/>
      <c r="M26" s="32"/>
      <c r="N26" s="22"/>
      <c r="O26" s="22"/>
      <c r="P26" s="22"/>
      <c r="Q26" s="12"/>
    </row>
    <row r="27" spans="1:17" ht="6" customHeight="1" x14ac:dyDescent="0.25">
      <c r="A27" s="12"/>
      <c r="B27" s="34"/>
      <c r="C27" s="14"/>
      <c r="D27" s="34"/>
      <c r="E27" s="14"/>
      <c r="F27" s="34"/>
      <c r="G27" s="34"/>
      <c r="H27" s="34"/>
      <c r="I27" s="34"/>
      <c r="J27" s="34"/>
      <c r="K27" s="14"/>
      <c r="L27" s="34"/>
      <c r="M27" s="14"/>
      <c r="N27" s="34"/>
      <c r="O27" s="34"/>
      <c r="P27" s="34"/>
      <c r="Q27" s="12"/>
    </row>
    <row r="28" spans="1:17" x14ac:dyDescent="0.25">
      <c r="A28" s="12"/>
      <c r="B28" s="13" t="s">
        <v>25</v>
      </c>
      <c r="C28" s="13"/>
      <c r="D28" s="12"/>
      <c r="E28" s="14"/>
      <c r="F28" s="12"/>
      <c r="G28" s="12"/>
      <c r="H28" s="12"/>
      <c r="I28" s="12"/>
      <c r="J28" s="12"/>
      <c r="K28" s="14"/>
      <c r="L28" s="12"/>
      <c r="M28" s="14"/>
      <c r="N28" s="12"/>
      <c r="O28" s="12"/>
      <c r="P28" s="12"/>
      <c r="Q28" s="12"/>
    </row>
    <row r="29" spans="1:17" ht="6" customHeight="1" x14ac:dyDescent="0.25">
      <c r="A29" s="12"/>
      <c r="B29" s="12"/>
      <c r="C29" s="14"/>
      <c r="D29" s="12"/>
      <c r="E29" s="14"/>
      <c r="F29" s="12"/>
      <c r="G29" s="12"/>
      <c r="H29" s="12"/>
      <c r="I29" s="12"/>
      <c r="J29" s="12"/>
      <c r="K29" s="14"/>
      <c r="L29" s="12"/>
      <c r="M29" s="14"/>
      <c r="N29" s="12"/>
      <c r="O29" s="12"/>
      <c r="P29" s="12"/>
      <c r="Q29" s="12"/>
    </row>
    <row r="30" spans="1:17" ht="15" customHeight="1" x14ac:dyDescent="0.25">
      <c r="A30" s="12"/>
      <c r="B30" s="209" t="s">
        <v>7</v>
      </c>
      <c r="C30" s="209"/>
      <c r="D30" s="209"/>
      <c r="E30" s="209"/>
      <c r="F30" s="209"/>
      <c r="G30" s="209"/>
      <c r="H30" s="209"/>
      <c r="I30" s="209"/>
      <c r="J30" s="209"/>
      <c r="K30" s="209"/>
      <c r="L30" s="209"/>
      <c r="M30" s="14"/>
      <c r="N30" s="15" t="s">
        <v>8</v>
      </c>
      <c r="O30" s="16"/>
      <c r="P30" s="16"/>
      <c r="Q30" s="12"/>
    </row>
    <row r="31" spans="1:17" ht="15" customHeight="1" x14ac:dyDescent="0.25">
      <c r="A31" s="12"/>
      <c r="B31" s="17" t="s">
        <v>9</v>
      </c>
      <c r="C31" s="17"/>
      <c r="D31" s="17" t="s">
        <v>10</v>
      </c>
      <c r="E31" s="17"/>
      <c r="F31" s="17" t="s">
        <v>11</v>
      </c>
      <c r="G31" s="17"/>
      <c r="H31" s="17" t="s">
        <v>12</v>
      </c>
      <c r="I31" s="17"/>
      <c r="J31" s="17" t="s">
        <v>13</v>
      </c>
      <c r="K31" s="17"/>
      <c r="L31" s="17"/>
      <c r="M31" s="14"/>
      <c r="N31" s="18"/>
      <c r="O31" s="16"/>
      <c r="P31" s="16"/>
      <c r="Q31" s="12"/>
    </row>
    <row r="32" spans="1:17" ht="15" customHeight="1" x14ac:dyDescent="0.25">
      <c r="A32" s="12"/>
      <c r="B32" s="19" t="s">
        <v>14</v>
      </c>
      <c r="C32" s="20" t="s">
        <v>15</v>
      </c>
      <c r="D32" s="19" t="s">
        <v>16</v>
      </c>
      <c r="E32" s="19" t="s">
        <v>17</v>
      </c>
      <c r="F32" s="19" t="s">
        <v>18</v>
      </c>
      <c r="G32" s="19" t="s">
        <v>17</v>
      </c>
      <c r="H32" s="19" t="s">
        <v>19</v>
      </c>
      <c r="I32" s="19" t="s">
        <v>15</v>
      </c>
      <c r="J32" s="19" t="s">
        <v>20</v>
      </c>
      <c r="K32" s="20"/>
      <c r="L32" s="19"/>
      <c r="M32" s="20"/>
      <c r="N32" s="21" t="s">
        <v>21</v>
      </c>
      <c r="O32" s="16"/>
      <c r="P32" s="18" t="s">
        <v>22</v>
      </c>
      <c r="Q32" s="12"/>
    </row>
    <row r="33" spans="1:17" ht="15" customHeight="1" x14ac:dyDescent="0.25">
      <c r="A33" s="22"/>
      <c r="B33" s="23">
        <f>IF('[19]LS-Fund xxxx Journal Entries'!$F$8="Proprietary - Enterprise Fund",'[19]LS-Fund xxxx Journal Entries'!$K$23,0)</f>
        <v>0</v>
      </c>
      <c r="C33" s="24" t="s">
        <v>15</v>
      </c>
      <c r="D33" s="23">
        <f>IF('[19]LS-Fund xxxx Journal Entries'!$F$8="Proprietary - Enterprise Fund",'[19]LS-Fund xxxx Journal Entries'!$K$48,0)</f>
        <v>0</v>
      </c>
      <c r="E33" s="25" t="s">
        <v>17</v>
      </c>
      <c r="F33" s="23">
        <f>IF('[19]LS-Fund xxxx Journal Entries'!$F$8="Proprietary - Enterprise Fund",'[19]LS-Fund xxxx Journal Entries'!$J$68,0)</f>
        <v>0</v>
      </c>
      <c r="G33" s="26" t="s">
        <v>17</v>
      </c>
      <c r="H33" s="23">
        <f>IF('[19]LS-Fund xxxx Journal Entries'!$F$8="Proprietary - Enterprise Fund",'[19]LS-Fund xxxx Journal Entries'!$J$96,0)</f>
        <v>0</v>
      </c>
      <c r="I33" s="26" t="s">
        <v>15</v>
      </c>
      <c r="J33" s="23">
        <f>IF('[19]LS-Fund xxxx Journal Entries'!$F$8="Proprietary - Enterprise Fund",'[19]LS-Fund xxxx Journal Entries'!$K$113,0)</f>
        <v>0</v>
      </c>
      <c r="K33" s="25" t="s">
        <v>23</v>
      </c>
      <c r="L33" s="27">
        <f>+B33+D33-F33-H33+J33</f>
        <v>0</v>
      </c>
      <c r="M33" s="28"/>
      <c r="N33" s="29">
        <f>SUM('[19]LS-Department Note Disclosure'!B75:B98)</f>
        <v>0</v>
      </c>
      <c r="O33" s="30"/>
      <c r="P33" s="31">
        <f>L33-N33</f>
        <v>0</v>
      </c>
      <c r="Q33" s="12"/>
    </row>
    <row r="34" spans="1:17" ht="6" customHeight="1" x14ac:dyDescent="0.25">
      <c r="A34" s="22"/>
      <c r="B34" s="22"/>
      <c r="C34" s="32"/>
      <c r="D34" s="22"/>
      <c r="E34" s="32"/>
      <c r="F34" s="22"/>
      <c r="G34" s="22"/>
      <c r="H34" s="22"/>
      <c r="I34" s="22"/>
      <c r="J34" s="22"/>
      <c r="K34" s="32"/>
      <c r="L34" s="22"/>
      <c r="M34" s="32"/>
      <c r="N34" s="22"/>
      <c r="O34" s="22"/>
      <c r="P34" s="22"/>
      <c r="Q34" s="12"/>
    </row>
    <row r="35" spans="1:17" ht="15" customHeight="1" x14ac:dyDescent="0.25">
      <c r="A35" s="22"/>
      <c r="B35" s="22"/>
      <c r="C35" s="32"/>
      <c r="D35" s="33" t="str">
        <f>IF(OR(P33&gt;0, (P33&lt;0)), "Please review and correct the variance.","")</f>
        <v/>
      </c>
      <c r="E35" s="32"/>
      <c r="F35" s="22"/>
      <c r="G35" s="22"/>
      <c r="H35" s="22"/>
      <c r="I35" s="22"/>
      <c r="J35" s="22"/>
      <c r="K35" s="32"/>
      <c r="L35" s="22"/>
      <c r="M35" s="32"/>
      <c r="N35" s="22"/>
      <c r="O35" s="22"/>
      <c r="P35" s="22"/>
      <c r="Q35" s="12"/>
    </row>
    <row r="36" spans="1:17" ht="6" customHeight="1" x14ac:dyDescent="0.25">
      <c r="A36" s="12"/>
      <c r="B36" s="34"/>
      <c r="C36" s="14"/>
      <c r="D36" s="34"/>
      <c r="E36" s="14"/>
      <c r="F36" s="34"/>
      <c r="G36" s="34"/>
      <c r="H36" s="34"/>
      <c r="I36" s="34"/>
      <c r="J36" s="34"/>
      <c r="K36" s="14"/>
      <c r="L36" s="34"/>
      <c r="M36" s="14"/>
      <c r="N36" s="34"/>
      <c r="O36" s="34"/>
      <c r="P36" s="34"/>
      <c r="Q36" s="12"/>
    </row>
    <row r="37" spans="1:17" x14ac:dyDescent="0.25">
      <c r="A37" s="8" t="s">
        <v>26</v>
      </c>
      <c r="B37" s="9"/>
      <c r="C37" s="10"/>
      <c r="D37" s="9"/>
      <c r="E37" s="10"/>
      <c r="F37" s="9"/>
      <c r="G37" s="9"/>
      <c r="H37" s="9"/>
      <c r="I37" s="9"/>
      <c r="J37" s="9"/>
      <c r="K37" s="10"/>
      <c r="L37" s="9"/>
      <c r="M37" s="10"/>
      <c r="N37" s="9"/>
      <c r="O37" s="9"/>
      <c r="P37" s="9"/>
      <c r="Q37" s="9"/>
    </row>
    <row r="38" spans="1:17" ht="15" customHeight="1" x14ac:dyDescent="0.25">
      <c r="A38" s="12"/>
      <c r="B38" s="13" t="s">
        <v>6</v>
      </c>
      <c r="C38" s="13"/>
      <c r="D38" s="12"/>
      <c r="E38" s="14"/>
      <c r="F38" s="12"/>
      <c r="G38" s="12"/>
      <c r="H38" s="12"/>
      <c r="I38" s="12"/>
      <c r="J38" s="12"/>
      <c r="K38" s="14"/>
      <c r="L38" s="12"/>
      <c r="M38" s="14"/>
      <c r="N38" s="12"/>
      <c r="O38" s="12"/>
      <c r="P38" s="12"/>
      <c r="Q38" s="12"/>
    </row>
    <row r="39" spans="1:17" ht="6" customHeight="1" x14ac:dyDescent="0.25">
      <c r="A39" s="12"/>
      <c r="B39" s="12"/>
      <c r="C39" s="14"/>
      <c r="D39" s="12"/>
      <c r="E39" s="14"/>
      <c r="F39" s="12"/>
      <c r="G39" s="12"/>
      <c r="H39" s="12"/>
      <c r="I39" s="12"/>
      <c r="J39" s="12"/>
      <c r="K39" s="14"/>
      <c r="L39" s="12"/>
      <c r="M39" s="14"/>
      <c r="N39" s="12"/>
      <c r="O39" s="12"/>
      <c r="P39" s="12"/>
      <c r="Q39" s="12"/>
    </row>
    <row r="40" spans="1:17" ht="15" customHeight="1" x14ac:dyDescent="0.25">
      <c r="A40" s="12"/>
      <c r="B40" s="209" t="s">
        <v>7</v>
      </c>
      <c r="C40" s="209"/>
      <c r="D40" s="209"/>
      <c r="E40" s="13"/>
      <c r="F40" s="13"/>
      <c r="G40" s="13"/>
      <c r="H40" s="13"/>
      <c r="I40" s="13"/>
      <c r="J40" s="13"/>
      <c r="K40" s="13"/>
      <c r="L40" s="13"/>
      <c r="M40" s="14"/>
      <c r="N40" s="15" t="s">
        <v>8</v>
      </c>
      <c r="O40" s="16"/>
      <c r="P40" s="16"/>
      <c r="Q40" s="12"/>
    </row>
    <row r="41" spans="1:17" ht="15" customHeight="1" x14ac:dyDescent="0.25">
      <c r="A41" s="12"/>
      <c r="B41" s="19" t="s">
        <v>27</v>
      </c>
      <c r="C41" s="35" t="s">
        <v>28</v>
      </c>
      <c r="E41" s="12"/>
      <c r="G41" s="19"/>
      <c r="H41" s="19"/>
      <c r="I41" s="19"/>
      <c r="J41" s="19"/>
      <c r="K41" s="12"/>
      <c r="L41" s="12"/>
      <c r="M41" s="20"/>
      <c r="N41" s="21" t="str">
        <f>CONCATENATE('[19]LS-Department Note Disclosure'!$A$13," Principal Payments")</f>
        <v>2024–2025 Principal Payments</v>
      </c>
      <c r="O41" s="16"/>
      <c r="P41" s="18" t="s">
        <v>22</v>
      </c>
      <c r="Q41" s="12"/>
    </row>
    <row r="42" spans="1:17" ht="15" customHeight="1" x14ac:dyDescent="0.25">
      <c r="A42" s="12"/>
      <c r="B42" s="23">
        <v>12140181</v>
      </c>
      <c r="C42" s="34"/>
      <c r="E42" s="34"/>
      <c r="G42" s="36"/>
      <c r="H42" s="36"/>
      <c r="I42" s="36"/>
      <c r="J42" s="36"/>
      <c r="K42" s="34"/>
      <c r="L42" s="34"/>
      <c r="M42" s="37"/>
      <c r="N42" s="29">
        <f>'LS-Department Note Disclosure'!B13</f>
        <v>12140181</v>
      </c>
      <c r="O42" s="38"/>
      <c r="P42" s="31">
        <f>B42-N42</f>
        <v>0</v>
      </c>
      <c r="Q42" s="12"/>
    </row>
    <row r="43" spans="1:17" ht="6" customHeight="1" x14ac:dyDescent="0.25">
      <c r="A43" s="12"/>
      <c r="B43" s="22"/>
      <c r="C43" s="32"/>
      <c r="D43" s="22"/>
      <c r="E43" s="32"/>
      <c r="F43" s="22"/>
      <c r="G43" s="22"/>
      <c r="H43" s="22"/>
      <c r="I43" s="22"/>
      <c r="J43" s="22"/>
      <c r="K43" s="32"/>
      <c r="L43" s="22"/>
      <c r="M43" s="32"/>
      <c r="N43" s="22"/>
      <c r="O43" s="22"/>
      <c r="P43" s="22"/>
      <c r="Q43" s="12"/>
    </row>
    <row r="44" spans="1:17" ht="17.25" x14ac:dyDescent="0.25">
      <c r="A44" s="12"/>
      <c r="B44" s="22"/>
      <c r="C44" s="32"/>
      <c r="D44" s="33" t="str">
        <f>IF(OR(P42&gt;0, (P42&lt;0)), "Please review and correct the variance.","")</f>
        <v/>
      </c>
      <c r="E44" s="32"/>
      <c r="F44" s="22"/>
      <c r="G44" s="22"/>
      <c r="H44" s="22"/>
      <c r="I44" s="22"/>
      <c r="J44" s="22"/>
      <c r="K44" s="32"/>
      <c r="L44" s="22"/>
      <c r="M44" s="32"/>
      <c r="N44" s="22"/>
      <c r="O44" s="22"/>
      <c r="P44" s="22"/>
      <c r="Q44" s="12"/>
    </row>
    <row r="45" spans="1:17" x14ac:dyDescent="0.25">
      <c r="A45" s="12"/>
      <c r="B45" s="13" t="s">
        <v>24</v>
      </c>
      <c r="C45" s="13"/>
      <c r="D45" s="12"/>
      <c r="E45" s="14"/>
      <c r="F45" s="12"/>
      <c r="G45" s="12"/>
      <c r="H45" s="12"/>
      <c r="I45" s="12"/>
      <c r="J45" s="12"/>
      <c r="K45" s="14"/>
      <c r="L45" s="12"/>
      <c r="M45" s="14"/>
      <c r="N45" s="12"/>
      <c r="O45" s="12"/>
      <c r="P45" s="12"/>
      <c r="Q45" s="12"/>
    </row>
    <row r="46" spans="1:17" ht="6" customHeight="1" x14ac:dyDescent="0.25">
      <c r="A46" s="12"/>
      <c r="B46" s="12"/>
      <c r="C46" s="14"/>
      <c r="D46" s="12"/>
      <c r="E46" s="14"/>
      <c r="F46" s="12"/>
      <c r="G46" s="12"/>
      <c r="H46" s="12"/>
      <c r="I46" s="12"/>
      <c r="J46" s="12"/>
      <c r="K46" s="14"/>
      <c r="L46" s="12"/>
      <c r="M46" s="14"/>
      <c r="N46" s="12"/>
      <c r="O46" s="12"/>
      <c r="P46" s="12"/>
      <c r="Q46" s="12"/>
    </row>
    <row r="47" spans="1:17" ht="15" customHeight="1" x14ac:dyDescent="0.25">
      <c r="A47" s="12"/>
      <c r="B47" s="209" t="s">
        <v>7</v>
      </c>
      <c r="C47" s="209"/>
      <c r="D47" s="209"/>
      <c r="E47" s="13"/>
      <c r="F47" s="13"/>
      <c r="G47" s="13"/>
      <c r="H47" s="13"/>
      <c r="I47" s="13"/>
      <c r="J47" s="13"/>
      <c r="K47" s="13"/>
      <c r="L47" s="13"/>
      <c r="M47" s="14"/>
      <c r="N47" s="15" t="s">
        <v>8</v>
      </c>
      <c r="O47" s="16"/>
      <c r="P47" s="16"/>
      <c r="Q47" s="12"/>
    </row>
    <row r="48" spans="1:17" ht="15" customHeight="1" x14ac:dyDescent="0.25">
      <c r="A48" s="12"/>
      <c r="B48" s="19" t="s">
        <v>27</v>
      </c>
      <c r="C48" s="35" t="s">
        <v>28</v>
      </c>
      <c r="E48" s="12"/>
      <c r="G48" s="19"/>
      <c r="H48" s="19"/>
      <c r="I48" s="19"/>
      <c r="J48" s="19"/>
      <c r="K48" s="12"/>
      <c r="L48" s="12"/>
      <c r="M48" s="20"/>
      <c r="N48" s="21" t="str">
        <f>CONCATENATE('[19]LS-Department Note Disclosure'!$A$44," Principal Payments")</f>
        <v>2024–2025 Principal Payments</v>
      </c>
      <c r="O48" s="16"/>
      <c r="P48" s="18" t="s">
        <v>22</v>
      </c>
      <c r="Q48" s="12"/>
    </row>
    <row r="49" spans="1:17" x14ac:dyDescent="0.25">
      <c r="A49" s="12"/>
      <c r="B49" s="23">
        <f>IF('[19]LS-Fund xxxx Journal Entries'!$F$8="Proprietary - Internal Service Fund",'[19]LS-Fund xxxx Journal Entries'!$K$76,0)</f>
        <v>0</v>
      </c>
      <c r="C49" s="34"/>
      <c r="E49" s="34"/>
      <c r="G49" s="36"/>
      <c r="H49" s="36"/>
      <c r="I49" s="36"/>
      <c r="J49" s="36"/>
      <c r="K49" s="34"/>
      <c r="L49" s="34"/>
      <c r="M49" s="37"/>
      <c r="N49" s="29">
        <f>'[19]LS-Department Note Disclosure'!B44</f>
        <v>0</v>
      </c>
      <c r="O49" s="38"/>
      <c r="P49" s="31">
        <f>B49-N49</f>
        <v>0</v>
      </c>
      <c r="Q49" s="12"/>
    </row>
    <row r="50" spans="1:17" ht="6" customHeight="1" x14ac:dyDescent="0.25">
      <c r="A50" s="12"/>
      <c r="B50" s="22"/>
      <c r="C50" s="32"/>
      <c r="D50" s="22"/>
      <c r="E50" s="32"/>
      <c r="F50" s="22"/>
      <c r="G50" s="22"/>
      <c r="H50" s="22"/>
      <c r="I50" s="22"/>
      <c r="J50" s="22"/>
      <c r="K50" s="32"/>
      <c r="L50" s="22"/>
      <c r="M50" s="32"/>
      <c r="N50" s="22"/>
      <c r="O50" s="22"/>
      <c r="P50" s="22"/>
      <c r="Q50" s="12"/>
    </row>
    <row r="51" spans="1:17" ht="17.25" x14ac:dyDescent="0.25">
      <c r="A51" s="12"/>
      <c r="B51" s="12"/>
      <c r="C51" s="12"/>
      <c r="D51" s="33" t="str">
        <f>IF(OR(P49&gt;0, (P49&lt;0)), "Please review and correct the variance.","")</f>
        <v/>
      </c>
      <c r="E51" s="12"/>
      <c r="F51" s="12"/>
      <c r="G51" s="12"/>
      <c r="H51" s="12"/>
      <c r="I51" s="12"/>
      <c r="J51" s="12"/>
      <c r="K51" s="12"/>
      <c r="L51" s="12"/>
      <c r="M51" s="12"/>
      <c r="N51" s="12"/>
      <c r="O51" s="12"/>
      <c r="P51" s="12"/>
      <c r="Q51" s="12"/>
    </row>
    <row r="52" spans="1:17" ht="6" customHeight="1" x14ac:dyDescent="0.25">
      <c r="A52" s="12"/>
      <c r="B52" s="34"/>
      <c r="C52" s="14"/>
      <c r="D52" s="34"/>
      <c r="E52" s="14"/>
      <c r="F52" s="34"/>
      <c r="G52" s="34"/>
      <c r="H52" s="34"/>
      <c r="I52" s="34"/>
      <c r="J52" s="34"/>
      <c r="K52" s="14"/>
      <c r="L52" s="34"/>
      <c r="M52" s="14"/>
      <c r="N52" s="34"/>
      <c r="O52" s="34"/>
      <c r="P52" s="34"/>
      <c r="Q52" s="12"/>
    </row>
    <row r="53" spans="1:17" x14ac:dyDescent="0.25">
      <c r="A53" s="12"/>
      <c r="B53" s="13" t="s">
        <v>25</v>
      </c>
      <c r="C53" s="13"/>
      <c r="D53" s="12"/>
      <c r="E53" s="14"/>
      <c r="F53" s="12"/>
      <c r="G53" s="12"/>
      <c r="H53" s="12"/>
      <c r="I53" s="12"/>
      <c r="J53" s="12"/>
      <c r="K53" s="14"/>
      <c r="L53" s="12"/>
      <c r="M53" s="14"/>
      <c r="N53" s="12"/>
      <c r="O53" s="12"/>
      <c r="P53" s="12"/>
      <c r="Q53" s="12"/>
    </row>
    <row r="54" spans="1:17" ht="6" customHeight="1" x14ac:dyDescent="0.25">
      <c r="A54" s="12"/>
      <c r="B54" s="12"/>
      <c r="C54" s="14"/>
      <c r="D54" s="12"/>
      <c r="E54" s="14"/>
      <c r="F54" s="12"/>
      <c r="G54" s="12"/>
      <c r="H54" s="12"/>
      <c r="I54" s="12"/>
      <c r="J54" s="12"/>
      <c r="K54" s="14"/>
      <c r="L54" s="12"/>
      <c r="M54" s="14"/>
      <c r="N54" s="12"/>
      <c r="O54" s="12"/>
      <c r="P54" s="12"/>
      <c r="Q54" s="12"/>
    </row>
    <row r="55" spans="1:17" ht="15" customHeight="1" x14ac:dyDescent="0.25">
      <c r="A55" s="12"/>
      <c r="B55" s="209" t="s">
        <v>7</v>
      </c>
      <c r="C55" s="209"/>
      <c r="D55" s="209"/>
      <c r="E55" s="13"/>
      <c r="F55" s="13"/>
      <c r="G55" s="13"/>
      <c r="H55" s="13"/>
      <c r="I55" s="13"/>
      <c r="J55" s="13"/>
      <c r="K55" s="13"/>
      <c r="L55" s="13"/>
      <c r="M55" s="14"/>
      <c r="N55" s="15" t="s">
        <v>8</v>
      </c>
      <c r="O55" s="16"/>
      <c r="P55" s="16"/>
      <c r="Q55" s="12"/>
    </row>
    <row r="56" spans="1:17" ht="15" customHeight="1" x14ac:dyDescent="0.25">
      <c r="A56" s="12"/>
      <c r="B56" s="19" t="s">
        <v>27</v>
      </c>
      <c r="C56" s="35" t="s">
        <v>28</v>
      </c>
      <c r="E56" s="12"/>
      <c r="G56" s="19"/>
      <c r="H56" s="19"/>
      <c r="I56" s="19"/>
      <c r="J56" s="19"/>
      <c r="K56" s="12"/>
      <c r="L56" s="12"/>
      <c r="M56" s="20"/>
      <c r="N56" s="21" t="str">
        <f>CONCATENATE('[19]LS-Department Note Disclosure'!$A$75," Principal Payments")</f>
        <v>2024–2025 Principal Payments</v>
      </c>
      <c r="O56" s="16"/>
      <c r="P56" s="18" t="s">
        <v>22</v>
      </c>
      <c r="Q56" s="12"/>
    </row>
    <row r="57" spans="1:17" x14ac:dyDescent="0.25">
      <c r="A57" s="12"/>
      <c r="B57" s="23">
        <f>IF('[19]LS-Fund xxxx Journal Entries'!$F$8="Proprietary - Enterprise Fund",'[19]LS-Fund xxxx Journal Entries'!$K$76,0)</f>
        <v>0</v>
      </c>
      <c r="C57" s="34"/>
      <c r="E57" s="34"/>
      <c r="G57" s="36"/>
      <c r="H57" s="36"/>
      <c r="I57" s="36"/>
      <c r="J57" s="36"/>
      <c r="K57" s="34"/>
      <c r="L57" s="34"/>
      <c r="M57" s="37"/>
      <c r="N57" s="29">
        <f>'[19]LS-Department Note Disclosure'!B75</f>
        <v>0</v>
      </c>
      <c r="O57" s="38"/>
      <c r="P57" s="31">
        <f>B57-N57</f>
        <v>0</v>
      </c>
      <c r="Q57" s="12"/>
    </row>
    <row r="58" spans="1:17" ht="6" customHeight="1" x14ac:dyDescent="0.25">
      <c r="A58" s="12"/>
      <c r="B58" s="22"/>
      <c r="C58" s="32"/>
      <c r="D58" s="22"/>
      <c r="E58" s="32"/>
      <c r="F58" s="22"/>
      <c r="G58" s="22"/>
      <c r="H58" s="22"/>
      <c r="I58" s="22"/>
      <c r="J58" s="22"/>
      <c r="K58" s="32"/>
      <c r="L58" s="22"/>
      <c r="M58" s="32"/>
      <c r="N58" s="22"/>
      <c r="O58" s="22"/>
      <c r="P58" s="22"/>
      <c r="Q58" s="12"/>
    </row>
    <row r="59" spans="1:17" ht="17.25" x14ac:dyDescent="0.25">
      <c r="A59" s="12"/>
      <c r="B59" s="12"/>
      <c r="C59" s="12"/>
      <c r="D59" s="33" t="str">
        <f>IF(OR(P57&gt;0, (P57&lt;0)), "Please review and correct the variance.","")</f>
        <v/>
      </c>
      <c r="E59" s="12"/>
      <c r="F59" s="12"/>
      <c r="G59" s="12"/>
      <c r="H59" s="12"/>
      <c r="I59" s="12"/>
      <c r="J59" s="12"/>
      <c r="K59" s="12"/>
      <c r="L59" s="12"/>
      <c r="M59" s="12"/>
      <c r="N59" s="12"/>
      <c r="O59" s="12"/>
      <c r="P59" s="12"/>
      <c r="Q59" s="12"/>
    </row>
    <row r="60" spans="1:17" ht="6" customHeight="1" x14ac:dyDescent="0.25">
      <c r="A60" s="12"/>
      <c r="B60" s="34"/>
      <c r="C60" s="14"/>
      <c r="D60" s="34"/>
      <c r="E60" s="14"/>
      <c r="F60" s="34"/>
      <c r="G60" s="34"/>
      <c r="H60" s="34"/>
      <c r="I60" s="34"/>
      <c r="J60" s="34"/>
      <c r="K60" s="14"/>
      <c r="L60" s="34"/>
      <c r="M60" s="14"/>
      <c r="N60" s="34"/>
      <c r="O60" s="34"/>
      <c r="P60" s="34"/>
      <c r="Q60" s="12"/>
    </row>
    <row r="61" spans="1:17" x14ac:dyDescent="0.25">
      <c r="A61" s="8" t="s">
        <v>29</v>
      </c>
      <c r="B61" s="9"/>
      <c r="C61" s="10"/>
      <c r="D61" s="9"/>
      <c r="E61" s="10"/>
      <c r="F61" s="9"/>
      <c r="G61" s="9"/>
      <c r="H61" s="9"/>
      <c r="I61" s="9"/>
      <c r="J61" s="9"/>
      <c r="K61" s="10"/>
      <c r="L61" s="9"/>
      <c r="M61" s="10"/>
      <c r="N61" s="9"/>
      <c r="O61" s="9"/>
      <c r="P61" s="9"/>
      <c r="Q61" s="9"/>
    </row>
    <row r="62" spans="1:17" ht="15" customHeight="1" x14ac:dyDescent="0.25">
      <c r="A62" s="12"/>
      <c r="B62" s="13" t="s">
        <v>6</v>
      </c>
      <c r="C62" s="13"/>
      <c r="D62" s="16"/>
      <c r="E62" s="16"/>
      <c r="F62" s="16"/>
      <c r="G62" s="16"/>
      <c r="H62" s="16"/>
      <c r="I62" s="16"/>
      <c r="J62" s="16"/>
      <c r="K62" s="16"/>
      <c r="L62" s="16"/>
      <c r="M62" s="16"/>
      <c r="N62" s="16"/>
      <c r="O62" s="16"/>
      <c r="P62" s="16"/>
      <c r="Q62" s="12"/>
    </row>
    <row r="63" spans="1:17" x14ac:dyDescent="0.25">
      <c r="A63" s="12"/>
      <c r="B63" s="39"/>
      <c r="C63" s="39"/>
      <c r="D63" s="39"/>
      <c r="E63" s="39"/>
      <c r="F63" s="39"/>
      <c r="G63" s="39"/>
      <c r="H63" s="39"/>
      <c r="I63" s="39"/>
      <c r="J63" s="39"/>
      <c r="K63" s="39"/>
      <c r="L63" s="39"/>
      <c r="M63" s="39"/>
      <c r="N63" s="39"/>
      <c r="O63" s="39"/>
      <c r="P63" s="39"/>
      <c r="Q63" s="12"/>
    </row>
    <row r="64" spans="1:17" ht="15" customHeight="1" x14ac:dyDescent="0.25">
      <c r="A64" s="12"/>
      <c r="B64" s="212" t="s">
        <v>7</v>
      </c>
      <c r="C64" s="212"/>
      <c r="D64" s="212"/>
      <c r="E64" s="212"/>
      <c r="F64" s="212"/>
      <c r="G64" s="212"/>
      <c r="H64" s="212"/>
      <c r="I64" s="39"/>
      <c r="J64" s="15" t="s">
        <v>30</v>
      </c>
      <c r="K64" s="39"/>
      <c r="L64" s="212" t="s">
        <v>31</v>
      </c>
      <c r="M64" s="212"/>
      <c r="N64" s="212"/>
      <c r="O64" s="39"/>
      <c r="P64" s="39"/>
      <c r="Q64" s="12"/>
    </row>
    <row r="65" spans="1:17" x14ac:dyDescent="0.25">
      <c r="A65" s="12"/>
      <c r="B65" s="12"/>
      <c r="C65" s="12"/>
      <c r="D65" s="12"/>
      <c r="E65" s="12"/>
      <c r="F65" s="12"/>
      <c r="G65" s="12"/>
      <c r="H65" s="12"/>
      <c r="I65" s="12"/>
      <c r="J65" s="12"/>
      <c r="K65" s="12"/>
      <c r="L65" s="12"/>
      <c r="M65" s="12"/>
      <c r="N65" s="12"/>
      <c r="O65" s="12"/>
      <c r="P65" s="18" t="s">
        <v>22</v>
      </c>
      <c r="Q65" s="12"/>
    </row>
    <row r="66" spans="1:17" x14ac:dyDescent="0.25">
      <c r="B66" s="19" t="s">
        <v>14</v>
      </c>
      <c r="D66" s="41">
        <f>$B$16</f>
        <v>28785185</v>
      </c>
      <c r="J66" s="41">
        <f>SUM(D66)</f>
        <v>28785185</v>
      </c>
      <c r="L66" s="42" t="str">
        <f>CONCATENATE("Balance July 1, ",LEFT('[19]LS-Department Note Disclosure'!$B$8,4))</f>
        <v>Balance July 1, 2023</v>
      </c>
      <c r="N66" s="41">
        <f>'LS-Lease Liabilities'!F10</f>
        <v>28785185</v>
      </c>
      <c r="P66" s="31">
        <f>J66-N66</f>
        <v>0</v>
      </c>
    </row>
    <row r="67" spans="1:17" x14ac:dyDescent="0.25">
      <c r="B67" s="19" t="s">
        <v>16</v>
      </c>
      <c r="D67" s="41">
        <f>$D$16</f>
        <v>17098929</v>
      </c>
      <c r="E67" s="43" t="s">
        <v>15</v>
      </c>
      <c r="F67" s="19" t="s">
        <v>20</v>
      </c>
      <c r="H67" s="41">
        <f>$J$16</f>
        <v>0</v>
      </c>
      <c r="J67" s="41">
        <f>SUM(D67,H67)</f>
        <v>17098929</v>
      </c>
      <c r="L67" s="42" t="s">
        <v>10</v>
      </c>
      <c r="N67" s="41">
        <f>'LS-Lease Liabilities'!H10</f>
        <v>17098929</v>
      </c>
      <c r="P67" s="31">
        <f>J67-N67</f>
        <v>0</v>
      </c>
    </row>
    <row r="68" spans="1:17" x14ac:dyDescent="0.25">
      <c r="B68" s="19" t="s">
        <v>18</v>
      </c>
      <c r="D68" s="41">
        <f>$F$16</f>
        <v>15588107</v>
      </c>
      <c r="E68" s="43" t="s">
        <v>15</v>
      </c>
      <c r="F68" s="19" t="s">
        <v>19</v>
      </c>
      <c r="H68" s="41">
        <f>$H$16</f>
        <v>0</v>
      </c>
      <c r="J68" s="41">
        <f>SUM(D68,H68)</f>
        <v>15588107</v>
      </c>
      <c r="L68" s="42" t="s">
        <v>11</v>
      </c>
      <c r="N68" s="41">
        <f>'LS-Lease Liabilities'!J10</f>
        <v>15588107</v>
      </c>
      <c r="P68" s="31">
        <f>J68-N68</f>
        <v>0</v>
      </c>
    </row>
    <row r="69" spans="1:17" x14ac:dyDescent="0.25">
      <c r="B69" s="19" t="s">
        <v>27</v>
      </c>
      <c r="D69" s="41">
        <f>$B$42</f>
        <v>12140181</v>
      </c>
      <c r="J69" s="41">
        <f>SUM(D69)</f>
        <v>12140181</v>
      </c>
      <c r="L69" s="42" t="s">
        <v>32</v>
      </c>
      <c r="N69" s="41">
        <f>'LS-Lease Liabilities'!N10</f>
        <v>12140181</v>
      </c>
      <c r="P69" s="31">
        <f>J69-N69</f>
        <v>0</v>
      </c>
    </row>
    <row r="70" spans="1:17" x14ac:dyDescent="0.25">
      <c r="D70" s="44"/>
    </row>
    <row r="71" spans="1:17" ht="15.95" customHeight="1" x14ac:dyDescent="0.25">
      <c r="D71" s="33" t="str">
        <f>IF(OR(P66&gt;0, (P66&lt;0),P67&gt;0,P67&lt;0,P68&gt;0,P68&lt;0,P69&gt;0,P69&lt;0), "Please review and correct the variance.","")</f>
        <v/>
      </c>
    </row>
    <row r="72" spans="1:17" ht="6" customHeight="1" x14ac:dyDescent="0.25">
      <c r="D72" s="44"/>
    </row>
    <row r="73" spans="1:17" x14ac:dyDescent="0.25">
      <c r="B73" s="45" t="s">
        <v>24</v>
      </c>
      <c r="C73" s="45"/>
    </row>
    <row r="74" spans="1:17" x14ac:dyDescent="0.25">
      <c r="B74" s="45"/>
    </row>
    <row r="75" spans="1:17" ht="15" customHeight="1" x14ac:dyDescent="0.25">
      <c r="B75" s="212" t="s">
        <v>7</v>
      </c>
      <c r="C75" s="212"/>
      <c r="D75" s="212"/>
      <c r="E75" s="212"/>
      <c r="F75" s="212"/>
      <c r="G75" s="212"/>
      <c r="H75" s="212"/>
      <c r="I75" s="39"/>
      <c r="J75" s="15" t="s">
        <v>30</v>
      </c>
      <c r="K75" s="39"/>
      <c r="L75" s="212" t="s">
        <v>31</v>
      </c>
      <c r="M75" s="212"/>
      <c r="N75" s="212"/>
    </row>
    <row r="76" spans="1:17" x14ac:dyDescent="0.25">
      <c r="L76" s="12"/>
      <c r="M76" s="12"/>
      <c r="N76" s="12"/>
      <c r="O76" s="12"/>
      <c r="P76" s="18" t="s">
        <v>22</v>
      </c>
    </row>
    <row r="77" spans="1:17" x14ac:dyDescent="0.25">
      <c r="B77" s="19" t="s">
        <v>14</v>
      </c>
      <c r="D77" s="41">
        <f>B24</f>
        <v>0</v>
      </c>
      <c r="J77" s="41">
        <f>SUM(D77)</f>
        <v>0</v>
      </c>
      <c r="L77" s="42" t="str">
        <f>CONCATENATE("Balance July 1, ",LEFT('[19]LS-Department Note Disclosure'!$B$8,4))</f>
        <v>Balance July 1, 2023</v>
      </c>
      <c r="N77" s="41">
        <f>'[19]LS-Lease Liabilities'!F14</f>
        <v>0</v>
      </c>
      <c r="P77" s="31">
        <f>J77-N77</f>
        <v>0</v>
      </c>
    </row>
    <row r="78" spans="1:17" x14ac:dyDescent="0.25">
      <c r="B78" s="19" t="s">
        <v>16</v>
      </c>
      <c r="D78" s="41">
        <f>D24</f>
        <v>0</v>
      </c>
      <c r="E78" s="43" t="s">
        <v>15</v>
      </c>
      <c r="F78" s="19" t="s">
        <v>20</v>
      </c>
      <c r="H78" s="41">
        <f>$J$24</f>
        <v>0</v>
      </c>
      <c r="J78" s="41">
        <f>SUM(D78,H78)</f>
        <v>0</v>
      </c>
      <c r="L78" s="42" t="s">
        <v>10</v>
      </c>
      <c r="N78" s="41">
        <f>'[19]LS-Lease Liabilities'!H14</f>
        <v>0</v>
      </c>
      <c r="P78" s="31">
        <f>J78-N78</f>
        <v>0</v>
      </c>
    </row>
    <row r="79" spans="1:17" x14ac:dyDescent="0.25">
      <c r="B79" s="19" t="s">
        <v>18</v>
      </c>
      <c r="D79" s="41">
        <f>F24</f>
        <v>0</v>
      </c>
      <c r="E79" s="43" t="s">
        <v>15</v>
      </c>
      <c r="F79" s="19" t="s">
        <v>19</v>
      </c>
      <c r="H79" s="41">
        <f>$H$24</f>
        <v>0</v>
      </c>
      <c r="J79" s="41">
        <f>SUM(D79,H79)</f>
        <v>0</v>
      </c>
      <c r="L79" s="42" t="s">
        <v>11</v>
      </c>
      <c r="N79" s="41">
        <f>'[19]LS-Lease Liabilities'!J14</f>
        <v>0</v>
      </c>
      <c r="P79" s="31">
        <f>J79-N79</f>
        <v>0</v>
      </c>
    </row>
    <row r="80" spans="1:17" x14ac:dyDescent="0.25">
      <c r="B80" s="19" t="s">
        <v>27</v>
      </c>
      <c r="D80" s="41">
        <f>B49</f>
        <v>0</v>
      </c>
      <c r="J80" s="41">
        <f>SUM(D80)</f>
        <v>0</v>
      </c>
      <c r="L80" s="42" t="s">
        <v>32</v>
      </c>
      <c r="N80" s="41">
        <f>'[19]LS-Lease Liabilities'!N14</f>
        <v>0</v>
      </c>
      <c r="P80" s="31">
        <f>J80-N80</f>
        <v>0</v>
      </c>
    </row>
    <row r="81" spans="2:16" x14ac:dyDescent="0.25"/>
    <row r="82" spans="2:16" x14ac:dyDescent="0.25"/>
    <row r="83" spans="2:16" ht="4.9000000000000004" customHeight="1" x14ac:dyDescent="0.25"/>
    <row r="84" spans="2:16" x14ac:dyDescent="0.25">
      <c r="B84" s="45" t="s">
        <v>25</v>
      </c>
      <c r="C84" s="45"/>
    </row>
    <row r="85" spans="2:16" x14ac:dyDescent="0.25">
      <c r="B85" s="45"/>
    </row>
    <row r="86" spans="2:16" ht="15" customHeight="1" x14ac:dyDescent="0.25">
      <c r="B86" s="212" t="s">
        <v>7</v>
      </c>
      <c r="C86" s="212"/>
      <c r="D86" s="212"/>
      <c r="E86" s="212"/>
      <c r="F86" s="212"/>
      <c r="G86" s="212"/>
      <c r="H86" s="212"/>
      <c r="I86" s="39"/>
      <c r="J86" s="15" t="s">
        <v>30</v>
      </c>
      <c r="K86" s="39"/>
      <c r="L86" s="212" t="s">
        <v>31</v>
      </c>
      <c r="M86" s="212"/>
      <c r="N86" s="212"/>
    </row>
    <row r="87" spans="2:16" x14ac:dyDescent="0.25">
      <c r="L87" s="12"/>
      <c r="M87" s="12"/>
      <c r="N87" s="12"/>
      <c r="O87" s="12"/>
      <c r="P87" s="18" t="s">
        <v>22</v>
      </c>
    </row>
    <row r="88" spans="2:16" x14ac:dyDescent="0.25">
      <c r="B88" s="19" t="s">
        <v>14</v>
      </c>
      <c r="D88" s="41">
        <f>B33</f>
        <v>0</v>
      </c>
      <c r="J88" s="41">
        <f>SUM(D88)</f>
        <v>0</v>
      </c>
      <c r="L88" s="42" t="str">
        <f>CONCATENATE("Balance July 1, ",LEFT('[19]LS-Department Note Disclosure'!$B$8,4))</f>
        <v>Balance July 1, 2023</v>
      </c>
      <c r="N88" s="41">
        <f>'[19]LS-Lease Liabilities'!F18</f>
        <v>0</v>
      </c>
      <c r="P88" s="31">
        <f>J88-N88</f>
        <v>0</v>
      </c>
    </row>
    <row r="89" spans="2:16" x14ac:dyDescent="0.25">
      <c r="B89" s="19" t="s">
        <v>16</v>
      </c>
      <c r="D89" s="41">
        <f>D33</f>
        <v>0</v>
      </c>
      <c r="E89" s="43" t="s">
        <v>15</v>
      </c>
      <c r="F89" s="19" t="s">
        <v>20</v>
      </c>
      <c r="H89" s="41">
        <f>$J$33</f>
        <v>0</v>
      </c>
      <c r="J89" s="41">
        <f>SUM(D89,H89)</f>
        <v>0</v>
      </c>
      <c r="L89" s="42" t="s">
        <v>10</v>
      </c>
      <c r="N89" s="41">
        <f>'[19]LS-Lease Liabilities'!H18</f>
        <v>0</v>
      </c>
      <c r="P89" s="31">
        <f>J89-N89</f>
        <v>0</v>
      </c>
    </row>
    <row r="90" spans="2:16" x14ac:dyDescent="0.25">
      <c r="B90" s="19" t="s">
        <v>18</v>
      </c>
      <c r="D90" s="41">
        <f>F33</f>
        <v>0</v>
      </c>
      <c r="E90" s="43" t="s">
        <v>15</v>
      </c>
      <c r="F90" s="19" t="s">
        <v>19</v>
      </c>
      <c r="H90" s="41">
        <f>$H$33</f>
        <v>0</v>
      </c>
      <c r="J90" s="41">
        <f>SUM(D90,H90)</f>
        <v>0</v>
      </c>
      <c r="L90" s="42" t="s">
        <v>11</v>
      </c>
      <c r="N90" s="41">
        <f>'[19]LS-Lease Liabilities'!J18</f>
        <v>0</v>
      </c>
      <c r="P90" s="31">
        <f>J90-N90</f>
        <v>0</v>
      </c>
    </row>
    <row r="91" spans="2:16" x14ac:dyDescent="0.25">
      <c r="B91" s="19" t="s">
        <v>27</v>
      </c>
      <c r="D91" s="41">
        <f>B57</f>
        <v>0</v>
      </c>
      <c r="J91" s="41">
        <f>SUM(D91)</f>
        <v>0</v>
      </c>
      <c r="L91" s="42" t="s">
        <v>32</v>
      </c>
      <c r="N91" s="41">
        <f>'[19]LS-Lease Liabilities'!N18</f>
        <v>0</v>
      </c>
      <c r="P91" s="31">
        <f>J91-N91</f>
        <v>0</v>
      </c>
    </row>
    <row r="92" spans="2:16" x14ac:dyDescent="0.25"/>
    <row r="93" spans="2:16" ht="17.25" x14ac:dyDescent="0.25">
      <c r="D93" s="33"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mergeCells count="14">
    <mergeCell ref="B86:H86"/>
    <mergeCell ref="L86:N86"/>
    <mergeCell ref="B47:D47"/>
    <mergeCell ref="B55:D55"/>
    <mergeCell ref="B64:H64"/>
    <mergeCell ref="L64:N64"/>
    <mergeCell ref="B75:H75"/>
    <mergeCell ref="L75:N75"/>
    <mergeCell ref="B40:D40"/>
    <mergeCell ref="A5:Q7"/>
    <mergeCell ref="A8:Q9"/>
    <mergeCell ref="B13:L13"/>
    <mergeCell ref="B21:L21"/>
    <mergeCell ref="B30:L30"/>
  </mergeCells>
  <conditionalFormatting sqref="P16">
    <cfRule type="cellIs" dxfId="17" priority="17" operator="lessThan">
      <formula>0</formula>
    </cfRule>
    <cfRule type="cellIs" dxfId="16" priority="18" operator="greaterThan">
      <formula>0</formula>
    </cfRule>
  </conditionalFormatting>
  <conditionalFormatting sqref="P24">
    <cfRule type="cellIs" dxfId="15" priority="7" operator="lessThan">
      <formula>0</formula>
    </cfRule>
    <cfRule type="cellIs" dxfId="14" priority="8" operator="greaterThan">
      <formula>0</formula>
    </cfRule>
  </conditionalFormatting>
  <conditionalFormatting sqref="P33">
    <cfRule type="cellIs" dxfId="13" priority="15" operator="lessThan">
      <formula>0</formula>
    </cfRule>
    <cfRule type="cellIs" dxfId="12" priority="16" operator="greaterThan">
      <formula>0</formula>
    </cfRule>
  </conditionalFormatting>
  <conditionalFormatting sqref="P42">
    <cfRule type="cellIs" dxfId="11" priority="13" operator="lessThan">
      <formula>0</formula>
    </cfRule>
    <cfRule type="cellIs" dxfId="10" priority="14" operator="greaterThan">
      <formula>0</formula>
    </cfRule>
  </conditionalFormatting>
  <conditionalFormatting sqref="P49">
    <cfRule type="cellIs" dxfId="9" priority="5" operator="lessThan">
      <formula>0</formula>
    </cfRule>
    <cfRule type="cellIs" dxfId="8" priority="6" operator="greaterThan">
      <formula>0</formula>
    </cfRule>
  </conditionalFormatting>
  <conditionalFormatting sqref="P57">
    <cfRule type="cellIs" dxfId="7" priority="11" operator="lessThan">
      <formula>0</formula>
    </cfRule>
    <cfRule type="cellIs" dxfId="6" priority="12" operator="greaterThan">
      <formula>0</formula>
    </cfRule>
  </conditionalFormatting>
  <conditionalFormatting sqref="P66:P69">
    <cfRule type="cellIs" dxfId="5" priority="9" operator="lessThan">
      <formula>0</formula>
    </cfRule>
    <cfRule type="cellIs" dxfId="4" priority="10"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18</vt:i4>
      </vt:variant>
    </vt:vector>
  </HeadingPairs>
  <TitlesOfParts>
    <vt:vector size="38" baseType="lpstr">
      <vt:lpstr>LS-Version Changes</vt:lpstr>
      <vt:lpstr>LS-Fund 0069 Journal Entries</vt:lpstr>
      <vt:lpstr>LS-Fund 0239 Journal Entries</vt:lpstr>
      <vt:lpstr>LS-Fund 0305 Journal Entries</vt:lpstr>
      <vt:lpstr>LS-Fund 0376 Journal Entries</vt:lpstr>
      <vt:lpstr>LS-Fund 0421 Journal Entries</vt:lpstr>
      <vt:lpstr>LS-Fund 0702 Journal Entries</vt:lpstr>
      <vt:lpstr>LS-Fund 0735 Journal Entries</vt:lpstr>
      <vt:lpstr>LS-Fund 0758 Journal Entries</vt:lpstr>
      <vt:lpstr>LS-Fund 0761 Journal Entries</vt:lpstr>
      <vt:lpstr>LS-Fund 0763 Journal Entries</vt:lpstr>
      <vt:lpstr>LS-Fund 0767 Journal Entries</vt:lpstr>
      <vt:lpstr>LS-Fund 0770 Journal Entries</vt:lpstr>
      <vt:lpstr>LS-Fund 0771 Journal Entries</vt:lpstr>
      <vt:lpstr>LS-Fund 0777 Journal Entries</vt:lpstr>
      <vt:lpstr>LS-Fund 0779 Journal Entries</vt:lpstr>
      <vt:lpstr>LS-Fund 3017 Journal Entries</vt:lpstr>
      <vt:lpstr>LS-Lease Liabilities</vt:lpstr>
      <vt:lpstr>LS-Department Note Disclosure</vt:lpstr>
      <vt:lpstr>LS-Check Figures  </vt:lpstr>
      <vt:lpstr>'LS-Department Note Disclosure'!Print_Area</vt:lpstr>
      <vt:lpstr>'LS-Fund 0069 Journal Entries'!Print_Area</vt:lpstr>
      <vt:lpstr>'LS-Fund 0239 Journal Entries'!Print_Area</vt:lpstr>
      <vt:lpstr>'LS-Fund 0305 Journal Entries'!Print_Area</vt:lpstr>
      <vt:lpstr>'LS-Fund 0376 Journal Entries'!Print_Area</vt:lpstr>
      <vt:lpstr>'LS-Fund 0421 Journal Entries'!Print_Area</vt:lpstr>
      <vt:lpstr>'LS-Fund 0702 Journal Entries'!Print_Area</vt:lpstr>
      <vt:lpstr>'LS-Fund 0735 Journal Entries'!Print_Area</vt:lpstr>
      <vt:lpstr>'LS-Fund 0758 Journal Entries'!Print_Area</vt:lpstr>
      <vt:lpstr>'LS-Fund 0761 Journal Entries'!Print_Area</vt:lpstr>
      <vt:lpstr>'LS-Fund 0763 Journal Entries'!Print_Area</vt:lpstr>
      <vt:lpstr>'LS-Fund 0767 Journal Entries'!Print_Area</vt:lpstr>
      <vt:lpstr>'LS-Fund 0770 Journal Entries'!Print_Area</vt:lpstr>
      <vt:lpstr>'LS-Fund 0771 Journal Entries'!Print_Area</vt:lpstr>
      <vt:lpstr>'LS-Fund 0777 Journal Entries'!Print_Area</vt:lpstr>
      <vt:lpstr>'LS-Fund 0779 Journal Entries'!Print_Area</vt:lpstr>
      <vt:lpstr>'LS-Fund 3017 Journal Entries'!Print_Area</vt:lpstr>
      <vt:lpstr>'LS-Lease Liabilities'!Print_Area</vt:lpstr>
    </vt:vector>
  </TitlesOfParts>
  <Company>DCA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Tran-Cheong, Thuy@DCA</dc:creator>
  <cp:lastModifiedBy>Formanyuk, Alex</cp:lastModifiedBy>
  <dcterms:created xsi:type="dcterms:W3CDTF">2024-11-26T16:36:21Z</dcterms:created>
  <dcterms:modified xsi:type="dcterms:W3CDTF">2025-01-31T22:45:12Z</dcterms:modified>
</cp:coreProperties>
</file>