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642" authorId="0">
      <text>
        <r>
          <rPr>
            <sz val="11"/>
            <color rgb="FF000000"/>
            <rFont val="Calibri"/>
            <family val="2"/>
            <charset val="1"/>
          </rPr>
          <t xml:space="preserve">These ones are now manually added be will come later from the pre ignored</t>
        </r>
      </text>
    </comment>
  </commentList>
</comments>
</file>

<file path=xl/sharedStrings.xml><?xml version="1.0" encoding="utf-8"?>
<sst xmlns="http://schemas.openxmlformats.org/spreadsheetml/2006/main" count="5862" uniqueCount="1755">
  <si>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</si>
  <si>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</si>
  <si>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</si>
  <si>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</si>
  <si>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</si>
  <si>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</si>
  <si>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</si>
  <si>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</si>
  <si>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</si>
  <si>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</si>
  <si>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</si>
  <si>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Efx</t>
  </si>
  <si>
    <t xml:space="preserve">sftflf</t>
  </si>
  <si>
    <t xml:space="preserve">2</t>
  </si>
  <si>
    <t xml:space="preserve">longitude latitude typefis</t>
  </si>
  <si>
    <t xml:space="preserve">Floating Ice Shelf Area Percentage</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</si>
  <si>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</si>
  <si>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</si>
  <si>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</si>
  <si>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</si>
  <si>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</si>
  <si>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vegHeight</t>
  </si>
  <si>
    <t xml:space="preserve">longitude latitude</t>
  </si>
  <si>
    <t xml:space="preserve">Height of the Vegetation Canopy</t>
  </si>
  <si>
    <t xml:space="preserve">m</t>
  </si>
  <si>
    <t xml:space="preserve">Can not be produced by LPJ-GUESS: Only tree that has a height</t>
  </si>
  <si>
    <t xml:space="preserve">David Warlind</t>
  </si>
  <si>
    <t xml:space="preserve">Vegetation height averaged over all vegetation types and over the vegetated fraction of a grid cell.</t>
  </si>
  <si>
    <t xml:space="preserve">CMIP,DCPP,PAMIP,PMIP</t>
  </si>
  <si>
    <t xml:space="preserve">6hrLev</t>
  </si>
  <si>
    <t xml:space="preserve">bs550aer</t>
  </si>
  <si>
    <t xml:space="preserve">1</t>
  </si>
  <si>
    <t xml:space="preserve">longitude latitude time lambda550nm scatter180</t>
  </si>
  <si>
    <t xml:space="preserve">Aerosol Backscatter Coefficient</t>
  </si>
  <si>
    <t xml:space="preserve">m-1 sr-1</t>
  </si>
  <si>
    <t xml:space="preserve">Not available in IFS, neither in TM5.</t>
  </si>
  <si>
    <t xml:space="preserve">Twan &amp; Thomas</t>
  </si>
  <si>
    <t xml:space="preserve">Aerosol  Backscatter at 550nm and 180 degrees, computed from extinction and lidar ratio</t>
  </si>
  <si>
    <t xml:space="preserve">AerChemMIP</t>
  </si>
  <si>
    <t xml:space="preserve">Oyr</t>
  </si>
  <si>
    <t xml:space="preserve">arag</t>
  </si>
  <si>
    <t xml:space="preserve">longitude latitude olevel time</t>
  </si>
  <si>
    <t xml:space="preserve">Aragonite Concentration</t>
  </si>
  <si>
    <t xml:space="preserve">mol m-3</t>
  </si>
  <si>
    <t xml:space="preserve">Not available</t>
  </si>
  <si>
    <t xml:space="preserve">Raffaele Bernardello</t>
  </si>
  <si>
    <t xml:space="preserve">Sum of particulate aragonite components (e.g. Phytoplankton, Detrital, etc.)</t>
  </si>
  <si>
    <t xml:space="preserve">AerChemMIP,CMIP,GeoMIP,LUMIP,OMIP,PMIP,VIACSAB</t>
  </si>
  <si>
    <t xml:space="preserve">bacc</t>
  </si>
  <si>
    <t xml:space="preserve">3</t>
  </si>
  <si>
    <t xml:space="preserve">Bacterial Carbon Concentration</t>
  </si>
  <si>
    <t xml:space="preserve">Sum of bacterial carbon component concentrations</t>
  </si>
  <si>
    <t xml:space="preserve">bddtalk</t>
  </si>
  <si>
    <t xml:space="preserve">Rate of Change of Alkalinity Due to Biological Activity</t>
  </si>
  <si>
    <t xml:space="preserve">mol m-3 s-1</t>
  </si>
  <si>
    <t xml:space="preserve">Not available in NEMO-PISCES. Only available in vertically integrated form: INTdtAlk</t>
  </si>
  <si>
    <t xml:space="preserve">Torben, Raffaele Bernardello</t>
  </si>
  <si>
    <t xml:space="preserve">Net total of biological terms in time rate of change of alkalinity</t>
  </si>
  <si>
    <t xml:space="preserve">AerChemMIP,CMIP,GeoMIP,LUMIP,OMIP,VIACSAB</t>
  </si>
  <si>
    <t xml:space="preserve">bddtdic</t>
  </si>
  <si>
    <t xml:space="preserve">Rate of Change of Dissolved Inorganic Carbon Due to Biological Activity</t>
  </si>
  <si>
    <t xml:space="preserve">Not available in NEMO-PISCES. Only available in vertically integrated form: INTdtDIC</t>
  </si>
  <si>
    <t xml:space="preserve">Net total of biological terms in time rate of change of dissolved inorganic carbon</t>
  </si>
  <si>
    <t xml:space="preserve">bddtdife</t>
  </si>
  <si>
    <t xml:space="preserve">Rate of Change of Dissolved Inorganic Iron Due to Biological Activity</t>
  </si>
  <si>
    <t xml:space="preserve">Not available in NEMO-PISCES. Only available in vertically integrated form: INTdtFer</t>
  </si>
  <si>
    <t xml:space="preserve">Net total of biological terms in time rate of change of dissolved inorganic iron</t>
  </si>
  <si>
    <t xml:space="preserve">bddtdin</t>
  </si>
  <si>
    <t xml:space="preserve">Rate of Change of Nitrogen Nutrient Due to Biological Activity</t>
  </si>
  <si>
    <t xml:space="preserve">Not available in NEMO-PISCES. Only available in vertically integrated form: INTdtDIN</t>
  </si>
  <si>
    <t xml:space="preserve">Net total of biological terms in time rate of change of nitrogen nutrients (e.g. NO3+NH4)</t>
  </si>
  <si>
    <t xml:space="preserve">bddtdip</t>
  </si>
  <si>
    <t xml:space="preserve">Rate of Change of Dissolved Phosphorus Due to Biological Activity</t>
  </si>
  <si>
    <t xml:space="preserve">Not available in NEMO-PISCES. Only available in vertically integrated form: INTdtDIP</t>
  </si>
  <si>
    <t xml:space="preserve">Net of biological terms in time rate of change of dissolved phosphate</t>
  </si>
  <si>
    <t xml:space="preserve">bddtdisi</t>
  </si>
  <si>
    <t xml:space="preserve">Rate of Change of Dissolved Inorganic Silicon Due to Biological Activity</t>
  </si>
  <si>
    <t xml:space="preserve">Not available in NEMO-PISCES. Only available in vertically integrated form: INTdtSil</t>
  </si>
  <si>
    <t xml:space="preserve">Net of biological terms in time rate of change of dissolved inorganic silicon</t>
  </si>
  <si>
    <t xml:space="preserve">chlcalc</t>
  </si>
  <si>
    <t xml:space="preserve">Mass Concentration of Calcareous Phytoplankton Expressed as Chlorophyll in Sea Water</t>
  </si>
  <si>
    <t xml:space="preserve">kg m-3</t>
  </si>
  <si>
    <t xml:space="preserve">Probably not in NEMO-PISCES (at least not found in the relevant xml files). BSC check?</t>
  </si>
  <si>
    <t xml:space="preserve">Torben</t>
  </si>
  <si>
    <t xml:space="preserve">chlorophyll concentration from the calcite-producing phytoplankton component alone</t>
  </si>
  <si>
    <t xml:space="preserve">AerChemMIP,CMIP,GeoMIP,LUMIP,OMIP</t>
  </si>
  <si>
    <t xml:space="preserve">chldiaz</t>
  </si>
  <si>
    <t xml:space="preserve">Mass Concentration of Diazotrophs Expressed as Chlorophyll in Sea Water</t>
  </si>
  <si>
    <t xml:space="preserve">Chlorophyll concentration from the diazotrophic phytoplankton component alone</t>
  </si>
  <si>
    <t xml:space="preserve">chlpico</t>
  </si>
  <si>
    <t xml:space="preserve">Mass Concentration of Picophytoplankton Expressed as Chlorophyll in Sea Water</t>
  </si>
  <si>
    <t xml:space="preserve">chlorophyll concentration from the picophytoplankton (&lt;2 um) component alone</t>
  </si>
  <si>
    <t xml:space="preserve">co3satarag</t>
  </si>
  <si>
    <t xml:space="preserve">Mole Concentration of Carbonate Ion in Equilibrium with Pure Aragonite in Sea Water</t>
  </si>
  <si>
    <t xml:space="preserve">Mole concentration (number of moles per unit volume: molarity) of the carbonate anion (CO3) for sea water in equilibrium with pure Aragonite. Aragonite  (CaCO3) is a mineral that is a polymorph of calcium carbonate.</t>
  </si>
  <si>
    <t xml:space="preserve">darag</t>
  </si>
  <si>
    <t xml:space="preserve">Aragonite Dissolution</t>
  </si>
  <si>
    <t xml:space="preserve">Probably not in NEMO-PISCES (at least not found in the relevant xml files). Not available.</t>
  </si>
  <si>
    <t xml:space="preserve">Rate of change of Aragonite carbon mole concentration  due to dissolution</t>
  </si>
  <si>
    <t xml:space="preserve">dissi13c</t>
  </si>
  <si>
    <t xml:space="preserve">Dissolved Inorganic Carbon-13 Concentration</t>
  </si>
  <si>
    <t xml:space="preserve">Not available in PISCES</t>
  </si>
  <si>
    <t xml:space="preserve">Dissolved inorganic carbon-13 (CO3+HCO3+H2CO3) concentration</t>
  </si>
  <si>
    <t xml:space="preserve">dissi14cabio</t>
  </si>
  <si>
    <t xml:space="preserve">Abiotic Dissolved Inorganic Carbon-14 Concentration</t>
  </si>
  <si>
    <t xml:space="preserve">Abiotic Dissolved inorganic carbon-14 (CO3+HCO3+H2CO3) concentration</t>
  </si>
  <si>
    <t xml:space="preserve">dissicabio</t>
  </si>
  <si>
    <t xml:space="preserve">Abiotic Dissolved Inorganic Carbon Concentration</t>
  </si>
  <si>
    <t xml:space="preserve">Abiotic Dissolved inorganic carbon (CO3+HCO3+H2CO3) concentration</t>
  </si>
  <si>
    <t xml:space="preserve">dissicnat</t>
  </si>
  <si>
    <t xml:space="preserve">Natural Dissolved Inorganic Carbon Concentration</t>
  </si>
  <si>
    <t xml:space="preserve">Will be only for OMIP manually added: 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</si>
  <si>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</si>
  <si>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dmso</t>
  </si>
  <si>
    <t xml:space="preserve">Mole Concentration of Dimethyl Sulphide in Sea Water</t>
  </si>
  <si>
    <t xml:space="preserve">Mole concentration of dimethyl sulphide in water</t>
  </si>
  <si>
    <t xml:space="preserve">exparag</t>
  </si>
  <si>
    <t xml:space="preserve">Downward Flux of Aragonite</t>
  </si>
  <si>
    <t xml:space="preserve">mol m-2 s-1</t>
  </si>
  <si>
    <t xml:space="preserve">Not available inLPJ-GUESS. Not available in PISCES, which means not available in NEMO.</t>
  </si>
  <si>
    <t xml:space="preserve">David Warlind, Raffaele Bernardello</t>
  </si>
  <si>
    <t xml:space="preserve">Downward flux of Aragonite</t>
  </si>
  <si>
    <t xml:space="preserve">expcalc</t>
  </si>
  <si>
    <t xml:space="preserve">Downward Flux of Calcite</t>
  </si>
  <si>
    <t xml:space="preserve">Can not be produced by LPJ-GUESS: Pisces?</t>
  </si>
  <si>
    <t xml:space="preserve">Downward flux of Calcite</t>
  </si>
  <si>
    <t xml:space="preserve">expfe</t>
  </si>
  <si>
    <t xml:space="preserve">Sinking Particulate Iron Flux</t>
  </si>
  <si>
    <t xml:space="preserve">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</si>
  <si>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expsi</t>
  </si>
  <si>
    <t xml:space="preserve">Sinking Particulate Silicon Flux</t>
  </si>
  <si>
    <t xml:space="preserve">fescav</t>
  </si>
  <si>
    <t xml:space="preserve">Non-Biogenic Iron Scavenging</t>
  </si>
  <si>
    <t xml:space="preserve">Dissolved Fe removed through nonbiogenic scavenging onto particles</t>
  </si>
  <si>
    <t xml:space="preserve">fg13co2</t>
  </si>
  <si>
    <t xml:space="preserve">longitude latitude time</t>
  </si>
  <si>
    <t xml:space="preserve">Surface Downward Flux of 13CO2</t>
  </si>
  <si>
    <t xml:space="preserve">kg m-2 s-1</t>
  </si>
  <si>
    <t xml:space="preserve">Gas exchange flux of carbon-13 as CO2 (positive into ocean)</t>
  </si>
  <si>
    <t xml:space="preserve">fg14co2abio</t>
  </si>
  <si>
    <t xml:space="preserve">Surface Downward Flux of Abiotic 14CO2</t>
  </si>
  <si>
    <t xml:space="preserve">Can not be produced by LPJ-GUESS: Not available in Pisces.</t>
  </si>
  <si>
    <t xml:space="preserve">Gas exchange flux of abiotic 14CO2 (positive into ocean)</t>
  </si>
  <si>
    <t xml:space="preserve">fgco2abio</t>
  </si>
  <si>
    <t xml:space="preserve">Surface Downward Flux of Abiotic CO2</t>
  </si>
  <si>
    <t xml:space="preserve">Gas exchange flux of abiotic CO2 (positive into ocean)</t>
  </si>
  <si>
    <t xml:space="preserve">fgco2nat</t>
  </si>
  <si>
    <t xml:space="preserve">Surface Downward Flux of Natural CO2</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</si>
  <si>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</si>
  <si>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Gas exchange flux of natural CO2 (positive into ocean)</t>
  </si>
  <si>
    <t xml:space="preserve">parag</t>
  </si>
  <si>
    <t xml:space="preserve">Aragonite Production</t>
  </si>
  <si>
    <t xml:space="preserve">Production rate of Aragonite, a mineral that is a polymorph of calcium carbonate. The chemical formula of aragonite is CaCO3.</t>
  </si>
  <si>
    <t xml:space="preserve">phabio</t>
  </si>
  <si>
    <t xml:space="preserve">Abiotic pH</t>
  </si>
  <si>
    <t xml:space="preserve">negative log10 of hydrogen ion concentration with the concentration expressed as mol H kg-1 (abiotic component)..</t>
  </si>
  <si>
    <t xml:space="preserve">phnat</t>
  </si>
  <si>
    <t xml:space="preserve">Natural pH</t>
  </si>
  <si>
    <t xml:space="preserve">Will be only for OMIP manually added: 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</si>
  <si>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negative log10 of hydrogen ion concentration with the concentration expressed as mol H kg-1.</t>
  </si>
  <si>
    <t xml:space="preserve">phycalc</t>
  </si>
  <si>
    <t xml:space="preserve">Mole Concentration of Calcareous Phytoplankton Expressed as Carbon in Sea Water</t>
  </si>
  <si>
    <t xml:space="preserve">carbon concentration from calcareous (calcite-producing) phytoplankton component alone</t>
  </si>
  <si>
    <t xml:space="preserve">phydiaz</t>
  </si>
  <si>
    <t xml:space="preserve">Mole Concentration of Diazotrophs Expressed as Carbon in Sea Water</t>
  </si>
  <si>
    <t xml:space="preserve">carbon concentration from the diazotrophic phytoplankton component alone</t>
  </si>
  <si>
    <t xml:space="preserve">phyn</t>
  </si>
  <si>
    <t xml:space="preserve">Mole Concentration of Total Phytoplankton expressed as Nitrogen in sea water</t>
  </si>
  <si>
    <t xml:space="preserve">sum of phytoplankton nitrogen component concentrations</t>
  </si>
  <si>
    <t xml:space="preserve">phyp</t>
  </si>
  <si>
    <t xml:space="preserve">Mole Concentration of Total Phytoplankton expressed as Phosphorus in sea water</t>
  </si>
  <si>
    <t xml:space="preserve">sum of phytoplankton phosphorus components</t>
  </si>
  <si>
    <t xml:space="preserve">phypico</t>
  </si>
  <si>
    <t xml:space="preserve">Mole Concentration of Picophytoplankton Expressed as Carbon in Sea Water</t>
  </si>
  <si>
    <t xml:space="preserve">Not available in NEMO-OPA. </t>
  </si>
  <si>
    <t xml:space="preserve">carbon concentration from the picophytoplankton (&lt;2 um) component alone</t>
  </si>
  <si>
    <t xml:space="preserve">pon</t>
  </si>
  <si>
    <t xml:space="preserve">Mole Concentration of Particulate Organic Matter expressed as Nitrogen in sea water</t>
  </si>
  <si>
    <t xml:space="preserve">sum of particulate organic nitrogen component concentrations</t>
  </si>
  <si>
    <t xml:space="preserve">pop</t>
  </si>
  <si>
    <t xml:space="preserve">Mole Concentration of Particulate Organic Matter expressed as Phosphorus in sea water</t>
  </si>
  <si>
    <t xml:space="preserve">sum of particulate organic phosphorus component concentrations</t>
  </si>
  <si>
    <t xml:space="preserve">ppcalc</t>
  </si>
  <si>
    <t xml:space="preserve">Net Primary Mole Productivity of Carbon by Calcareous Phytoplankton</t>
  </si>
  <si>
    <t xml:space="preserve">Primary (organic carbon) production by the calcite-producing phytoplankton component alone</t>
  </si>
  <si>
    <t xml:space="preserve">ppdiat</t>
  </si>
  <si>
    <t xml:space="preserve">Net Primary Organic Carbon Production by Diatoms</t>
  </si>
  <si>
    <t xml:space="preserve">Primary (organic carbon) production by the diatom component alone</t>
  </si>
  <si>
    <t xml:space="preserve">ppdiaz</t>
  </si>
  <si>
    <t xml:space="preserve">Net Primary Mole Productivity of Carbon by Diazotrophs</t>
  </si>
  <si>
    <t xml:space="preserve">Primary (organic carbon) production by the diazotrophic phytoplankton component alone</t>
  </si>
  <si>
    <t xml:space="preserve">ppmisc</t>
  </si>
  <si>
    <t xml:space="preserve">Net Primary Organic Carbon Production by Other Phytoplankton</t>
  </si>
  <si>
    <t xml:space="preserve">Primary (organic carbon) production by other phytoplankton components alone</t>
  </si>
  <si>
    <t xml:space="preserve">pppico</t>
  </si>
  <si>
    <t xml:space="preserve">Net Primary Mole Productivity of Carbon by Picophytoplankton</t>
  </si>
  <si>
    <t xml:space="preserve">Primary (organic carbon) production by the picophytoplankton (&lt;2 um) component alone</t>
  </si>
  <si>
    <t xml:space="preserve">talknat</t>
  </si>
  <si>
    <t xml:space="preserve">Natural Total Alkalinity</t>
  </si>
  <si>
    <t xml:space="preserve">total alkalinity equivalent concentration (including carbonate, borate, phosphorus, silicon, and nitrogen components) at preindustrial atmospheric xCO2</t>
  </si>
  <si>
    <t xml:space="preserve">volcello</t>
  </si>
  <si>
    <t xml:space="preserve">Ocean Grid-Cell Volume</t>
  </si>
  <si>
    <t xml:space="preserve">m3</t>
  </si>
  <si>
    <t xml:space="preserve">Not available in NEMO-OPA.</t>
  </si>
  <si>
    <t xml:space="preserve">grid-cell volume ca. 2000.</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</si>
  <si>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</si>
  <si>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</si>
  <si>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</si>
  <si>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</si>
  <si>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ImonGre</t>
  </si>
  <si>
    <t xml:space="preserve">orog</t>
  </si>
  <si>
    <t xml:space="preserve">xgre ygre time</t>
  </si>
  <si>
    <t xml:space="preserve">Surface Altitude</t>
  </si>
  <si>
    <t xml:space="preserve">Can not be produced by LPJ-GUESS: H-TESSEL?</t>
  </si>
  <si>
    <t xml:space="preserve">The surface called 'surface' means the lower boundary of the atmosphere. Altitude is the (geometric) height above the geoid, which is the reference geopotential surface. The geoid is similar to mean sea level.</t>
  </si>
  <si>
    <t xml:space="preserve">ISMIP6</t>
  </si>
  <si>
    <t xml:space="preserve">CFday</t>
  </si>
  <si>
    <t xml:space="preserve">ccb</t>
  </si>
  <si>
    <t xml:space="preserve">Air Pressure at Convective Cloud Base</t>
  </si>
  <si>
    <t xml:space="preserve">Pa</t>
  </si>
  <si>
    <t xml:space="preserve">Too much effort?: convective cloud cover ccc[128185 i.e in table 128] &gt; 0.5 or &gt; 0.0, this mask combine with cloud base height cbh[228023], therafter with surface pressure sp[134] and lapse rate the cct can be calculated</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</si>
  <si>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</si>
  <si>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CFMIP,HighResMIP</t>
  </si>
  <si>
    <t xml:space="preserve">cct</t>
  </si>
  <si>
    <t xml:space="preserve">Air Pressure at Convective Cloud Top</t>
  </si>
  <si>
    <t xml:space="preserve">No cloud top height in IFS output, thus no</t>
  </si>
  <si>
    <t xml:space="preserve">Gijs &amp; Thomas</t>
  </si>
  <si>
    <t xml:space="preserve">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</si>
  <si>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clcalipso</t>
  </si>
  <si>
    <t xml:space="preserve">longitude latitude alt40 time</t>
  </si>
  <si>
    <t xml:space="preserve">CALIPSO Percentage Cloud Cover</t>
  </si>
  <si>
    <t xml:space="preserve">COSP output, currently not available from IFS</t>
  </si>
  <si>
    <t xml:space="preserve">Klaus</t>
  </si>
  <si>
    <t xml:space="preserve">Percentage cloud cover at CALIPSO standard heights.</t>
  </si>
  <si>
    <t xml:space="preserve">clisccp</t>
  </si>
  <si>
    <t xml:space="preserve">longitude latitude plev7c tau time</t>
  </si>
  <si>
    <t xml:space="preserve">ISCCP Cloud Area Percentage</t>
  </si>
  <si>
    <t xml:space="preserve">Percentage cloud cover in optical depth categories.</t>
  </si>
  <si>
    <t xml:space="preserve">mc</t>
  </si>
  <si>
    <t xml:space="preserve">longitude latitude alevhalf time</t>
  </si>
  <si>
    <t xml:space="preserve">Convective Mass Flux</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</si>
  <si>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</si>
  <si>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The net mass flux should represent the difference between the updraft and downdraft components.  The flux is computed as the mass divided by the area of the grid cell.</t>
  </si>
  <si>
    <t xml:space="preserve">Eyr</t>
  </si>
  <si>
    <t xml:space="preserve">zfullo</t>
  </si>
  <si>
    <t xml:space="preserve">Depth Below Geoid of Ocean Layer</t>
  </si>
  <si>
    <t xml:space="preserve">Depth below geoid</t>
  </si>
  <si>
    <t xml:space="preserve">C4MIP,DCPP,LUMIP,PAMIP</t>
  </si>
  <si>
    <t xml:space="preserve">EdayZ</t>
  </si>
  <si>
    <t xml:space="preserve">epfy</t>
  </si>
  <si>
    <t xml:space="preserve">latitude plev39 time</t>
  </si>
  <si>
    <t xml:space="preserve">Northward Component of the Eliassen-Palm Flux</t>
  </si>
  <si>
    <t xml:space="preserve">m3 s-2</t>
  </si>
  <si>
    <t xml:space="preserve">Not available in IFS.</t>
  </si>
  <si>
    <t xml:space="preserve">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</si>
  <si>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 xml:space="preserve">DynVar</t>
  </si>
  <si>
    <t xml:space="preserve">epfz</t>
  </si>
  <si>
    <t xml:space="preserve">Upward Component of the Eliassen-Palm Flux</t>
  </si>
  <si>
    <t xml:space="preserve">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</si>
  <si>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 xml:space="preserve">psitem</t>
  </si>
  <si>
    <t xml:space="preserve">Transformed Eulerian Mean Mass Streamfunction</t>
  </si>
  <si>
    <t xml:space="preserve">kg s-1</t>
  </si>
  <si>
    <t xml:space="preserve">Residual mass streamfunction, computed from vstar and integrated from the top of the atmosphere (on the native model grid). Reference: Andrews et al (1987): Middle Atmospheric Dynamics. Academic Press.</t>
  </si>
  <si>
    <t xml:space="preserve">utendepfd</t>
  </si>
  <si>
    <t xml:space="preserve">Tendency of Eastward Wind Due to Eliassen-Palm Flux Divergence</t>
  </si>
  <si>
    <t xml:space="preserve">m s-2</t>
  </si>
  <si>
    <t xml:space="preserve">Tendency of the zonal mean zonal wind due to the divergence of the Eliassen-Palm flux.</t>
  </si>
  <si>
    <t xml:space="preserve">utendnogw</t>
  </si>
  <si>
    <t xml:space="preserve">Eastward Acceleration Due to Non-Orographic Gravity Wave Drag</t>
  </si>
  <si>
    <t xml:space="preserve">Not separately available in IFS.</t>
  </si>
  <si>
    <t xml:space="preserve">Tendency of the eastward wind by parameterized nonorographic gravity waves.</t>
  </si>
  <si>
    <t xml:space="preserve">utendogw</t>
  </si>
  <si>
    <t xml:space="preserve">Eastward Acceleration Due to Orographic Gravity Wave Drag</t>
  </si>
  <si>
    <t xml:space="preserve">Tendency of the eastward wind by parameterized orographic gravity waves.</t>
  </si>
  <si>
    <t xml:space="preserve">utendvtem</t>
  </si>
  <si>
    <t xml:space="preserve">Tendency of Eastward Wind Due to TEM Northward Advection and Coriolis Term</t>
  </si>
  <si>
    <t xml:space="preserve">m s-1 d-1</t>
  </si>
  <si>
    <t xml:space="preserve">Tendency of zonally averaged eastward wind, by the residual upward wind advection (on the native model grid). Reference: Andrews et al (1987): Middle Atmospheric Dynamics. Academic Press.</t>
  </si>
  <si>
    <t xml:space="preserve">utendwtem</t>
  </si>
  <si>
    <t xml:space="preserve">Tendency of Eastward Wind Due to TEM Upward Advection</t>
  </si>
  <si>
    <t xml:space="preserve">Tendency of zonally averaged eastward wind, by the residual northward wind advection (on the native model grid). Reference: Andrews et al (1987): Middle Atmospheric Dynamics. Academic Press.</t>
  </si>
  <si>
    <t xml:space="preserve">vtem</t>
  </si>
  <si>
    <t xml:space="preserve">Transformed Eulerian Mean Northward Wind</t>
  </si>
  <si>
    <t xml:space="preserve">m s-1</t>
  </si>
  <si>
    <t xml:space="preserve">Transformed Eulerian Mean Diagnostics v*, meridional component of the residual meridional circulation (v*, w*) derived from 6 hr or higher frequency data fields (use instantaneous daily fields or 12 hr fields if the 6 hr data are not available).</t>
  </si>
  <si>
    <t xml:space="preserve">wtem</t>
  </si>
  <si>
    <t xml:space="preserve">Transformed Eulerian Mean Upward Wind</t>
  </si>
  <si>
    <t xml:space="preserve">Transformed Eulerian Mean Diagnostics w*, meridional component of the residual meridional circulation (v*, w*) derived from 6 hr or higher frequency data fields (use instantaneous daily fields or 12 hr fields if the 6 hr data are not available). Scale height: 6950 m</t>
  </si>
  <si>
    <t xml:space="preserve">LImon</t>
  </si>
  <si>
    <t xml:space="preserve">agesno</t>
  </si>
  <si>
    <t xml:space="preserve">Mean Age of Snow</t>
  </si>
  <si>
    <t xml:space="preserve">day</t>
  </si>
  <si>
    <t xml:space="preserve">Can not be produced by LPJ-GUESS or else</t>
  </si>
  <si>
    <t xml:space="preserve">David Warlind &amp; Thomas</t>
  </si>
  <si>
    <t xml:space="preserve">Age of Snow (when computing the time-mean here, the time samples, weighted by the mass of snow on the land portion of the grid cell, are accumulated and then divided by the sum of the weights.  Reported as missing data in regions free of snow on land.</t>
  </si>
  <si>
    <t xml:space="preserve">C4MIP,CMIP,DAMIP,FAFMIP,GMMIP,GeoMIP,HighResMIP,LS3MIP,LUMIP,PMIP,VolMIP</t>
  </si>
  <si>
    <t xml:space="preserve">longitude latitude time typefis</t>
  </si>
  <si>
    <t xml:space="preserve">tpf</t>
  </si>
  <si>
    <t xml:space="preserve">Permafrost Layer Thickness</t>
  </si>
  <si>
    <t xml:space="preserve">Not available in PISM or H-TESSEL.</t>
  </si>
  <si>
    <t xml:space="preserve">Shuting</t>
  </si>
  <si>
    <t xml:space="preserve">The mean thickness of the permafrost layer in the land portion of the grid cell.  Reported as zero in permafrost-free regions.</t>
  </si>
  <si>
    <t xml:space="preserve">C4MIP,CDRMIP,CMIP,FAFMIP,GMMIP,GeoMIP,HighResMIP,LS3MIP,LUMIP,PMIP,VIACSAB,VolMIP</t>
  </si>
  <si>
    <t xml:space="preserve">CFsubhr</t>
  </si>
  <si>
    <t xml:space="preserve">site time1</t>
  </si>
  <si>
    <t xml:space="preserve">AerChemMIP,CFMIP</t>
  </si>
  <si>
    <t xml:space="preserve">ci</t>
  </si>
  <si>
    <t xml:space="preserve">Fraction of Time Convection Occurs in Cell</t>
  </si>
  <si>
    <t xml:space="preserve">Not in IFS output, thus no</t>
  </si>
  <si>
    <t xml:space="preserve">Thomas</t>
  </si>
  <si>
    <t xml:space="preserve">Fraction of time that convection occurs in the grid cell.</t>
  </si>
  <si>
    <t xml:space="preserve">edt</t>
  </si>
  <si>
    <t xml:space="preserve">alevel site time1</t>
  </si>
  <si>
    <t xml:space="preserve">Eddy Diffusivity Coefficient for Temperature</t>
  </si>
  <si>
    <t xml:space="preserve">m2 s-1</t>
  </si>
  <si>
    <t xml:space="preserve">Vertical diffusion coefficient for temperature due to parametrised eddies</t>
  </si>
  <si>
    <t xml:space="preserve">evu</t>
  </si>
  <si>
    <t xml:space="preserve">Eddy Viscosity Coefficient for Momentum</t>
  </si>
  <si>
    <t xml:space="preserve">Vertical diffusion coefficient for momentum due to parametrised eddies</t>
  </si>
  <si>
    <t xml:space="preserve">fco2fos</t>
  </si>
  <si>
    <t xml:space="preserve">Carbon Mass Flux into Atmosphere Due to Fossil Fuel Emissions of CO2</t>
  </si>
  <si>
    <t xml:space="preserve">Not available in TM5.</t>
  </si>
  <si>
    <t xml:space="preserve">Tommi Bergman, Thomas</t>
  </si>
  <si>
    <t xml:space="preserve">This is the prescribed anthropogenic CO2 flux from fossil fuel use, including cement production, and flaring (but not from land-use changes, agricultural burning, forest regrowth, etc.)</t>
  </si>
  <si>
    <t xml:space="preserve">alevhalf site time1</t>
  </si>
  <si>
    <t xml:space="preserve">rld</t>
  </si>
  <si>
    <t xml:space="preserve">Downwelling Longwave Radiation</t>
  </si>
  <si>
    <t xml:space="preserve">W m-2</t>
  </si>
  <si>
    <t xml:space="preserve">Not available in IFS: All Up and downwelling radiation is only at the TOA and the surface available in IFS standard output</t>
  </si>
  <si>
    <t xml:space="preserve">Downwelling Longwave Radiation (includes the fluxes at the surface and TOA)</t>
  </si>
  <si>
    <t xml:space="preserve">rldcs</t>
  </si>
  <si>
    <t xml:space="preserve">Downwelling Clear-Sky Longwave Radiation</t>
  </si>
  <si>
    <t xml:space="preserve">Downwelling clear-sky longwave radiation (includes the fluxes at the surface and TOA)</t>
  </si>
  <si>
    <t xml:space="preserve">rlu</t>
  </si>
  <si>
    <t xml:space="preserve">Upwelling Longwave Radiation</t>
  </si>
  <si>
    <t xml:space="preserve">Upwelling longwave radiation (includes the fluxes at the surface and TOA)</t>
  </si>
  <si>
    <t xml:space="preserve">rlucs</t>
  </si>
  <si>
    <t xml:space="preserve">Upwelling Clear-Sky Longwave Radiation</t>
  </si>
  <si>
    <t xml:space="preserve">Upwelling clear-sky longwave radiation  (includes the fluxes at the surface and TOA)</t>
  </si>
  <si>
    <t xml:space="preserve">rsd</t>
  </si>
  <si>
    <t xml:space="preserve">Downwelling Shortwave Radiation</t>
  </si>
  <si>
    <t xml:space="preserve">Downwelling shortwave radiation (includes the fluxes at the surface and top-of-atmosphere)</t>
  </si>
  <si>
    <t xml:space="preserve">rsdcs</t>
  </si>
  <si>
    <t xml:space="preserve">Downwelling Clear-Sky Shortwave Radiation</t>
  </si>
  <si>
    <t xml:space="preserve">Not available: All Up and downwelling radiation is only at the TOA and the surface available in IFS standard output</t>
  </si>
  <si>
    <t xml:space="preserve">Downwelling clear-sky shortwave radiation (includes the fluxes at the surface and top-of-atmosphere)</t>
  </si>
  <si>
    <t xml:space="preserve">rsu</t>
  </si>
  <si>
    <t xml:space="preserve">Upwelling Shortwave Radiation</t>
  </si>
  <si>
    <t xml:space="preserve">Upwelling shortwave radiation  (includes also the fluxes at the surface and top of atmosphere)</t>
  </si>
  <si>
    <t xml:space="preserve">rsucs</t>
  </si>
  <si>
    <t xml:space="preserve">Upwelling Clear-Sky Shortwave Radiation</t>
  </si>
  <si>
    <t xml:space="preserve">Upwelling clear-sky shortwave radiation  (includes the fluxes at the surface and TOA)</t>
  </si>
  <si>
    <t xml:space="preserve">sci</t>
  </si>
  <si>
    <t xml:space="preserve">Fraction of Time Shallow Convection Occurs</t>
  </si>
  <si>
    <t xml:space="preserve">Fraction of time that shallow convection occurs in the grid cell.</t>
  </si>
  <si>
    <t xml:space="preserve">tnhusa</t>
  </si>
  <si>
    <t xml:space="preserve">Tendency of Specific Humidity Due to Advection</t>
  </si>
  <si>
    <t xml:space="preserve">s-1</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</si>
  <si>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</si>
  <si>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Twan, Thomas &amp; Gijs</t>
  </si>
  <si>
    <t xml:space="preserve">Tendency of Specific Humidity due to Advection</t>
  </si>
  <si>
    <t xml:space="preserve">tnhusd</t>
  </si>
  <si>
    <t xml:space="preserve">Tendency of Specific Humidity Due to Numerical Diffusion</t>
  </si>
  <si>
    <t xml:space="preserve">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</si>
  <si>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 xml:space="preserve">tnhusscpbl</t>
  </si>
  <si>
    <t xml:space="preserve">Tendency of Specific Humidity Due to Stratiform Cloud and Precipitation and Boundary Layer Mixing</t>
  </si>
  <si>
    <t xml:space="preserve">This is not requested for a model like IFS (see description).</t>
  </si>
  <si>
    <t xml:space="preserve">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</si>
  <si>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 xml:space="preserve">tnt</t>
  </si>
  <si>
    <t xml:space="preserve">Tendency of Air Temperature</t>
  </si>
  <si>
    <t xml:space="preserve">K s-1</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</si>
  <si>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</si>
  <si>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tnta</t>
  </si>
  <si>
    <t xml:space="preserve">Tendency of Air Temperature Due to Advection</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</si>
  <si>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</si>
  <si>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Tendency of Air Temperature due to Advection</t>
  </si>
  <si>
    <t xml:space="preserve">tntmp</t>
  </si>
  <si>
    <t xml:space="preserve">Tendency of Air Temperature Due to Model Physics</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</si>
  <si>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</si>
  <si>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</si>
  <si>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 xml:space="preserve">tntscpbl</t>
  </si>
  <si>
    <t xml:space="preserve">Tendency of Air Temperature Due to Stratiform Cloud and Precipitation and Boundary Layer Mixing</t>
  </si>
  <si>
    <t xml:space="preserve">Not available in IFS. This is not requested for a model like IFS (see description).</t>
  </si>
  <si>
    <t xml:space="preserve">Tendency of Air Temperature Due to Stratiform Cloud and Precipitation and Boundary Layer Mixing (to be specified only in  models which do not separate cloud, precipitation and boundary layer terms.  Includes all boundary layer terms including diffusive ones.)</t>
  </si>
  <si>
    <t xml:space="preserve">3hr</t>
  </si>
  <si>
    <t xml:space="preserve">rsdsdiff</t>
  </si>
  <si>
    <t xml:space="preserve">Surface Diffuse Downwelling Shortwave Radiation</t>
  </si>
  <si>
    <t xml:space="preserve">No, probably not. There is a GRIB code: 228242 (=242 in table 228), no idea if it can be used in EC-Earth. Give up this one?</t>
  </si>
  <si>
    <t xml:space="preserve">Gijs &amp; Klaus</t>
  </si>
  <si>
    <t xml:space="preserve">Surface downwelling solar irradiance from diffuse radiation for UV calculations.</t>
  </si>
  <si>
    <t xml:space="preserve">CMIP,HighResMIP,VIACSAB</t>
  </si>
  <si>
    <t xml:space="preserve">SImon</t>
  </si>
  <si>
    <t xml:space="preserve">sifllatstop</t>
  </si>
  <si>
    <t xml:space="preserve">Net Latent Heat Flux over Sea Ice</t>
  </si>
  <si>
    <t xml:space="preserve">Not available in NEMO-LIM. Though potentially possible to provide by NEMO-LIM, but not in the current output of NEMO-LIM.</t>
  </si>
  <si>
    <t xml:space="preserve">David Docquier</t>
  </si>
  <si>
    <t xml:space="preserve">the net latent heat flux over sea ice</t>
  </si>
  <si>
    <t xml:space="preserve">C4MIP,CMIP,DCPP,FAFMIP,GMMIP,GeoMIP,HighResMIP,LS3MIP,PAMIP,PMIP,RFMIP,SIMIP,VIACSAB</t>
  </si>
  <si>
    <t xml:space="preserve">sifllwdtop</t>
  </si>
  <si>
    <t xml:space="preserve">Downwelling Longwave Flux over Sea Ice</t>
  </si>
  <si>
    <t xml:space="preserve">Not available in NEMO-LIM (qns_ice, non-solar heat flux, takes into account longwave, sensible and latent heat fluxes)</t>
  </si>
  <si>
    <t xml:space="preserve">the downwelling longwave flux over sea ice (always positive)</t>
  </si>
  <si>
    <t xml:space="preserve">C4MIP,CMIP,FAFMIP,GMMIP,GeoMIP,HighResMIP,LS3MIP,PMIP,RFMIP,SIMIP,VIACSAB</t>
  </si>
  <si>
    <t xml:space="preserve">sifllwutop</t>
  </si>
  <si>
    <t xml:space="preserve">Upwelling Longwave Flux over Sea Ice</t>
  </si>
  <si>
    <t xml:space="preserve">the upwelling longwave flux over sea ice (always negative)</t>
  </si>
  <si>
    <t xml:space="preserve">siflsenstop</t>
  </si>
  <si>
    <t xml:space="preserve">Net Upward Sensible Heat Flux over Sea Ice</t>
  </si>
  <si>
    <t xml:space="preserve">the net sensible heat flux over sea ice</t>
  </si>
  <si>
    <t xml:space="preserve">siflswutop</t>
  </si>
  <si>
    <t xml:space="preserve">Upwelling Shortwave Flux over Sea Ice</t>
  </si>
  <si>
    <t xml:space="preserve">The upwelling shortwave flux over sea ice (always negative)</t>
  </si>
  <si>
    <t xml:space="preserve">simassacrossline</t>
  </si>
  <si>
    <t xml:space="preserve">siline time</t>
  </si>
  <si>
    <t xml:space="preserve">Sea Mass Area Flux Through Straits</t>
  </si>
  <si>
    <t xml:space="preserve">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</si>
  <si>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 xml:space="preserve">simpconc</t>
  </si>
  <si>
    <t xml:space="preserve">longitude latitude time typemp</t>
  </si>
  <si>
    <t xml:space="preserve">Percentage Cover of Sea 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</si>
  <si>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</si>
  <si>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</si>
  <si>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</si>
  <si>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</si>
  <si>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</si>
  <si>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</si>
  <si>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</si>
  <si>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sirdgconc</t>
  </si>
  <si>
    <t xml:space="preserve">longitude latitude time typesirdg</t>
  </si>
  <si>
    <t xml:space="preserve">Percentage Cover of Sea Ice by Ridging</t>
  </si>
  <si>
    <t xml:space="preserve">Fraction of sea ice, by area, which is covered by sea ice ridges, giving equal weight to every square metre of sea ice .</t>
  </si>
  <si>
    <t xml:space="preserve">sisnconc</t>
  </si>
  <si>
    <t xml:space="preserve">Snow Area Percentage</t>
  </si>
  <si>
    <t xml:space="preserve">Not available in PISCES. Not available in LIM.</t>
  </si>
  <si>
    <t xml:space="preserve">Raffaele Bernardello, David Docquier, Thomas Reerink</t>
  </si>
  <si>
    <t xml:space="preserve">Fraction of sea ice, by area, which is covered by snow, giving equal weight to every square metre of sea ice . Exclude snow that lies on land or land ice.</t>
  </si>
  <si>
    <t xml:space="preserve">C4MIP,CFMIP,CMIP,DAMIP,FAFMIP,GMMIP,GeoMIP,HighResMIP,LS3MIP,PMIP,RFMIP,SIMIP,VIACSAB</t>
  </si>
  <si>
    <t xml:space="preserve">CFmon</t>
  </si>
  <si>
    <t xml:space="preserve">clc</t>
  </si>
  <si>
    <t xml:space="preserve">longitude latitude alevel time</t>
  </si>
  <si>
    <t xml:space="preserve">Convective Cloud Area Percentage</t>
  </si>
  <si>
    <t xml:space="preserve">Include only convective cloud.</t>
  </si>
  <si>
    <t xml:space="preserve">AerChemMIP,CFMIP,DAMIP,GeoMIP,HighResMIP,PMIP</t>
  </si>
  <si>
    <t xml:space="preserve">AerChemMIP,CFMIP,DAMIP,HighResMIP,RFMIP,VIACSAB</t>
  </si>
  <si>
    <t xml:space="preserve">AerChemMIP,CFMIP,DAMIP,HighResMIP,PMIP,RFMIP,VIACSAB</t>
  </si>
  <si>
    <t xml:space="preserve">cls</t>
  </si>
  <si>
    <t xml:space="preserve">Percentage Cover of Stratiform Cloud</t>
  </si>
  <si>
    <t xml:space="preserve">Not available in IFS. This can not just be linked with one of these layers: grib 128.186, 128.187 or 128.188</t>
  </si>
  <si>
    <t xml:space="preserve">'Layer'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'X_area' means the horizontal area occupied by X within the grid cell. Cloud area fraction is also called 'cloud amount' and 'cloud cover'. In an atmosphere model, stratiform cloud is that produced by large-scale convergence (not the convection schemes).</t>
  </si>
  <si>
    <t xml:space="preserve">AerChemMIP,CFMIP,GeoMIP,HighResMIP,PMIP</t>
  </si>
  <si>
    <t xml:space="preserve">AerChemMIP,CFMIP,DAMIP,GeoMIP,HighResMIP</t>
  </si>
  <si>
    <t xml:space="preserve">mcu</t>
  </si>
  <si>
    <t xml:space="preserve">Convective Updraft Mass Flux</t>
  </si>
  <si>
    <t xml:space="preserve">Not available in IFS. This can not just be linked with one of these layers: grib 128.186, 128.187 or 128.189</t>
  </si>
  <si>
    <t xml:space="preserve">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</si>
  <si>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 xml:space="preserve">AerChemMIP,CFMIP,CMIP,DAMIP,GeoMIP,HighResMIP,PMIP,VIACSAB</t>
  </si>
  <si>
    <t xml:space="preserve">rld4co2</t>
  </si>
  <si>
    <t xml:space="preserve">Downwelling Longwave Radiation 4XCO2 Atmosphere</t>
  </si>
  <si>
    <t xml:space="preserve">--why 4XCO2 label - data request error?</t>
  </si>
  <si>
    <t xml:space="preserve">Downwelling longwave radiation calculated using carbon dioxide concentrations increased fourfold (includes the fluxes at the surface and TOA)</t>
  </si>
  <si>
    <t xml:space="preserve">AerChemMIP,CFMIP,HighResMIP</t>
  </si>
  <si>
    <t xml:space="preserve">rldcs4co2</t>
  </si>
  <si>
    <t xml:space="preserve">Downwelling Clear-Sky Longwave Radiation 4XCO2 Atmosphere</t>
  </si>
  <si>
    <t xml:space="preserve">Downwelling clear-sky longwave radiation calculated using carbon dioxide concentrations increased fourfold (includes the fluxes at the surface and TOA)</t>
  </si>
  <si>
    <t xml:space="preserve">rlu4co2</t>
  </si>
  <si>
    <t xml:space="preserve">Upwelling Longwave Radiation 4XCO2 Atmosphere</t>
  </si>
  <si>
    <t xml:space="preserve">Upwelling longwave radiation calculated using carbon dioxide concentrations increased fourfold (includes the fluxes at the surface and TOA)</t>
  </si>
  <si>
    <t xml:space="preserve">rlucs4co2</t>
  </si>
  <si>
    <t xml:space="preserve">Upwelling Clear-Sky Longwave Radiation 4XCO2 Atmosphere</t>
  </si>
  <si>
    <t xml:space="preserve">Upwelling clear-sky longwave radiation calculated using carbon dioxide concentrations increased fourfold (includes the fluxes at the surface and TOA)</t>
  </si>
  <si>
    <t xml:space="preserve">rlut4co2</t>
  </si>
  <si>
    <t xml:space="preserve">TOA Outgoing Longwave Radiation 4XCO2 Atmosphere</t>
  </si>
  <si>
    <t xml:space="preserve">Top-of-atmosphere outgoing longwave radiation calculated using carbon dioxide concentrations increased fourfold</t>
  </si>
  <si>
    <t xml:space="preserve">AerChemMIP,CFMIP,HighResMIP,VIACSAB</t>
  </si>
  <si>
    <t xml:space="preserve">rlutcs4co2</t>
  </si>
  <si>
    <t xml:space="preserve">TOA Outgoing Clear-Sky Longwave Radiation 4XCO2 Atmosphere</t>
  </si>
  <si>
    <t xml:space="preserve">Top-of-atmosphere outgoing clear-sky longwave radiation calculated using carbon dioxide concentrations increased fourfold</t>
  </si>
  <si>
    <t xml:space="preserve">rsd4co2</t>
  </si>
  <si>
    <t xml:space="preserve">Downwelling Shortwave Radiation 4XCO2 Atmosphere</t>
  </si>
  <si>
    <t xml:space="preserve">Downwelling shortwave radiation calculated using carbon dioxide concentrations increased fourfold</t>
  </si>
  <si>
    <t xml:space="preserve">rsdcs4co2</t>
  </si>
  <si>
    <t xml:space="preserve">Downwelling Clear-Sky Shortwave Radiation 4XCO2 Atmosphere</t>
  </si>
  <si>
    <t xml:space="preserve">Downwelling clear-sky shortwave radiation calculated using carbon dioxide concentrations increased fourfold</t>
  </si>
  <si>
    <t xml:space="preserve">rsu4co2</t>
  </si>
  <si>
    <t xml:space="preserve">Upwelling Shortwave Radiation 4XCO2 Atmosphere</t>
  </si>
  <si>
    <t xml:space="preserve">Upwelling Shortwave Radiation calculated using carbon dioxide concentrations increased fourfold</t>
  </si>
  <si>
    <t xml:space="preserve">rsucs4co2</t>
  </si>
  <si>
    <t xml:space="preserve">Upwelling Clear-Sky Shortwave Radiation 4XCO2 Atmosphere</t>
  </si>
  <si>
    <t xml:space="preserve">Upwelling clear-sky shortwave radiation calculated using carbon dioxide concentrations increased fourfold</t>
  </si>
  <si>
    <t xml:space="preserve">rsut4co2</t>
  </si>
  <si>
    <t xml:space="preserve">TOA Outgoing Shortwave Radiation in 4XCO2 Atmosphere</t>
  </si>
  <si>
    <t xml:space="preserve">TOA Outgoing Shortwave Radiation calculated using carbon dioxide concentrations increased fourfold</t>
  </si>
  <si>
    <t xml:space="preserve">rsutcs4co2</t>
  </si>
  <si>
    <t xml:space="preserve">TOA Outgoing Clear-Sky Shortwave Radiation 4XCO2 Atmosphere</t>
  </si>
  <si>
    <t xml:space="preserve">TOA Outgoing Clear-Sky Shortwave Radiation calculated using carbon dioxide concentrations increased fourfold</t>
  </si>
  <si>
    <t xml:space="preserve">Omon</t>
  </si>
  <si>
    <t xml:space="preserve">AerChemMIP,C4MIP,CMIP,GMMIP,GeoMIP,HighResMIP,LS3MIP,OMIP</t>
  </si>
  <si>
    <t xml:space="preserve">AerChemMIP,C4MIP,GMMIP,GeoMIP,OMIP</t>
  </si>
  <si>
    <t xml:space="preserve">AerChemMIP,C4MIP,CMIP,GMMIP,GeoMIP,LUMIP,OMIP,PMIP</t>
  </si>
  <si>
    <t xml:space="preserve">dissi13cos</t>
  </si>
  <si>
    <t xml:space="preserve">Surface Dissolved Inorganic Carbon-13 Concentration</t>
  </si>
  <si>
    <t xml:space="preserve">Near surface dissolved inorganic carbon-13 (CO3+HCO3+H2CO3) concentration</t>
  </si>
  <si>
    <t xml:space="preserve">AerChemMIP,C4MIP,CMIP,GMMIP,GeoMIP,HighResMIP,LS3MIP,OMIP,PMIP</t>
  </si>
  <si>
    <t xml:space="preserve">AerChemMIP,C4MIP,DAMIP,GMMIP,GeoMIP,OMIP</t>
  </si>
  <si>
    <t xml:space="preserve">dissi14cabioos</t>
  </si>
  <si>
    <t xml:space="preserve">Surface Abiotic Dissolved Inorganic Carbon-14 Concentration</t>
  </si>
  <si>
    <t xml:space="preserve">AerChemMIP,C4MIP,CMIP,DAMIP,GMMIP,GeoMIP,OMIP</t>
  </si>
  <si>
    <t xml:space="preserve">dissicabioos</t>
  </si>
  <si>
    <t xml:space="preserve">Surface Abiotic Dissolved Inorganic Carbon Concentration</t>
  </si>
  <si>
    <t xml:space="preserve">AerChemMIP,C4MIP,CMIP,GMMIP,GeoMIP,HighResMIP,LS3MIP,LUMIP,OMIP</t>
  </si>
  <si>
    <t xml:space="preserve">eparag100</t>
  </si>
  <si>
    <t xml:space="preserve">longitude latitude time depth100m</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</si>
  <si>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</si>
  <si>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 xml:space="preserve">AerChemMIP,C4MIP,CMIP,DAMIP,GMMIP,GeoMIP,HighResMIP,LS3MIP,OMIP,VIACSAB</t>
  </si>
  <si>
    <t xml:space="preserve">epn100</t>
  </si>
  <si>
    <t xml:space="preserve">Downward Flux of Particulate Nitrogen</t>
  </si>
  <si>
    <t xml:space="preserve">epp100</t>
  </si>
  <si>
    <t xml:space="preserve">Downward Flux of Particulate Phosphorus</t>
  </si>
  <si>
    <t xml:space="preserve">fbddtalk</t>
  </si>
  <si>
    <t xml:space="preserve">longitude latitude time olayer100m</t>
  </si>
  <si>
    <t xml:space="preserve">Rate of Change of Biological Alkalinity Due to Biological Activity</t>
  </si>
  <si>
    <t xml:space="preserve">vertical integral of net biological terms in time rate of change of alkalinity</t>
  </si>
  <si>
    <t xml:space="preserve">fbddtdic</t>
  </si>
  <si>
    <t xml:space="preserve">vertical integral of net biological terms in time rate of change of dissolved inorganic carbon</t>
  </si>
  <si>
    <t xml:space="preserve">AerChemMIP,C4MIP,CMIP,GMMIP,GeoMIP,HighResMIP,LS3MIP,OMIP,VIACSAB</t>
  </si>
  <si>
    <t xml:space="preserve">fbddtdife</t>
  </si>
  <si>
    <t xml:space="preserve">vertical integral of net biological terms in time rate of change of dissolved inorganic iron</t>
  </si>
  <si>
    <t xml:space="preserve">fbddtdin</t>
  </si>
  <si>
    <t xml:space="preserve">Rate of Change of Dissolved Inorganic Nitrogen Due to Biological Activity</t>
  </si>
  <si>
    <t xml:space="preserve">vertical integral of net biological terms in time rate of change of nitrogen nutrients (e.g. NO3+NH4)</t>
  </si>
  <si>
    <t xml:space="preserve">fbddtdip</t>
  </si>
  <si>
    <t xml:space="preserve">Rate of Change of Dissolved Inorganic Phosphorus due to Biological Activity</t>
  </si>
  <si>
    <t xml:space="preserve">vertical integral of net biological terms in time rate of change of phosphate</t>
  </si>
  <si>
    <t xml:space="preserve">fbddtdisi</t>
  </si>
  <si>
    <t xml:space="preserve">Rate of Change of Dissolved Inorganic Silicon due to Biological Activity</t>
  </si>
  <si>
    <t xml:space="preserve">vertical integral of net biological terms in time rate of change of dissolved inorganic silicate</t>
  </si>
  <si>
    <t xml:space="preserve">fddtalk</t>
  </si>
  <si>
    <t xml:space="preserve">Rate of Change of Total Alkalinity</t>
  </si>
  <si>
    <t xml:space="preserve">vertical integral of net time rate of change of alkalinity</t>
  </si>
  <si>
    <t xml:space="preserve">fddtdic</t>
  </si>
  <si>
    <t xml:space="preserve">Rate of Change of Net Dissolved Inorganic Carbon</t>
  </si>
  <si>
    <t xml:space="preserve">'Content'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</si>
  <si>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 xml:space="preserve">fddtdife</t>
  </si>
  <si>
    <t xml:space="preserve">Rate of Change of Net Dissolved Inorganic Iron</t>
  </si>
  <si>
    <t xml:space="preserve">vertical integral of net time rate of change of dissolved inorganic iron</t>
  </si>
  <si>
    <t xml:space="preserve">fddtdin</t>
  </si>
  <si>
    <t xml:space="preserve">Rate of Change of Net Dissolved Inorganic Nitrogen</t>
  </si>
  <si>
    <t xml:space="preserve">Net time rate of change of nitrogen nutrients (e.g. NO3+NH4)</t>
  </si>
  <si>
    <t xml:space="preserve">fddtdip</t>
  </si>
  <si>
    <t xml:space="preserve">Rate of Change of Net Dissolved Inorganic Phosphorus</t>
  </si>
  <si>
    <t xml:space="preserve">vertical integral of net  time rate of change of phosphate</t>
  </si>
  <si>
    <t xml:space="preserve">fddtdisi</t>
  </si>
  <si>
    <t xml:space="preserve">Rate of Change of Net Dissolved Inorganic Silicon</t>
  </si>
  <si>
    <t xml:space="preserve">vertical integral of net time rate of change of dissolved inorganic silicate</t>
  </si>
  <si>
    <t xml:space="preserve">longitude latitude time depth0m</t>
  </si>
  <si>
    <t xml:space="preserve">AerChemMIP,C4MIP,CMIP,GMMIP,GeoMIP,HighResMIP,LS3MIP,LUMIP,OMIP,PMIP</t>
  </si>
  <si>
    <t xml:space="preserve">fgdms</t>
  </si>
  <si>
    <t xml:space="preserve">Surface Upward Flux of DMS</t>
  </si>
  <si>
    <t xml:space="preserve">Gas exchange flux of DMS (positive into atmosphere)</t>
  </si>
  <si>
    <t xml:space="preserve">ficeberg</t>
  </si>
  <si>
    <t xml:space="preserve">Water Flux into Sea Water from Icebergs</t>
  </si>
  <si>
    <t xml:space="preserve">computed as the iceberg melt water  flux into the ocean divided by the area of the ocean portion of the grid cell.</t>
  </si>
  <si>
    <t xml:space="preserve">AerChemMIP,C4MIP,CMIP,GMMIP,GeoMIP,HighResMIP,ISMIP6,LS3MIP,OMIP,VolMIP</t>
  </si>
  <si>
    <t xml:space="preserve">frfe</t>
  </si>
  <si>
    <t xml:space="preserve">Iron Loss to Sediments</t>
  </si>
  <si>
    <t xml:space="preserve">'Content'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</si>
  <si>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 xml:space="preserve">hfbasinpadv</t>
  </si>
  <si>
    <t xml:space="preserve">latitude basin time</t>
  </si>
  <si>
    <t xml:space="preserve">Northward Ocean Heat Transport Due to Parameterized Eddy Advection</t>
  </si>
  <si>
    <t xml:space="preserve">W</t>
  </si>
  <si>
    <t xml:space="preserve">check sophteiv</t>
  </si>
  <si>
    <t xml:space="preserve">Contributions to heat transport from parameterized eddy-induced advective transport due to any subgrid advective process. Diagnosed here as a function of latitude and basin.  Use Celsius for temperature scale.</t>
  </si>
  <si>
    <t xml:space="preserve">AerChemMIP,C4MIP,CMIP,DAMIP,GMMIP,GeoMIP,HighResMIP,LS3MIP,OMIP</t>
  </si>
  <si>
    <t xml:space="preserve">hfbasinpmdiff</t>
  </si>
  <si>
    <t xml:space="preserve">Northward Ocean Heat Transport Due to Parameterized Mesoscale Diffusion</t>
  </si>
  <si>
    <t xml:space="preserve">we have diffusive heat transport but it includes all diffusive contributions, not only mesoscale</t>
  </si>
  <si>
    <t xml:space="preserve">Contributions to heat transport from parameterized mesoscale eddy-induced diffusive transport (i.e., neutral diffusion). Diagnosed here as a function of latitude and basin.</t>
  </si>
  <si>
    <t xml:space="preserve">hfbasinpsmadv</t>
  </si>
  <si>
    <t xml:space="preserve">Northward Ocean Heat Transport Due to Parameterized Submesoscale Advection</t>
  </si>
  <si>
    <t xml:space="preserve">Not available in NEMO-OPA before CMIP6 starts.</t>
  </si>
  <si>
    <t xml:space="preserve">Contributions to heat transport from parameterized mesoscale eddy-induced advective transport. Diagnosed here as a function of latitude and basin.  Use Celsius for temperature scale.</t>
  </si>
  <si>
    <t xml:space="preserve">hfibthermds</t>
  </si>
  <si>
    <t xml:space="preserve">Heat Flux into Sea Water Due to Iceberg Thermodynamics</t>
  </si>
  <si>
    <t xml:space="preserve">Not available in NEMO-OPA.  #387 and issue 595 at e-earth portal</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</si>
  <si>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</si>
  <si>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 xml:space="preserve">AerChemMIP,C4MIP,CMIP,GMMIP,GeoMIP,HighResMIP,LS3MIP,OMIP,VolMIP</t>
  </si>
  <si>
    <t xml:space="preserve">hfsifrazil</t>
  </si>
  <si>
    <t xml:space="preserve">Heat Flux into Sea Water Due to Frazil Ice Formation</t>
  </si>
  <si>
    <t xml:space="preserve">Not available in NEMO-LIM, not in NEMO anywhere</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</si>
  <si>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</si>
  <si>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 xml:space="preserve">AerChemMIP,C4MIP,CMIP,DAMIP,GMMIP,GeoMIP,HighResMIP,LS3MIP,OMIP,VolMIP</t>
  </si>
  <si>
    <t xml:space="preserve">hfsifrazil2d</t>
  </si>
  <si>
    <t xml:space="preserve">intparag</t>
  </si>
  <si>
    <t xml:space="preserve">Not available in NEMO-OPA. Not available in PISCES.</t>
  </si>
  <si>
    <t xml:space="preserve">Vertically integrated aragonite production</t>
  </si>
  <si>
    <t xml:space="preserve">intppdiaz</t>
  </si>
  <si>
    <t xml:space="preserve">Not available: INTNFIX is the production by Diazotrophs but they do not contribute to carbon so I think this one is missing. </t>
  </si>
  <si>
    <t xml:space="preserve">Raffaele Bernardello, Thomas</t>
  </si>
  <si>
    <t xml:space="preserve">Vertically integrated primary (organic carbon) production by the diazotrophs alone</t>
  </si>
  <si>
    <t xml:space="preserve">intpppico</t>
  </si>
  <si>
    <t xml:space="preserve">Vertically integrated primary (organic carbon) production by the picophytoplankton component alone</t>
  </si>
  <si>
    <t xml:space="preserve">mfo</t>
  </si>
  <si>
    <t xml:space="preserve">oline time</t>
  </si>
  <si>
    <t xml:space="preserve">Sea Water Transport</t>
  </si>
  <si>
    <t xml:space="preserve">Transport across_line means that which crosses a particular line on the Earth's surface; formally this means the integral along the line of the normal component of the transport.</t>
  </si>
  <si>
    <t xml:space="preserve">AerChemMIP,C4MIP,CMIP,GMMIP,GeoMIP,HighResMIP,LS3MIP,OMIP,VIACSAB,VolMIP</t>
  </si>
  <si>
    <t xml:space="preserve">msftmrho</t>
  </si>
  <si>
    <t xml:space="preserve">latitude rho basin time</t>
  </si>
  <si>
    <t xml:space="preserve">Ocean Meridional Overturning Mass Streamfunction</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</si>
  <si>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</si>
  <si>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Overturning mass streamfunction arising from all advective mass transport processes, resolved and parameterized.</t>
  </si>
  <si>
    <t xml:space="preserve">msftmrhompa</t>
  </si>
  <si>
    <t xml:space="preserve">Ocean Meridional Overturning Mass Streamfunction Due to Parameterized Mesoscale Advection</t>
  </si>
  <si>
    <t xml:space="preserve">Not available in NEMO-OPA before CMIP6 starts. There are bolus mass transports and velocity (Eddy-Induced-Velocity EIV) but no streamfunctions.</t>
  </si>
  <si>
    <t xml:space="preserve">CMIP5 called this 'due to Bolus Advection'.  Name change respects the more general physics of the mesoscale parameterizations.</t>
  </si>
  <si>
    <t xml:space="preserve">msftmz</t>
  </si>
  <si>
    <t xml:space="preserve">latitude olevel basin time</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</si>
  <si>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</si>
  <si>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</si>
  <si>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AerChemMIP,C4MIP,CMIP,DAMIP,DCPP,GMMIP,GeoMIP,HighResMIP,LS3MIP,OMIP,PAMIP,VolMIP</t>
  </si>
  <si>
    <t xml:space="preserve">msftmzmpa</t>
  </si>
  <si>
    <t xml:space="preserve">AerChemMIP,C4MIP,CMIP,DAMIP,DCPP,GMMIP,GeoMIP,HighResMIP,LS3MIP,OMIP,PAMIP</t>
  </si>
  <si>
    <t xml:space="preserve">msftmzsmpa</t>
  </si>
  <si>
    <t xml:space="preserve">Ocean Meridional Overturning Mass Streamfunction Due to Parameterized Submesoscale Advection</t>
  </si>
  <si>
    <t xml:space="preserve">Report only if there is a submesoscale eddy parameterization.</t>
  </si>
  <si>
    <t xml:space="preserve">msftyrho</t>
  </si>
  <si>
    <t xml:space="preserve">gridlatitude rho basin time</t>
  </si>
  <si>
    <t xml:space="preserve">Ocean Y Overturning Mass Streamfunction</t>
  </si>
  <si>
    <t xml:space="preserve">Not available in NEMO-OPA before CMIP6 starts. NEMO-OPA - I guess it's the same as above only rotated in case y does not align exactly with north-south direction.</t>
  </si>
  <si>
    <t xml:space="preserve">msftyrhompa</t>
  </si>
  <si>
    <t xml:space="preserve">Ocean Y Overturning Mass Streamfunction Due to Parameterized Mesoscale Advection</t>
  </si>
  <si>
    <t xml:space="preserve">msftyzmpa</t>
  </si>
  <si>
    <t xml:space="preserve">gridlatitude olevel basin time</t>
  </si>
  <si>
    <t xml:space="preserve">msftyzsmpa</t>
  </si>
  <si>
    <t xml:space="preserve">Ocean Y Overturning Mass Streamfunction Due to Parameterized Submesoscale Advection</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</si>
  <si>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</si>
  <si>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o2satos</t>
  </si>
  <si>
    <t xml:space="preserve">Surface Dissolved Oxygen Concentration at Saturation</t>
  </si>
  <si>
    <t xml:space="preserve">'Mole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</si>
  <si>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 xml:space="preserve">sfriver</t>
  </si>
  <si>
    <t xml:space="preserve">Salt Flux into Sea Water from Rivers</t>
  </si>
  <si>
    <t xml:space="preserve">Not available in NEMO-OPA, i.e. it makes no sence to make it availble because it is zero. It looks like it is assumed zero in NEMO, not 100% sure though.</t>
  </si>
  <si>
    <t xml:space="preserve">This field is physical, and it arises when rivers carry a nonzero salt content.  Often this is zero, with rivers assumed to be fresh.</t>
  </si>
  <si>
    <t xml:space="preserve">spco2abio</t>
  </si>
  <si>
    <t xml:space="preserve">Abiotic Surface Aqueous Partial Pressure of CO2</t>
  </si>
  <si>
    <t xml:space="preserve">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</si>
  <si>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spco2nat</t>
  </si>
  <si>
    <t xml:space="preserve">Natural Surface Aqueous Partial Pressure of CO2</t>
  </si>
  <si>
    <t xml:space="preserve">Will be only for OMIP manually added: 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</si>
  <si>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</si>
  <si>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tauucorr</t>
  </si>
  <si>
    <t xml:space="preserve">Surface Downward X Stress Correction</t>
  </si>
  <si>
    <t xml:space="preserve">N m-2</t>
  </si>
  <si>
    <t xml:space="preserve">This is the stress on the liquid ocean from overlying atmosphere, sea ice, ice shelf, etc.</t>
  </si>
  <si>
    <t xml:space="preserve">tauvcorr</t>
  </si>
  <si>
    <t xml:space="preserve">Surface Downward Y Stress Correction</t>
  </si>
  <si>
    <t xml:space="preserve">CMIP,HighResMIP,LS3MIP</t>
  </si>
  <si>
    <t xml:space="preserve">vsf</t>
  </si>
  <si>
    <t xml:space="preserve">Virtual Salt Flux into Sea Water</t>
  </si>
  <si>
    <t xml:space="preserve">It is set to zero in models which receive a real water flux.</t>
  </si>
  <si>
    <t xml:space="preserve">AerChemMIP,C4MIP,CMIP,DCPP,GMMIP,GeoMIP,HighResMIP,LS3MIP,OMIP,PAMIP,VIACSAB</t>
  </si>
  <si>
    <t xml:space="preserve">vsfcorr</t>
  </si>
  <si>
    <t xml:space="preserve">Virtual Salt Flux Correction</t>
  </si>
  <si>
    <t xml:space="preserve">vsfevap</t>
  </si>
  <si>
    <t xml:space="preserve">Virtual Salt Flux into Sea Water Due to Evaporation</t>
  </si>
  <si>
    <t xml:space="preserve">zero for models using real water fluxes.</t>
  </si>
  <si>
    <t xml:space="preserve">vsfpr</t>
  </si>
  <si>
    <t xml:space="preserve">Virtual Salt Flux into Sea Water Due to Rainfall</t>
  </si>
  <si>
    <t xml:space="preserve">vsfriver</t>
  </si>
  <si>
    <t xml:space="preserve">Virtual Salt Flux into Sea Water from Rivers</t>
  </si>
  <si>
    <t xml:space="preserve">AerChemMIP,C4MIP,CFMIP,CMIP,DAMIP,GMMIP,GeoMIP,HighResMIP,LS3MIP,OMIP,VIACSAB</t>
  </si>
  <si>
    <t xml:space="preserve">zsatarag</t>
  </si>
  <si>
    <t xml:space="preserve">Aragonite Saturation Depth</t>
  </si>
  <si>
    <t xml:space="preserve">Depth of aragonite saturation horizon (0 if undersaturated at all depths, 'missing' if supersaturated at all depths; if multiple horizons exist, the shallowest should be taken).</t>
  </si>
  <si>
    <t xml:space="preserve">AerChemMIP,C4MIP,CDRMIP,CMIP,GMMIP,GeoMIP,HighResMIP,LS3MIP,OMIP,VIACSAB</t>
  </si>
  <si>
    <t xml:space="preserve">zsatcalc</t>
  </si>
  <si>
    <t xml:space="preserve">Calcite Saturation Depth</t>
  </si>
  <si>
    <t xml:space="preserve">Depth of calcite saturation horizon (0 if undersaturated at all depths, and missing saturated through whole depth; if two or more horizons exist, then the shallowest is reported)</t>
  </si>
  <si>
    <t xml:space="preserve">EmonZ</t>
  </si>
  <si>
    <t xml:space="preserve">DAMIP,DCPP,DynVar,HighResMIP,PAMIP,VolMIP</t>
  </si>
  <si>
    <t xml:space="preserve">jo2</t>
  </si>
  <si>
    <t xml:space="preserve">Photolysis Rate of Diatomic Molecular Oxygen</t>
  </si>
  <si>
    <t xml:space="preserve">Not available. Not available in IFS. Not available in TM5.</t>
  </si>
  <si>
    <t xml:space="preserve">Rate of photolysis of molecular oxygen to atomic oxygen (o2 -&gt; o1d+o)</t>
  </si>
  <si>
    <t xml:space="preserve">DAMIP</t>
  </si>
  <si>
    <t xml:space="preserve">jo3</t>
  </si>
  <si>
    <t xml:space="preserve">Photolysis Rate of Ozone (O3)</t>
  </si>
  <si>
    <t xml:space="preserve">Not available. Not available in IFS. TM5 can produce this, but not in stratosphere. So skip.</t>
  </si>
  <si>
    <t xml:space="preserve">Sum of photolysis rates o3 -&gt; o1d+o2 and o3 -&gt; o+o2</t>
  </si>
  <si>
    <t xml:space="preserve">oxloss</t>
  </si>
  <si>
    <t xml:space="preserve">Total Odd Oxygen (Ox) Loss Rate</t>
  </si>
  <si>
    <t xml:space="preserve">total chemical loss rate for o+o1d+o3</t>
  </si>
  <si>
    <t xml:space="preserve">oxprod</t>
  </si>
  <si>
    <t xml:space="preserve">Total Odd Oxygen (Ox) Production Rate</t>
  </si>
  <si>
    <t xml:space="preserve">total production rate of o+o1d+o3 including o2 photolysis and all o3 producing reactions</t>
  </si>
  <si>
    <t xml:space="preserve">DynVar,VolMIP</t>
  </si>
  <si>
    <t xml:space="preserve">tntrl</t>
  </si>
  <si>
    <t xml:space="preserve">Tendency of Air Temperature Due to Longwave Radiative Heating</t>
  </si>
  <si>
    <t xml:space="preserve">Not available in IFS output without additional effort. Only total heating rate due to radiation.</t>
  </si>
  <si>
    <t xml:space="preserve">Tendency of air temperature due to longwave radiative heating</t>
  </si>
  <si>
    <t xml:space="preserve">tntrlcs</t>
  </si>
  <si>
    <t xml:space="preserve">Tendency of Air Temperature Due to Clear Sky Longwave Radiative Heating</t>
  </si>
  <si>
    <t xml:space="preserve">Tendency of Air Temperature due to Clear Sky Longwave Radiative Heating</t>
  </si>
  <si>
    <t xml:space="preserve">tntrs</t>
  </si>
  <si>
    <t xml:space="preserve">Tendency of Air Temperature Due to Shortwave Radiative Heating</t>
  </si>
  <si>
    <t xml:space="preserve">Tendency of air temperature due to shortwave radiative heating</t>
  </si>
  <si>
    <t xml:space="preserve">tntrscs</t>
  </si>
  <si>
    <t xml:space="preserve">Tendency of Air Temperature Due to Clear Sky Shortwave Radiative Heating</t>
  </si>
  <si>
    <t xml:space="preserve">Tendency of Air Temperature due to Clear Sky Shortwave Radiative Heating</t>
  </si>
  <si>
    <t xml:space="preserve">tntscp</t>
  </si>
  <si>
    <t xml:space="preserve">Tendency of Air Temperature Due to Stratiform Clouds and Precipitation</t>
  </si>
  <si>
    <t xml:space="preserve">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</si>
  <si>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 xml:space="preserve">HighResMIP</t>
  </si>
  <si>
    <t xml:space="preserve">vmrox</t>
  </si>
  <si>
    <t xml:space="preserve">Mole Fraction of Odd Oxygen (O, O3 and O1D)</t>
  </si>
  <si>
    <t xml:space="preserve">mol mol-1</t>
  </si>
  <si>
    <t xml:space="preserve">Mole Fraction of Ox</t>
  </si>
  <si>
    <t xml:space="preserve">zmtnt</t>
  </si>
  <si>
    <t xml:space="preserve">Zonal Mean Diabatic Heating Rates</t>
  </si>
  <si>
    <t xml:space="preserve">Not available. Not available in IFS.</t>
  </si>
  <si>
    <t xml:space="preserve">The diabatic heating rates due to all the processes that may change potential temperature</t>
  </si>
  <si>
    <t xml:space="preserve">Amon</t>
  </si>
  <si>
    <t xml:space="preserve">AerChemMIP,C4MIP,CFMIP,CMIP,DAMIP,FAFMIP,GMMIP,GeoMIP,HighResMIP,LS3MIP,LUMIP,RFMIP,VolMIP</t>
  </si>
  <si>
    <t xml:space="preserve">AerChemMIP,C4MIP,CFMIP,CMIP,DAMIP,FAFMIP,GMMIP,GeoMIP,HighResMIP,ISMIP6,LS3MIP,LUMIP,PMIP,RFMIP,VIACSAB,VolMIP</t>
  </si>
  <si>
    <t xml:space="preserve">co2</t>
  </si>
  <si>
    <t xml:space="preserve">longitude latitude plev19 time</t>
  </si>
  <si>
    <t xml:space="preserve">Mole Fraction of CO2</t>
  </si>
  <si>
    <t xml:space="preserve">Not available in TM5. CO2 only transported in C-Cycle version, unclear if it is needed as output from TM5?</t>
  </si>
  <si>
    <t xml:space="preserve">Mole fraction is used in the construction mole_fraction_of_X_in_Y, where X is a material constituent of Y.</t>
  </si>
  <si>
    <t xml:space="preserve">AerChemMIP,C4MIP,CFMIP,CMIP,DAMIP,FAFMIP,GMMIP,GeoMIP,HighResMIP,LS3MIP,LUMIP,PMIP,RFMIP,VolMIP</t>
  </si>
  <si>
    <t xml:space="preserve">co2Clim</t>
  </si>
  <si>
    <t xml:space="preserve">longitude latitude plev19 time2</t>
  </si>
  <si>
    <t xml:space="preserve">Not available in either IFS or TM5. With a lot of effort co2 output could be implemented in TM5, but on costs of performance. Moreover more issues remain in that case with this variable because it is in fact only requested in certain cases.</t>
  </si>
  <si>
    <t xml:space="preserve">co2mass</t>
  </si>
  <si>
    <t xml:space="preserve">time</t>
  </si>
  <si>
    <t xml:space="preserve">Total Atmospheric Mass of CO2</t>
  </si>
  <si>
    <t xml:space="preserve">kg</t>
  </si>
  <si>
    <t xml:space="preserve">Total atmospheric mass of Carbon Dioxide</t>
  </si>
  <si>
    <t xml:space="preserve">AerChemMIP,C4MIP,CDRMIP,CFMIP,CMIP,DAMIP,FAFMIP,GMMIP,GeoMIP,HighResMIP,LS3MIP,LUMIP,PMIP,RFMIP,VolMIP</t>
  </si>
  <si>
    <t xml:space="preserve">co2massClim</t>
  </si>
  <si>
    <t xml:space="preserve">time2</t>
  </si>
  <si>
    <t xml:space="preserve">AerChemMIP,C4MIP,CMIP,DAMIP,FAFMIP,GMMIP,GeoMIP,HighResMIP,LS3MIP,LUMIP,RFMIP,VIACSAB,VolMIP</t>
  </si>
  <si>
    <t xml:space="preserve">AerChemMIP,C4MIP,CFMIP,CMIP,DAMIP,FAFMIP,GMMIP,GeoMIP,HighResMIP,LS3MIP,LUMIP,RFMIP,VIACSAB,VolMIP</t>
  </si>
  <si>
    <t xml:space="preserve">n2o</t>
  </si>
  <si>
    <t xml:space="preserve">Mole Fraction of N2O</t>
  </si>
  <si>
    <t xml:space="preserve">Component not available in TM5. It is one of the prescribed greenhouse gases in IFS. WMO grib code: 210063, but not available in IFS output.</t>
  </si>
  <si>
    <t xml:space="preserve">Tommi Bergman</t>
  </si>
  <si>
    <t xml:space="preserve">Mole fraction is used in the construction mole_fraction_of_X_in_Y, where X is a material constituent of Y.   The chemical formula of  nitrous oxide is N2O.</t>
  </si>
  <si>
    <t xml:space="preserve">n2oClim</t>
  </si>
  <si>
    <t xml:space="preserve">Not available in the AOGCM, neither in TM5.</t>
  </si>
  <si>
    <t xml:space="preserve">Twan, Tommi Bergman</t>
  </si>
  <si>
    <t xml:space="preserve">n2oglobal</t>
  </si>
  <si>
    <t xml:space="preserve">Global Mean Mole Fraction of N2O</t>
  </si>
  <si>
    <t xml:space="preserve">1e-09</t>
  </si>
  <si>
    <t xml:space="preserve">Global mean Nitrous Oxide (N2O)</t>
  </si>
  <si>
    <t xml:space="preserve">n2oglobalClim</t>
  </si>
  <si>
    <t xml:space="preserve">AerChemMIP,C4MIP,CFMIP,CMIP,DAMIP,FAFMIP,GMMIP,GeoMIP,HighResMIP,ISMIP6,LS3MIP,LUMIP,RFMIP,VIACSAB,VolMIP</t>
  </si>
  <si>
    <t xml:space="preserve">6hrPlev</t>
  </si>
  <si>
    <t xml:space="preserve">prhmax</t>
  </si>
  <si>
    <t xml:space="preserve">Maximum Hourly Precipitation Rate</t>
  </si>
  <si>
    <t xml:space="preserve">In accordance with common usage in geophysical disciplines, 'flux' implies per unit area, called 'flux density' in physics.</t>
  </si>
  <si>
    <t xml:space="preserve">DCPP,PAMIP</t>
  </si>
  <si>
    <t xml:space="preserve">wsgmax100m</t>
  </si>
  <si>
    <t xml:space="preserve">longitude latitude time height100m</t>
  </si>
  <si>
    <t xml:space="preserve">Maximum Wind Speed of Gust at 100m</t>
  </si>
  <si>
    <t xml:space="preserve">Wind speed gust maximum at 100m above surface</t>
  </si>
  <si>
    <t xml:space="preserve">VIACSAB</t>
  </si>
  <si>
    <t xml:space="preserve">AERmon</t>
  </si>
  <si>
    <t xml:space="preserve">aoanh</t>
  </si>
  <si>
    <t xml:space="preserve">Northern Hemisphere Tracer Lifetime</t>
  </si>
  <si>
    <t xml:space="preserve">yr</t>
  </si>
  <si>
    <t xml:space="preserve">Component not available in TM5</t>
  </si>
  <si>
    <t xml:space="preserve">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</si>
  <si>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 xml:space="preserve">AerChemMIP,DAMIP</t>
  </si>
  <si>
    <t xml:space="preserve">c2h2</t>
  </si>
  <si>
    <t xml:space="preserve">C2H2 Volume Mixing Ratio</t>
  </si>
  <si>
    <t xml:space="preserve">ccn</t>
  </si>
  <si>
    <t xml:space="preserve">Cloud Condensation Nuclei Concentration at Liquid Cloud Top</t>
  </si>
  <si>
    <t xml:space="preserve">m-3</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</si>
  <si>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</si>
  <si>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</si>
  <si>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proposed name: number_concentration_of_ambient_aerosol_in_air_at_liquid_water_cloud_top</t>
  </si>
  <si>
    <t xml:space="preserve">AerChemMIP,DAMIP,HighResMIP</t>
  </si>
  <si>
    <t xml:space="preserve">chepasoa</t>
  </si>
  <si>
    <t xml:space="preserve">Total Net Production of Anthropogenic Secondary Organic Aerosol</t>
  </si>
  <si>
    <t xml:space="preserve">anthropogenic part of chepsoa</t>
  </si>
  <si>
    <t xml:space="preserve">cod</t>
  </si>
  <si>
    <t xml:space="preserve">Cloud Optical Depth</t>
  </si>
  <si>
    <t xml:space="preserve">Declan, Gijs &amp; Thomas</t>
  </si>
  <si>
    <t xml:space="preserve">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</si>
  <si>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 xml:space="preserve">emiaco</t>
  </si>
  <si>
    <t xml:space="preserve">Total Emission Rate of Anthropogenic CO</t>
  </si>
  <si>
    <t xml:space="preserve">Anthropogenic  emission of CO.</t>
  </si>
  <si>
    <t xml:space="preserve">emianox</t>
  </si>
  <si>
    <t xml:space="preserve">Total Emission Rate of Anthropogenic NOx</t>
  </si>
  <si>
    <t xml:space="preserve">Store flux as Nitrogen. Anthropogenic fraction. NOx=NO+NO2, Includes agricultural waste burning but no other biomass burning. Integrate 3D emission field vertically to 2d field.</t>
  </si>
  <si>
    <t xml:space="preserve">emiaoa</t>
  </si>
  <si>
    <t xml:space="preserve">Total Emission Rate of Anthropogenic Organic Aerosol</t>
  </si>
  <si>
    <t xml:space="preserve">anthropogenic part of emioa</t>
  </si>
  <si>
    <t xml:space="preserve">h2o</t>
  </si>
  <si>
    <t xml:space="preserve">Mass Fraction of Water</t>
  </si>
  <si>
    <t xml:space="preserve">Not available in TM5. For h2o, TM5 cannot do all phases of water, should therefore come from IFS if anywhere.</t>
  </si>
  <si>
    <t xml:space="preserve">includes all phases of water</t>
  </si>
  <si>
    <t xml:space="preserve">hcl</t>
  </si>
  <si>
    <t xml:space="preserve">HCl Volume Mixing Ratio</t>
  </si>
  <si>
    <t xml:space="preserve">Mole fraction is used in the construction mole_fraction_of_X_in_Y, where X is a material constituent of Y.  The chemical formula of hydrogen chloride is HCl.</t>
  </si>
  <si>
    <t xml:space="preserve">lossn2o</t>
  </si>
  <si>
    <t xml:space="preserve">Monthly Loss of Atmospheric Nitrous Oxide</t>
  </si>
  <si>
    <t xml:space="preserve">monthly averaged atmospheric loss</t>
  </si>
  <si>
    <t xml:space="preserve">nh50</t>
  </si>
  <si>
    <t xml:space="preserve">Artificial Tracer with 50 Day Lifetime</t>
  </si>
  <si>
    <t xml:space="preserve">Fixed surface layer mixing ratio over 30o-50oN (100ppbv), uniform fixed 50-day exponential decay.</t>
  </si>
  <si>
    <t xml:space="preserve">od550bb</t>
  </si>
  <si>
    <t xml:space="preserve">longitude latitude time lambda550nm</t>
  </si>
  <si>
    <t xml:space="preserve">Aerosol Optical Depth at 550nm Due to Biomass Burning</t>
  </si>
  <si>
    <t xml:space="preserve">total organic aerosol AOD due to biomass burning (excluding so4, nitrate BB components)</t>
  </si>
  <si>
    <t xml:space="preserve">AerChemMIP,DAMIP,HighResMIP,RFMIP</t>
  </si>
  <si>
    <t xml:space="preserve">od550csaer</t>
  </si>
  <si>
    <t xml:space="preserve">Ambient Aerosol Optical Thickness at 550nm</t>
  </si>
  <si>
    <t xml:space="preserve">AOD from the ambient aerosols in clear skies if od550aer is for all-sky (i.e., includes aerosol water).  Does not include AOD from stratospheric aerosols if these are prescribed but includes other possible background aerosol types. Needs a comment attribute 'wavelength: 550nm'</t>
  </si>
  <si>
    <t xml:space="preserve">photo1d</t>
  </si>
  <si>
    <t xml:space="preserve">Photolysis Rate of Ozone (O3) to Excited Atomic Oxygen (the Singlet D State, O1D)</t>
  </si>
  <si>
    <t xml:space="preserve">proposed name: photolysis_rate_of_ozone_to_O1D</t>
  </si>
  <si>
    <t xml:space="preserve">pod0</t>
  </si>
  <si>
    <t xml:space="preserve">Phytotoxic Ozone Dose</t>
  </si>
  <si>
    <t xml:space="preserve">mol m-2</t>
  </si>
  <si>
    <t xml:space="preserve">Tommi, Twan &amp; Thomas</t>
  </si>
  <si>
    <t xml:space="preserve">Accumulated stomatal ozone flux over the threshold of 0 mol m-2 s-1; Computation: Time Integral of (hourly above canopy ozone concentration * stomatal conductance * Rc/(Rb+Rc) )</t>
  </si>
  <si>
    <t xml:space="preserve">reffclwtop</t>
  </si>
  <si>
    <t xml:space="preserve">Cloud-Top Effective Droplet Radius</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</si>
  <si>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</si>
  <si>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</si>
  <si>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 xml:space="preserve">AerChemMIP,DAMIP,GeoMIP,HighResMIP,VIACSAB</t>
  </si>
  <si>
    <t xml:space="preserve">rsutcsaf</t>
  </si>
  <si>
    <t xml:space="preserve">TOA Outgoing Clear-Sky, Aerosol-Free Shortwave Radiation</t>
  </si>
  <si>
    <t xml:space="preserve">Ignore because part of RFMIP-IRF and we don't participate in that experiment of RFMIP. Moreover grib 128.212-126.068 won't work here, because then accumulated and instantaneous fluxes are mixed.</t>
  </si>
  <si>
    <t xml:space="preserve">Flux corresponding to rsutcs resulting from aerosol-free call to radiation, following Ghan (ACP, 2013)</t>
  </si>
  <si>
    <t xml:space="preserve">AerChemMIP,DAMIP,GeoMIP,HighResMIP</t>
  </si>
  <si>
    <t xml:space="preserve">AerChemMIP,CFMIP,DAMIP,PMIP</t>
  </si>
  <si>
    <t xml:space="preserve">AerChemMIP,CFMIP,DAMIP</t>
  </si>
  <si>
    <t xml:space="preserve">ttop</t>
  </si>
  <si>
    <t xml:space="preserve">Air Temperature at Cloud Top</t>
  </si>
  <si>
    <t xml:space="preserve">K</t>
  </si>
  <si>
    <t xml:space="preserve">Not available yet in IFS output but it would be possible to implement.</t>
  </si>
  <si>
    <t xml:space="preserve">Declan</t>
  </si>
  <si>
    <t xml:space="preserve">cloud_top refers to the top of the highest cloud. Air temperature is the bulk temperature of the air, not the surface (skin) temperature.</t>
  </si>
  <si>
    <t xml:space="preserve">E3hrPt</t>
  </si>
  <si>
    <t xml:space="preserve">aerasymbnd</t>
  </si>
  <si>
    <t xml:space="preserve">longitude latitude alevel spectband time1</t>
  </si>
  <si>
    <t xml:space="preserve">Aerosol Level Asymmetry Parameter for Each Band</t>
  </si>
  <si>
    <t xml:space="preserve">Not available: In IFS it is not possible to distinguish output in spectral intervals. </t>
  </si>
  <si>
    <t xml:space="preserve">The asymmetry factor is the angular integral of the aerosol scattering phase function weighted by the cosine of the angle with the incident radiation flux. The asymmetry coefficient is here an integral over all wavelength bands.</t>
  </si>
  <si>
    <t xml:space="preserve">RFMIP</t>
  </si>
  <si>
    <t xml:space="preserve">aeroptbnd</t>
  </si>
  <si>
    <t xml:space="preserve">Aerosol Level Absorption Optical Thickness for Each Band</t>
  </si>
  <si>
    <t xml:space="preserve">Optical thickness of atmospheric aerosols in wavelength bands.</t>
  </si>
  <si>
    <t xml:space="preserve">aerssabnd</t>
  </si>
  <si>
    <t xml:space="preserve">Aerosol Level Single Scattering Albedo for Each Band</t>
  </si>
  <si>
    <t xml:space="preserve">The single scattering albedo is the fraction of radiation in an incident light beam scattered by the particles of an aerosol reference volume for a given wavelength. It is the ratio of the scattering and the extinction coefficients of the aerosol particles in the reference volume. </t>
  </si>
  <si>
    <t xml:space="preserve">albdiffbnd</t>
  </si>
  <si>
    <t xml:space="preserve">longitude latitude spectband time1</t>
  </si>
  <si>
    <t xml:space="preserve">Diffuse Surface Albedo for Each Band</t>
  </si>
  <si>
    <t xml:space="preserve">The fraction of the surface diffuse downwelling shortwave radiation flux which is reflected. If the diffuse radiation is isotropic, this term is equivalent to the integral of surface bidirectional reflectance over all incident angles and over all outgoing angles in the hemisphere above the surface. Reported in spectral frequency bands.</t>
  </si>
  <si>
    <t xml:space="preserve">albdirbnd</t>
  </si>
  <si>
    <t xml:space="preserve">Direct Surface Albedo for Each Band</t>
  </si>
  <si>
    <t xml:space="preserve">The fraction of the surface direct downwelling shortwave radiation flux which is reflected. It is equivalent to the surface bidirectional reflectance at the incident angle of the incoming solar radiation and integrated over all outgoing angles in the hemisphere above the surface.  Reported in spectral frequency bands.</t>
  </si>
  <si>
    <t xml:space="preserve">longitude latitude alt40 time1</t>
  </si>
  <si>
    <t xml:space="preserve">CFMIP</t>
  </si>
  <si>
    <t xml:space="preserve">longitude latitude plev7c tau time1</t>
  </si>
  <si>
    <t xml:space="preserve">longitude latitude alevel time1</t>
  </si>
  <si>
    <t xml:space="preserve">parasolRefl</t>
  </si>
  <si>
    <t xml:space="preserve">longitude latitude sza5 time1</t>
  </si>
  <si>
    <t xml:space="preserve">PARASOL Reflectance</t>
  </si>
  <si>
    <t xml:space="preserve">COSP output currently not available from IFS</t>
  </si>
  <si>
    <t xml:space="preserve">Simulated reflectance from PARASOL as seen at the top of the atmosphere for 5 solar zenith angles. Valid only over ocean and for one viewing direction (viewing zenith angle of 30 degrees and relative azimuth angle 320 degrees).</t>
  </si>
  <si>
    <t xml:space="preserve">longitude latitude alevhalf time1</t>
  </si>
  <si>
    <t xml:space="preserve">rsdcsaf</t>
  </si>
  <si>
    <t xml:space="preserve">Downwelling Clear-Sky, Aerosol-Free Shortwave Radiation</t>
  </si>
  <si>
    <t xml:space="preserve">Calculated in the absence of aerosols and clouds (following Ghan). This requires a double-call in the radiation code with precisely the same meteorology.</t>
  </si>
  <si>
    <t xml:space="preserve">rsdcsafbnd</t>
  </si>
  <si>
    <t xml:space="preserve">longitude latitude alevhalf spectband time1</t>
  </si>
  <si>
    <t xml:space="preserve">Downwelling Clear-Sky, Aerosol-Free, Shortwave Radiation in Bands</t>
  </si>
  <si>
    <t xml:space="preserve">rsdcsbnd</t>
  </si>
  <si>
    <t xml:space="preserve">Downwelling Clear-Sky Shortwave Radiation at Each Level for Each Band</t>
  </si>
  <si>
    <t xml:space="preserve">Calculated with aerosols but without clouds. This is a standard clear-sky calculation</t>
  </si>
  <si>
    <t xml:space="preserve">rsdscsaf</t>
  </si>
  <si>
    <t xml:space="preserve">longitude latitude time1</t>
  </si>
  <si>
    <t xml:space="preserve">Surface Downwelling Clear-Sky, Aerosol-Free Shortwave Radiation</t>
  </si>
  <si>
    <t xml:space="preserve">not available, moreover they can be ignored because part of RFMIP-IRF and we don't participate in that experiment of RFMIP.</t>
  </si>
  <si>
    <t xml:space="preserve">Calculated in the absence of aerosols and clouds.</t>
  </si>
  <si>
    <t xml:space="preserve">rsdscsafbnd</t>
  </si>
  <si>
    <t xml:space="preserve">Surface Downwelling Clear-Sky, Aerosol-Free Shortwave Radiation in Bands</t>
  </si>
  <si>
    <t xml:space="preserve">Calculated in the absence of aerosols and clouds, following Ghan (2013, ACP). This requires a double-call in the radiation code with precisely the same meteorology.</t>
  </si>
  <si>
    <t xml:space="preserve">rsdscsbnd</t>
  </si>
  <si>
    <t xml:space="preserve">Surface Downwelling Clear-Sky Shortwave Radiation for Each Band</t>
  </si>
  <si>
    <t xml:space="preserve">rsucsaf</t>
  </si>
  <si>
    <t xml:space="preserve">Upwelling Clear-Sky, Aerosol-Free Shortwave Radiation</t>
  </si>
  <si>
    <t xml:space="preserve">rsucsafbnd</t>
  </si>
  <si>
    <t xml:space="preserve">Upwelling Clear-Sky, Aerosol-Free Shortwave Radiation in Bands</t>
  </si>
  <si>
    <t xml:space="preserve">rsucsbnd</t>
  </si>
  <si>
    <t xml:space="preserve">Upwelling Clear-Sky Shortwave Radiation at Each Level for Each Band</t>
  </si>
  <si>
    <t xml:space="preserve">rsuscsaf</t>
  </si>
  <si>
    <t xml:space="preserve">Surface Upwelling Clean Clear-Sky Shortwave Radiation</t>
  </si>
  <si>
    <t xml:space="preserve">Surface Upwelling Clear-sky, Aerosol Free Shortwave Radiation</t>
  </si>
  <si>
    <t xml:space="preserve">rsuscsafbnd</t>
  </si>
  <si>
    <t xml:space="preserve">Surface Upwelling Clear-Sky, Aerosol-Free Shortwave Radiation in Bands</t>
  </si>
  <si>
    <t xml:space="preserve">Calculated in the absence of aerosols and clouds, following Ghan (ACP, 2013). This requires a double-call in the radiation code with precisely the same meteorology.</t>
  </si>
  <si>
    <t xml:space="preserve">rsuscsbnd</t>
  </si>
  <si>
    <t xml:space="preserve">Surface Upwelling Clear-Sky Shortwave Radiation for Each Band</t>
  </si>
  <si>
    <t xml:space="preserve">rsutcsafbnd</t>
  </si>
  <si>
    <t xml:space="preserve">TOA Outgoing Clear-Sky, Aerosol-Free Shortwave Radiation in Bands</t>
  </si>
  <si>
    <t xml:space="preserve">rsutcsbnd</t>
  </si>
  <si>
    <t xml:space="preserve">TOA Outgoing Clear-Sky Shortwave Radiation for Each Band</t>
  </si>
  <si>
    <t xml:space="preserve">solbnd</t>
  </si>
  <si>
    <t xml:space="preserve">TOA Solar Irradiance for each band</t>
  </si>
  <si>
    <t xml:space="preserve">Solar irradiance at a horizontal surface at top of atmosphere.</t>
  </si>
  <si>
    <t xml:space="preserve">Esubhr</t>
  </si>
  <si>
    <t xml:space="preserve">AERday</t>
  </si>
  <si>
    <t xml:space="preserve">ua10</t>
  </si>
  <si>
    <t xml:space="preserve">longitude latitude time p10</t>
  </si>
  <si>
    <t xml:space="preserve">Eastward Wind at 10hPa</t>
  </si>
  <si>
    <t xml:space="preserve">Available in IFS, but maybe not so relevant because TM5 doesn't simulate stratospheric ozone</t>
  </si>
  <si>
    <t xml:space="preserve">Zonal wind on the 10 hPa surface</t>
  </si>
  <si>
    <t xml:space="preserve">zg10</t>
  </si>
  <si>
    <t xml:space="preserve">Geopotential Height at 10hPa</t>
  </si>
  <si>
    <t xml:space="preserve">Maybe available in IFS, but maybe not so relevant because TM5 doesn't simulate stratospheric ozone</t>
  </si>
  <si>
    <t xml:space="preserve">Geopotential height on the 10hPa surface</t>
  </si>
  <si>
    <t xml:space="preserve">zg100</t>
  </si>
  <si>
    <t xml:space="preserve">longitude latitude time p100</t>
  </si>
  <si>
    <t xml:space="preserve">Geopotential Height at 100hPa</t>
  </si>
  <si>
    <t xml:space="preserve">Maybe available in IFS, but maybe not so relevant.</t>
  </si>
  <si>
    <t xml:space="preserve">Geopotential height on the 100 hPa surface</t>
  </si>
  <si>
    <t xml:space="preserve">Oclim</t>
  </si>
  <si>
    <t xml:space="preserve">difvmbo</t>
  </si>
  <si>
    <t xml:space="preserve">longitude latitude olevel time2</t>
  </si>
  <si>
    <t xml:space="preserve">Ocean Vertical Momentum Diffusivity Due to Background</t>
  </si>
  <si>
    <t xml:space="preserve">Vertical/dianeutral diffusivity applied to momentum due to the background (i.e. caused by a time invariant imposed field which may be either constant over the globe or spatially varying, depending on the ocean model used).</t>
  </si>
  <si>
    <t xml:space="preserve">CMIP,FAFMIP,HighResMIP,LUMIP,RFMIP,VIACSAB</t>
  </si>
  <si>
    <t xml:space="preserve">difvmfdo</t>
  </si>
  <si>
    <t xml:space="preserve">Ocean Vertical Momentum Diffusivity Due to Form Drag</t>
  </si>
  <si>
    <t xml:space="preserve">Vertical/dianeutral diffusivity applied to momentum due to form drag (i.e. resulting from a model scheme representing  mesoscale eddy-induced form drag).</t>
  </si>
  <si>
    <t xml:space="preserve">difvtrbo</t>
  </si>
  <si>
    <t xml:space="preserve">Ocean Vertical Tracer Diffusivity Due to Background</t>
  </si>
  <si>
    <t xml:space="preserve">Vertical/dianeutral diffusivity applied to tracers due to the background (i.e. caused by a time invariant imposed field which may be either constant over the globe or spatially varying, depending on the ocean model used).</t>
  </si>
  <si>
    <t xml:space="preserve">tnpeot</t>
  </si>
  <si>
    <t xml:space="preserve">Tendency of Ocean Potential Energy Content Due to Tides</t>
  </si>
  <si>
    <t xml:space="preserve">'Content'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</si>
  <si>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 xml:space="preserve">tnpeotb</t>
  </si>
  <si>
    <t xml:space="preserve">Tendency of Ocean Potential Energy Content Due to Background</t>
  </si>
  <si>
    <t xml:space="preserve">'Content'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</si>
  <si>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 xml:space="preserve">Ofx</t>
  </si>
  <si>
    <t xml:space="preserve">ugrid</t>
  </si>
  <si>
    <t xml:space="preserve">UGRID Grid Specification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</si>
  <si>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</si>
  <si>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</si>
  <si>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</si>
  <si>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</si>
  <si>
    <t xml:space="preserve">longitude latitude olevel</t>
  </si>
  <si>
    <t xml:space="preserve">AerChemMIP,C4MIP,CMIP,DCPP,GMMIP,GeoMIP,OMIP,PAMIP,PMIP,VIACSAB</t>
  </si>
  <si>
    <t xml:space="preserve">6hrPlevPt</t>
  </si>
  <si>
    <t xml:space="preserve">wbptemp7h</t>
  </si>
  <si>
    <t xml:space="preserve">longitude latitude plev7h time1</t>
  </si>
  <si>
    <t xml:space="preserve">Wet Bulb Potential Temperature</t>
  </si>
  <si>
    <t xml:space="preserve">Not available in IFS output.</t>
  </si>
  <si>
    <t xml:space="preserve">Wet bulb potential temperature</t>
  </si>
  <si>
    <t xml:space="preserve">Eday</t>
  </si>
  <si>
    <t xml:space="preserve">clwvic</t>
  </si>
  <si>
    <t xml:space="preserve">Convective Condensed Water Path</t>
  </si>
  <si>
    <t xml:space="preserve">kg m-2</t>
  </si>
  <si>
    <t xml:space="preserve">Not available in IFS output, without additional effort.</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</si>
  <si>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</si>
  <si>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 xml:space="preserve">hursminCrop</t>
  </si>
  <si>
    <t xml:space="preserve">longitude latitude time height2m</t>
  </si>
  <si>
    <t xml:space="preserve">Daily Minimum Near-Surface Relative Humidity over Crop Tile</t>
  </si>
  <si>
    <t xml:space="preserve">Not available, not available in H-TESSEL</t>
  </si>
  <si>
    <t xml:space="preserve">Andrea Alessandri</t>
  </si>
  <si>
    <t xml:space="preserve">The relative humidity with respect to liquid water for T&gt; 0 C, and with respect to ice for T&lt;0 C.</t>
  </si>
  <si>
    <t xml:space="preserve">mrsfl</t>
  </si>
  <si>
    <t xml:space="preserve">longitude latitude sdepth time</t>
  </si>
  <si>
    <t xml:space="preserve">Frozen Water Content of Soil Layer</t>
  </si>
  <si>
    <t xml:space="preserve">Can not be produced by LPJ-GUESS: No frozen fraction</t>
  </si>
  <si>
    <t xml:space="preserve">in each soil layer, the mass of water in ice phase.  Reported as 'missing' for grid cells occupied entirely by 'sea'</t>
  </si>
  <si>
    <t xml:space="preserve">C4MIP</t>
  </si>
  <si>
    <t xml:space="preserve">longitude latitude sza5 time</t>
  </si>
  <si>
    <t xml:space="preserve">DCPP,PAMIP,PMIP</t>
  </si>
  <si>
    <t xml:space="preserve">rsdscsdiff</t>
  </si>
  <si>
    <t xml:space="preserve">Surface Diffuse Downwelling Clear Sky Shortwave Radiation</t>
  </si>
  <si>
    <t xml:space="preserve">Not available in IFS</t>
  </si>
  <si>
    <t xml:space="preserve">Gijs, Thomas</t>
  </si>
  <si>
    <t xml:space="preserve">Surface downwelling solar irradiance from diffuse radiation for UV calculations in clear sky conditions</t>
  </si>
  <si>
    <t xml:space="preserve">tasmaxCrop</t>
  </si>
  <si>
    <t xml:space="preserve">Daily Maximum Near-Surface Air Temperature over Crop Tile</t>
  </si>
  <si>
    <t xml:space="preserve">maximum near-surface (usually, 2 meter) air temperature (add cell_method attribute 'time: max')</t>
  </si>
  <si>
    <t xml:space="preserve">tasminCrop</t>
  </si>
  <si>
    <t xml:space="preserve">Daily Minimum Near-Surface Air Temperature over Crop Tile</t>
  </si>
  <si>
    <t xml:space="preserve">minimum near-surface (usually, 2 meter) air temperature (add cell_method attribute 'time: min')</t>
  </si>
  <si>
    <t xml:space="preserve">tauupbl</t>
  </si>
  <si>
    <t xml:space="preserve">Eastward Surface Stress from Planetary Boundary Layer Scheme</t>
  </si>
  <si>
    <t xml:space="preserve">Ignored because lack of time, see #191: Available in IFS: Eastward turbulent surface stress (grib 128.180) plus the Eastward gravity wave surface stress (grib 128.195).  Check with data request or DynVar people if this is indeed what is asked here.</t>
  </si>
  <si>
    <t xml:space="preserve">The  downward eastward stress associated with the models parameterization of the planetary boundary layer. (This request is related to a WGNE effort to understand how models parameterize the surface stresses.)</t>
  </si>
  <si>
    <t xml:space="preserve">tauvpbl</t>
  </si>
  <si>
    <t xml:space="preserve">Northward Surface Stress from Planetary Boundary Layer Scheme</t>
  </si>
  <si>
    <t xml:space="preserve">Ignored because lack of time, see #191: Available in IFS: Northward turbulent surface stress (grib 128.181) plus the Northward gravity wave surface stress (grib 128.196).  Check with data request or DynVar people if this is indeed what is asked here.</t>
  </si>
  <si>
    <t xml:space="preserve">The  downward northward stress associated with the models parameterization of the planetary boundary layer. (This request is related to a WGNE effort to understand how models parameterize the surface stresses.)</t>
  </si>
  <si>
    <t xml:space="preserve">AERmonZ</t>
  </si>
  <si>
    <t xml:space="preserve">bry</t>
  </si>
  <si>
    <t xml:space="preserve">Total Inorganic Bromine Volume Mixing Ratio</t>
  </si>
  <si>
    <t xml:space="preserve">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</si>
  <si>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 xml:space="preserve">cly</t>
  </si>
  <si>
    <t xml:space="preserve">Total Inorganic Chlorine Volume Mixing Ratio</t>
  </si>
  <si>
    <t xml:space="preserve">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</si>
  <si>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 xml:space="preserve">meanage</t>
  </si>
  <si>
    <t xml:space="preserve">Mean Age of Stratospheric Air</t>
  </si>
  <si>
    <t xml:space="preserve">The mean age of air is defined as the mean time that a stratospheric air mass has been out of contact with the well-mixed troposphere.</t>
  </si>
  <si>
    <t xml:space="preserve">AerChemMIP,DynVar,VolMIP</t>
  </si>
  <si>
    <t xml:space="preserve">vt100</t>
  </si>
  <si>
    <t xml:space="preserve">latitude time p100</t>
  </si>
  <si>
    <t xml:space="preserve">Northward Heat Flux Due to Eddies</t>
  </si>
  <si>
    <t xml:space="preserve">Zonally averaged meridional heat flux at 100hPa as monthly means derived from daily (or higher frequency) fields.</t>
  </si>
  <si>
    <t xml:space="preserve">CF3hr</t>
  </si>
  <si>
    <t xml:space="preserve">E3hr</t>
  </si>
  <si>
    <t xml:space="preserve">prcsh</t>
  </si>
  <si>
    <t xml:space="preserve">Precipitation Flux from Shallow Convection</t>
  </si>
  <si>
    <t xml:space="preserve">Not available in IFS output</t>
  </si>
  <si>
    <t xml:space="preserve">Convection precipitation from shallow convection</t>
  </si>
  <si>
    <t xml:space="preserve">prrc</t>
  </si>
  <si>
    <t xml:space="preserve">Convective Rainfall Rate</t>
  </si>
  <si>
    <t xml:space="preserve">In #444 it is decided to ignore this variable. Availlable in IFS: Precip. flux from convection liquid grib 128.107, this is a 3D field so the surface field has to be extracted from this. So only level 91 needs to be outputted.</t>
  </si>
  <si>
    <t xml:space="preserve">LS3MIP</t>
  </si>
  <si>
    <t xml:space="preserve">Emon</t>
  </si>
  <si>
    <t xml:space="preserve">O18wv</t>
  </si>
  <si>
    <t xml:space="preserve">Mass of Water Containing Oxygen-18 (H2 18O) in Layer</t>
  </si>
  <si>
    <t xml:space="preserve">Water vapor path for water molecules that contain oxygen-18 (H2 18O)</t>
  </si>
  <si>
    <t xml:space="preserve">PMIP</t>
  </si>
  <si>
    <t xml:space="preserve">c13Land</t>
  </si>
  <si>
    <t xml:space="preserve">Mass of 13C in All Terrestrial Carbon Pools</t>
  </si>
  <si>
    <t xml:space="preserve">Can not be produced by LPJ-GUESS: No isotopes</t>
  </si>
  <si>
    <t xml:space="preserve">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</si>
  <si>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 xml:space="preserve">C4MIP,LUMIP,PMIP</t>
  </si>
  <si>
    <t xml:space="preserve">c13Litter</t>
  </si>
  <si>
    <t xml:space="preserve">Mass of 13C in Litter Pool</t>
  </si>
  <si>
    <t xml:space="preserve">Carbon-13 mass content per unit area litter (dead plant material in or above the soil).</t>
  </si>
  <si>
    <t xml:space="preserve">c13Soil</t>
  </si>
  <si>
    <t xml:space="preserve">Mass of 13C in Soil Pool</t>
  </si>
  <si>
    <t xml:space="preserve">Carbon-13 mass content per unit area in soil.</t>
  </si>
  <si>
    <t xml:space="preserve">c13Veg</t>
  </si>
  <si>
    <t xml:space="preserve">Mass of 13C in Vegetation</t>
  </si>
  <si>
    <t xml:space="preserve">Carbon-13 mass content per unit area in vegetation (any living plants e.g. trees, shrubs, grass).</t>
  </si>
  <si>
    <t xml:space="preserve">c14Land</t>
  </si>
  <si>
    <t xml:space="preserve">Mass of 14C in All Terrestrial Carbon Pools</t>
  </si>
  <si>
    <t xml:space="preserve">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</si>
  <si>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 xml:space="preserve">c14Litter</t>
  </si>
  <si>
    <t xml:space="preserve">Mass of 14C in Litter Pool</t>
  </si>
  <si>
    <t xml:space="preserve">Carbon-14 mass content per unit area litter (dead plant material in or above the soil).</t>
  </si>
  <si>
    <t xml:space="preserve">c14Soil</t>
  </si>
  <si>
    <t xml:space="preserve">Mass of 14C in Soil Pool</t>
  </si>
  <si>
    <t xml:space="preserve">Carbon-14 mass content per unit area in soil.</t>
  </si>
  <si>
    <t xml:space="preserve">c14Veg</t>
  </si>
  <si>
    <t xml:space="preserve">Mass of 14C in Vegetation</t>
  </si>
  <si>
    <t xml:space="preserve">Carbon-14 mass content per unit area in vegetation (any living plants e.g. trees, shrubs, grass).</t>
  </si>
  <si>
    <t xml:space="preserve">cLitterGrass</t>
  </si>
  <si>
    <t xml:space="preserve">Carbon Mass in Litter on Grass Tiles</t>
  </si>
  <si>
    <t xml:space="preserve">Can not be produced by LPJ-GUESS: Don't seperate natural vegetation in vegetation type tiles</t>
  </si>
  <si>
    <t xml:space="preserve">'Litter'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</si>
  <si>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 xml:space="preserve">C4MIP,LUMIP</t>
  </si>
  <si>
    <t xml:space="preserve">cLitterShrub</t>
  </si>
  <si>
    <t xml:space="preserve">Carbon Mass in Litter on Shrub Tiles</t>
  </si>
  <si>
    <t xml:space="preserve">cLitterTree</t>
  </si>
  <si>
    <t xml:space="preserve">Carbon Mass in Litter on Tree Tiles</t>
  </si>
  <si>
    <t xml:space="preserve">cMisc</t>
  </si>
  <si>
    <t xml:space="preserve">Carbon Mass in Other Living Compartments on Land</t>
  </si>
  <si>
    <t xml:space="preserve">Can not be produced by LPJ-GUESS: Don't have this in LPJ-GUESS</t>
  </si>
  <si>
    <t xml:space="preserve">e.g., labile, fruits, reserves, etc.</t>
  </si>
  <si>
    <t xml:space="preserve">AerChemMIP,CMIP,FAFMIP,GMMIP,GeoMIP,HighResMIP,LS3MIP,RFMIP,VIACSAB,VolMIP</t>
  </si>
  <si>
    <t xml:space="preserve">cSoilAbove1m</t>
  </si>
  <si>
    <t xml:space="preserve">longitude latitude time sdepth10</t>
  </si>
  <si>
    <t xml:space="preserve">Carbon Mass in Soil Pool Above 1m Depth</t>
  </si>
  <si>
    <t xml:space="preserve">Can not be produced by LPJ-GUESS: Only have total soil C, no layers</t>
  </si>
  <si>
    <t xml:space="preserve">Report missing data over ocean grid cells. For fractional land report value averaged over the land fraction.</t>
  </si>
  <si>
    <t xml:space="preserve">cSoilGrass</t>
  </si>
  <si>
    <t xml:space="preserve">Carbon Mass in Soil on Grass Tiles</t>
  </si>
  <si>
    <t xml:space="preserve">'Content' indicates a quantity per unit area. The 'soil content' of a quantity refers to the vertical integral from the surface down to the bottom of the soil model. For the content between specified levels in the soil, standard names including content_of_soil_layer are used.</t>
  </si>
  <si>
    <t xml:space="preserve">cSoilLevels</t>
  </si>
  <si>
    <t xml:space="preserve">Carbon Mass in Each Model Soil Level (Summed over All Soil Carbon Pools in That Level)</t>
  </si>
  <si>
    <t xml:space="preserve">for models with vertically discretised soil carbon, report total soil carbon for each level</t>
  </si>
  <si>
    <t xml:space="preserve">cSoilPools</t>
  </si>
  <si>
    <t xml:space="preserve">longitude latitude soilpools time</t>
  </si>
  <si>
    <t xml:space="preserve">Carbon Mass in Each Model Soil Pool (Summed over Vertical Levels)</t>
  </si>
  <si>
    <t xml:space="preserve">Can not be produced by LPJ-GUESS: Too much work</t>
  </si>
  <si>
    <t xml:space="preserve">For models with multiple soil carbon pools, report each pool here. If models also have vertical discretisation these should be aggregated</t>
  </si>
  <si>
    <t xml:space="preserve">cSoilShrub</t>
  </si>
  <si>
    <t xml:space="preserve">Carbon Mass in Soil on Shrub Tiles</t>
  </si>
  <si>
    <t xml:space="preserve">cSoilTree</t>
  </si>
  <si>
    <t xml:space="preserve">Carbon Mass in Soil on Tree Tiles</t>
  </si>
  <si>
    <t xml:space="preserve">cVegGrass</t>
  </si>
  <si>
    <t xml:space="preserve">Carbon Mass in Vegetation on Grass Tiles</t>
  </si>
  <si>
    <t xml:space="preserve">'Content' indicates a quantity per unit area. 'Vegetation' means any plants e.g. trees, shrubs, grass. Plants are autotrophs i.e. 'producers' of biomass using carbon obtained from carbon dioxide.</t>
  </si>
  <si>
    <t xml:space="preserve">cVegShrub</t>
  </si>
  <si>
    <t xml:space="preserve">Carbon Mass in Vegetation on Shrub Tiles</t>
  </si>
  <si>
    <t xml:space="preserve">cVegTree</t>
  </si>
  <si>
    <t xml:space="preserve">Carbon Mass in Vegetation on Tree Tiles</t>
  </si>
  <si>
    <t xml:space="preserve">co23D</t>
  </si>
  <si>
    <t xml:space="preserve">3D-Field of Transported CO2</t>
  </si>
  <si>
    <t xml:space="preserve">kg kg-1</t>
  </si>
  <si>
    <t xml:space="preserve">report 3D field of model simulated atmospheric CO2 mass mixing ration on model levels</t>
  </si>
  <si>
    <t xml:space="preserve">conccn</t>
  </si>
  <si>
    <t xml:space="preserve">Aerosol Number Concentration</t>
  </si>
  <si>
    <t xml:space="preserve">Not available. Possible  in TM5, though only asked by VIACSAB which is not a TM5 project.</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</si>
  <si>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</si>
  <si>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GeoMIP,VIACSAB</t>
  </si>
  <si>
    <t xml:space="preserve">diabdrag</t>
  </si>
  <si>
    <t xml:space="preserve">Tendency of Eastward Wind from Numerical Artefacts</t>
  </si>
  <si>
    <t xml:space="preserve">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</si>
  <si>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 xml:space="preserve">dissi14c</t>
  </si>
  <si>
    <t xml:space="preserve">Dissolved Inorganic Carbon-14 Concentration</t>
  </si>
  <si>
    <t xml:space="preserve">Dissolved inorganic carbon-14 (CO3+HCO3+H2CO3) concentration</t>
  </si>
  <si>
    <t xml:space="preserve">fHarvestToProduct</t>
  </si>
  <si>
    <t xml:space="preserve">Harvested Biomass That Goes into Product Pool</t>
  </si>
  <si>
    <t xml:space="preserve">Not available in LPJ-GUESS, see ec-earth issue 633-21 and ece2cmor3 issue 446</t>
  </si>
  <si>
    <t xml:space="preserve">David Warlind, Lars, Thomas</t>
  </si>
  <si>
    <t xml:space="preserve">be it food or wood harvest, any carbon that is subsequently stored is reported here</t>
  </si>
  <si>
    <t xml:space="preserve">fN2O</t>
  </si>
  <si>
    <t xml:space="preserve">Total Land N2O Flux</t>
  </si>
  <si>
    <t xml:space="preserve">Can not be produced by LPJ-GUESS: Not in this version</t>
  </si>
  <si>
    <t xml:space="preserve">Surface upward flux of nitrous oxide (N2O) from vegetation (any living plants e.g. trees, shrubs, grass), litter (dead plant material in or above the soil), soil.</t>
  </si>
  <si>
    <t xml:space="preserve">fNOx</t>
  </si>
  <si>
    <t xml:space="preserve">Total Land NOx Flux</t>
  </si>
  <si>
    <t xml:space="preserve">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</si>
  <si>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 xml:space="preserve">fNVegSoil</t>
  </si>
  <si>
    <t xml:space="preserve">Total Nitrogen Mass Flux from Vegetation Directly to Soil</t>
  </si>
  <si>
    <t xml:space="preserve">Can not be produced by LPJ-GUESS: No process that goes directly from veg to soil</t>
  </si>
  <si>
    <t xml:space="preserve">In some models part of nitrogen (e.g., root exudate) can go directly into the soil pool without entering litter.</t>
  </si>
  <si>
    <t xml:space="preserve">fVegLitterMortality</t>
  </si>
  <si>
    <t xml:space="preserve">Total Carbon Mass Flux from Vegetation to Litter as a Result of Mortality</t>
  </si>
  <si>
    <t xml:space="preserve">needed to separate changing vegetation C turnover times resulting from changing allocation versus changing mortality</t>
  </si>
  <si>
    <t xml:space="preserve">fVegLitterSenescence</t>
  </si>
  <si>
    <t xml:space="preserve">Total Carbon Mass Flux from Vegetation to Litter as a Result of Leaf, Branch, and Root Senescence</t>
  </si>
  <si>
    <t xml:space="preserve">fVegSoilMortality</t>
  </si>
  <si>
    <t xml:space="preserve">Total Carbon Mass Flux from Vegetation to Soil as a Result of Mortality</t>
  </si>
  <si>
    <t xml:space="preserve">fVegSoilSenescence</t>
  </si>
  <si>
    <t xml:space="preserve">Total Carbon Mass Flux from Vegetation to Soil as a Result of Leaf, Branch, and Root Senescence</t>
  </si>
  <si>
    <t xml:space="preserve">fahLut</t>
  </si>
  <si>
    <t xml:space="preserve">longitude latitude landUse time</t>
  </si>
  <si>
    <t xml:space="preserve">Anthropogenic Heat Flux Generated from non-Renewable Human Primary Energy Consumption</t>
  </si>
  <si>
    <t xml:space="preserve">Can not be produced by either LPJ-GUESS or H-TESSEL.</t>
  </si>
  <si>
    <t xml:space="preserve">David Warlind &amp; Andrea Alessandri</t>
  </si>
  <si>
    <t xml:space="preserve">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</si>
  <si>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 xml:space="preserve">LUMIP</t>
  </si>
  <si>
    <t xml:space="preserve">fg14co2</t>
  </si>
  <si>
    <t xml:space="preserve">Total Surface Downward Flux of 14CO2 into Ocean</t>
  </si>
  <si>
    <t xml:space="preserve">Gas exchange flux of carbon-14 as CO2 (positive into ocean)</t>
  </si>
  <si>
    <t xml:space="preserve">gppShrub</t>
  </si>
  <si>
    <t xml:space="preserve">Gross Primary Production on Shrub Tiles</t>
  </si>
  <si>
    <t xml:space="preserve">Can not be produced by LPJ-GUESS: No shrubs in this version</t>
  </si>
  <si>
    <t xml:space="preserve">Total GPP of shrubs in the grid cell</t>
  </si>
  <si>
    <t xml:space="preserve">gppc13</t>
  </si>
  <si>
    <t xml:space="preserve">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</si>
  <si>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</si>
  <si>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 xml:space="preserve">gppc14</t>
  </si>
  <si>
    <t xml:space="preserve">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</si>
  <si>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</si>
  <si>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 xml:space="preserve">hflsLut</t>
  </si>
  <si>
    <t xml:space="preserve">Latent Heat Flux on Land-Use Tile</t>
  </si>
  <si>
    <t xml:space="preserve">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</si>
  <si>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 xml:space="preserve">hfssLut</t>
  </si>
  <si>
    <t xml:space="preserve">Sensible Heat Flux on Land-Use Tile</t>
  </si>
  <si>
    <t xml:space="preserve">Upward sensible heat flux on land use tiles. The surface sensible heat flux, also called turbulent heat flux, is the exchange of heat between the surface and the air by motion of air.</t>
  </si>
  <si>
    <t xml:space="preserve">hussLut</t>
  </si>
  <si>
    <t xml:space="preserve">longitude latitude landUse time height2m</t>
  </si>
  <si>
    <t xml:space="preserve">Near-Surface Specific Humidity on Land-Use Tile</t>
  </si>
  <si>
    <t xml:space="preserve">Normally, the specific humidity should be reported at the 2 meter height</t>
  </si>
  <si>
    <t xml:space="preserve">lwsrfasdust</t>
  </si>
  <si>
    <t xml:space="preserve">All-Sky Surface Longwave Radiative Flux Due to Dust</t>
  </si>
  <si>
    <t xml:space="preserve">Not available in IFS or TM5</t>
  </si>
  <si>
    <t xml:space="preserve">The direct radiative effect refers to the instantaneous radiative impact on the Earth's energy balance, excluding secondary effects such as changes in cloud cover.</t>
  </si>
  <si>
    <t xml:space="preserve">lwsrfcsdust</t>
  </si>
  <si>
    <t xml:space="preserve">Clear-Sky Surface Longwave Radiative Flux Due to Dust</t>
  </si>
  <si>
    <t xml:space="preserve">The direct radiative effect refers to the instantaneous radiative impact on the Earth's energy balance, excluding secondary effects such as changes in cloud cover. Calculating in clear-sky conditions.</t>
  </si>
  <si>
    <t xml:space="preserve">lwtoaasdust</t>
  </si>
  <si>
    <t xml:space="preserve">TOA All-Sky Longwave Radiative Forcing due to Dust</t>
  </si>
  <si>
    <t xml:space="preserve">Instantaneous forcing is the radiative flux change caused instantaneously by an imposed change in radiative forcing agent (greenhouse gases, aerosol, solar radiation, etc.).</t>
  </si>
  <si>
    <t xml:space="preserve">lwtoacsaer</t>
  </si>
  <si>
    <t xml:space="preserve">TOA Clear-Sky longwave Radiative Forcing due to  Aerosols</t>
  </si>
  <si>
    <t xml:space="preserve">lwtoacsdust</t>
  </si>
  <si>
    <t xml:space="preserve">TOA Clear-Sky longwave Radiative Forcing due to Dust</t>
  </si>
  <si>
    <t xml:space="preserve">mrlso</t>
  </si>
  <si>
    <t xml:space="preserve">Soil Liquid Water Content</t>
  </si>
  <si>
    <t xml:space="preserve">The mass (summed over all all layers) of liquid water.</t>
  </si>
  <si>
    <t xml:space="preserve">mrtws</t>
  </si>
  <si>
    <t xml:space="preserve">Terrestrial Water Storage</t>
  </si>
  <si>
    <t xml:space="preserve">not available, no time to implement </t>
  </si>
  <si>
    <t xml:space="preserve">Emanuel Dutra</t>
  </si>
  <si>
    <t xml:space="preserve">Mass of water in all phases and in all components including soil, canopy, vegetation, ice sheets, rivers and ground water.</t>
  </si>
  <si>
    <t xml:space="preserve">netAtmosLandC13Flux</t>
  </si>
  <si>
    <t xml:space="preserve">Net Mass Flux of 13C Between Atmosphere and Land (Positive into Land) as a Result of All Processes</t>
  </si>
  <si>
    <t xml:space="preserve">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</si>
  <si>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 xml:space="preserve">netAtmosLandC14Flux</t>
  </si>
  <si>
    <t xml:space="preserve">Net Mass Flux of 14C Between Atmosphere and Land (Positive into Land) as a Result of All Processes</t>
  </si>
  <si>
    <t xml:space="preserve">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</si>
  <si>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 xml:space="preserve">nppOther</t>
  </si>
  <si>
    <t xml:space="preserve">Net Primary Production Allocated to Other Pools (not Leaves Stem or Roots)</t>
  </si>
  <si>
    <t xml:space="preserve">Can not be produced by LPJ-GUESS: Not possible</t>
  </si>
  <si>
    <t xml:space="preserve">added for completeness with npp_root</t>
  </si>
  <si>
    <t xml:space="preserve">nppShrub</t>
  </si>
  <si>
    <t xml:space="preserve">Net Primary Production on Shrub Tiles</t>
  </si>
  <si>
    <t xml:space="preserve">Total NPP of shrubs in the grid cell</t>
  </si>
  <si>
    <t xml:space="preserve">nppStem</t>
  </si>
  <si>
    <t xml:space="preserve">Net Primary Production Allocated to Stem</t>
  </si>
  <si>
    <t xml:space="preserve">od443dust</t>
  </si>
  <si>
    <t xml:space="preserve">Optical Thickness at 443nm Dust</t>
  </si>
  <si>
    <t xml:space="preserve">Not available in TM5. Although it would be possible at a very near frequency.</t>
  </si>
  <si>
    <t xml:space="preserve">Total aerosol AOD due to dust aerosol at a wavelength of 443 nanometres.</t>
  </si>
  <si>
    <t xml:space="preserve">od550so4so</t>
  </si>
  <si>
    <t xml:space="preserve">Stratospheric Optical Depth at 550nm (Sulphate Only) 2D-Field (Stratosphere Only)</t>
  </si>
  <si>
    <t xml:space="preserve">Not available.</t>
  </si>
  <si>
    <t xml:space="preserve">Stratospheric aerosol AOD due to sulfate aerosol at a wavelength of 550 nanometres.</t>
  </si>
  <si>
    <t xml:space="preserve">od865dust</t>
  </si>
  <si>
    <t xml:space="preserve">Dust Optical Depth at 865nm</t>
  </si>
  <si>
    <t xml:space="preserve">Total aerosol AOD due to dust aerosol at a wavelength of 865 nanometres.</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</si>
  <si>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</si>
  <si>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</si>
  <si>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</si>
  <si>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pr18O</t>
  </si>
  <si>
    <t xml:space="preserve">Precipitation Flux of Water Containing Oxygen-18 (H2 18O)</t>
  </si>
  <si>
    <t xml:space="preserve">Precipitation mass flux of water molecules that contain the oxygen-18 isotope (H2 18O), including solid and liquid phases.</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</si>
  <si>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</si>
  <si>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</si>
  <si>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</si>
  <si>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</si>
  <si>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</si>
  <si>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</si>
  <si>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</si>
  <si>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</si>
  <si>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</si>
  <si>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</si>
  <si>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</si>
  <si>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</si>
  <si>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prw17O</t>
  </si>
  <si>
    <t xml:space="preserve">Mass of Water Containing Oxygen-17 (H2 17O) in Layer</t>
  </si>
  <si>
    <t xml:space="preserve">Water vapor path for water molecules that contain oxygen-17 (H2 17O)</t>
  </si>
  <si>
    <t xml:space="preserve">prw18O</t>
  </si>
  <si>
    <t xml:space="preserve">Isotopic Ratio of Oxygen-18 in Sea Water</t>
  </si>
  <si>
    <t xml:space="preserve">Ratio of abundance of oxygen-18 (18O) atoms to oxygen-16 (16O) atoms in sea water</t>
  </si>
  <si>
    <t xml:space="preserve">prw2H</t>
  </si>
  <si>
    <t xml:space="preserve">Mass of Water Containing Deuterium (1H 2H O) in Layer</t>
  </si>
  <si>
    <t xml:space="preserve">Water vapor path for water molecules that contain one atom of the hydrogen-2 isotope (1H 2H O)</t>
  </si>
  <si>
    <t xml:space="preserve">raShrub</t>
  </si>
  <si>
    <t xml:space="preserve">Autotrophic Respiration on Shrub Tiles</t>
  </si>
  <si>
    <t xml:space="preserve">Total RA of shrubs in the grid cell</t>
  </si>
  <si>
    <t xml:space="preserve">rac13</t>
  </si>
  <si>
    <t xml:space="preserve">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</si>
  <si>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</si>
  <si>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 xml:space="preserve">rac14</t>
  </si>
  <si>
    <t xml:space="preserve">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</si>
  <si>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</si>
  <si>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 xml:space="preserve">rhGrass</t>
  </si>
  <si>
    <t xml:space="preserve">Heterotrophic Respiration on Grass Tiles</t>
  </si>
  <si>
    <t xml:space="preserve">Can not be produced by LPJ-GUESS: Can't seperate rh between vegetation types as they compete for the same space</t>
  </si>
  <si>
    <t xml:space="preserve">Total RH of grass in the grid cell</t>
  </si>
  <si>
    <t xml:space="preserve">rhShrub</t>
  </si>
  <si>
    <t xml:space="preserve">Heterotrophic Respiration on Shrub Tiles</t>
  </si>
  <si>
    <t xml:space="preserve">Total RH of shrubs in the grid cell</t>
  </si>
  <si>
    <t xml:space="preserve">rhTree</t>
  </si>
  <si>
    <t xml:space="preserve">Heterotrophic Respiration on Tree Tiles</t>
  </si>
  <si>
    <t xml:space="preserve">Total RH of trees in the grid cell</t>
  </si>
  <si>
    <t xml:space="preserve">rhc13</t>
  </si>
  <si>
    <t xml:space="preserve">Mass Flux of 13C into Atmosphere Due to Heterotrophic Respiration on Land</t>
  </si>
  <si>
    <t xml:space="preserve">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</si>
  <si>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 xml:space="preserve">rhc14</t>
  </si>
  <si>
    <t xml:space="preserve">Mass Flux of 14C into Atmosphere Due to Heterotrophic Respiration on Land</t>
  </si>
  <si>
    <t xml:space="preserve">rlusLut</t>
  </si>
  <si>
    <t xml:space="preserve">Surface Upwelling Longwave on Land-Use Tile</t>
  </si>
  <si>
    <t xml:space="preserve">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</si>
  <si>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rsusLut</t>
  </si>
  <si>
    <t xml:space="preserve">Surface Upwelling Shortwave  on Land-use Tile</t>
  </si>
  <si>
    <t xml:space="preserve">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</si>
  <si>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sconcss</t>
  </si>
  <si>
    <t xml:space="preserve">Surface Concentration of Sea-Salt Aerosol</t>
  </si>
  <si>
    <t xml:space="preserve">mass concentration of sea-salt dry aerosol in air in model lowest layer</t>
  </si>
  <si>
    <t xml:space="preserve">sw18O</t>
  </si>
  <si>
    <t xml:space="preserve">Isotopic Ratio of Oxygen-17 in Sea Water</t>
  </si>
  <si>
    <t xml:space="preserve">Ratio of abundance of oxygen-17 (17O) atoms to oxygen-16 (16O) atoms in sea water</t>
  </si>
  <si>
    <t xml:space="preserve">sw2H</t>
  </si>
  <si>
    <t xml:space="preserve">Isotopic Ratio of Deuterium in Sea Water</t>
  </si>
  <si>
    <t xml:space="preserve">Ratio of abundance of hydrogen-2 (2H) atoms to hydrogen-1 (1H) atoms in sea water</t>
  </si>
  <si>
    <t xml:space="preserve">sweLut</t>
  </si>
  <si>
    <t xml:space="preserve">Snow Water Equivalent on Land-Use Tile</t>
  </si>
  <si>
    <t xml:space="preserve">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</si>
  <si>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 xml:space="preserve">swsrfasdust</t>
  </si>
  <si>
    <t xml:space="preserve">All-Sky Surface Shortwave Radiative Flux Due to Dust</t>
  </si>
  <si>
    <t xml:space="preserve">swsrfcsdust</t>
  </si>
  <si>
    <t xml:space="preserve">Clear-Sky Surface Shortwave Radiative Flux Due to Dust</t>
  </si>
  <si>
    <t xml:space="preserve">The direct radiative effect refers to the instantaneous radiative impact on the Earth's energy balance, excluding secondary effects such as changes in cloud cover. Calculated in clear-sky conditions.</t>
  </si>
  <si>
    <t xml:space="preserve">swtoaasdust</t>
  </si>
  <si>
    <t xml:space="preserve">All-Sky Shortwave Flux Due to Dust at Toa</t>
  </si>
  <si>
    <t xml:space="preserve">swtoacsdust</t>
  </si>
  <si>
    <t xml:space="preserve">clear sky  Shortwave flux due to dust at toa</t>
  </si>
  <si>
    <t xml:space="preserve">tSoilPools</t>
  </si>
  <si>
    <t xml:space="preserve">Turnover Rate of Each Model Soil Carbon Pool</t>
  </si>
  <si>
    <t xml:space="preserve">defined as 1/(turnover time) for each soil pool. Use the same pools reported under cSoilPools</t>
  </si>
  <si>
    <t xml:space="preserve">tasLut</t>
  </si>
  <si>
    <t xml:space="preserve">Near-surface Air Temperature on Land Use Tile</t>
  </si>
  <si>
    <t xml:space="preserve">Air temperature is the bulk temperature of the air, not the surface (skin) temperature.</t>
  </si>
  <si>
    <t xml:space="preserve">tslsiLut</t>
  </si>
  <si>
    <t xml:space="preserve">Surface Temperature on Landuse Tile</t>
  </si>
  <si>
    <t xml:space="preserve">Surface temperature (i.e. temperature at which long-wave radiation emitted)</t>
  </si>
  <si>
    <t xml:space="preserve">DAMIP,DynVar,VolMIP</t>
  </si>
  <si>
    <t xml:space="preserve">AerChemMIP,C4MIP,DAMIP,HighResMIP,LUMIP,PMIP</t>
  </si>
  <si>
    <t xml:space="preserve">vegHeightCrop</t>
  </si>
  <si>
    <t xml:space="preserve">Height of Crops</t>
  </si>
  <si>
    <t xml:space="preserve">Can not be produced by LPJ-GUESS: crop doesn't have a height</t>
  </si>
  <si>
    <t xml:space="preserve">Vegetation height averaged over the crop fraction of a grid cell.</t>
  </si>
  <si>
    <t xml:space="preserve">vegHeightGrass</t>
  </si>
  <si>
    <t xml:space="preserve">Height of Grass</t>
  </si>
  <si>
    <t xml:space="preserve">Can not be produced by LPJ-GUESS: grass doesn't have a height</t>
  </si>
  <si>
    <t xml:space="preserve">Vegetation height averaged over the grass fraction of a grid cell.</t>
  </si>
  <si>
    <t xml:space="preserve">vegHeightPasture</t>
  </si>
  <si>
    <t xml:space="preserve">Height of Pastures</t>
  </si>
  <si>
    <t xml:space="preserve">Vegetation height averaged over the pasture fraction of a grid cell.</t>
  </si>
  <si>
    <t xml:space="preserve">vegHeightShrub</t>
  </si>
  <si>
    <t xml:space="preserve">Height of Shrubs</t>
  </si>
  <si>
    <t xml:space="preserve">Vegetation height averaged over the shrub fraction of a grid cell.</t>
  </si>
  <si>
    <t xml:space="preserve">wetlandCH4</t>
  </si>
  <si>
    <t xml:space="preserve">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</si>
  <si>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</si>
  <si>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 xml:space="preserve">wetlandCH4cons</t>
  </si>
  <si>
    <t xml:space="preserve">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</si>
  <si>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</si>
  <si>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 xml:space="preserve">wetlandCH4prod</t>
  </si>
  <si>
    <t xml:space="preserve">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</si>
  <si>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</si>
  <si>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 xml:space="preserve">wetlandFrac</t>
  </si>
  <si>
    <t xml:space="preserve">longitude latitude time typewetla</t>
  </si>
  <si>
    <t xml:space="preserve">Wetland Percentage Cover</t>
  </si>
  <si>
    <t xml:space="preserve">Percentage of grid cell covered by wetland. Report only one year if  fixed percentage is used, or time series if values are determined dynamically.</t>
  </si>
  <si>
    <t xml:space="preserve">C4MIP,CMIP,LUMIP,PMIP</t>
  </si>
  <si>
    <t xml:space="preserve">wtd</t>
  </si>
  <si>
    <t xml:space="preserve">Water Table Depth</t>
  </si>
  <si>
    <t xml:space="preserve">Can not be produced by LPJ-GUESS: Not calculated in this version</t>
  </si>
  <si>
    <t xml:space="preserve">Depth is the vertical distance below the surface. The water table is the surface below which the soil is saturated with water such that all pore spaces are filled.</t>
  </si>
  <si>
    <t xml:space="preserve">ImonAnt</t>
  </si>
  <si>
    <t xml:space="preserve">xant yant time</t>
  </si>
  <si>
    <t xml:space="preserve">Lmon</t>
  </si>
  <si>
    <t xml:space="preserve">burntFractionAll</t>
  </si>
  <si>
    <t xml:space="preserve">longitude latitude time typeburnt</t>
  </si>
  <si>
    <t xml:space="preserve">Percentage of Entire Grid cell  that is Covered by Burnt Vegetation (All Classes)</t>
  </si>
  <si>
    <t xml:space="preserve">Can not be produced by LPJ-GUESS: Not calculated in LPJ-GUESS</t>
  </si>
  <si>
    <t xml:space="preserve">Percentage of grid cell burned due to all fires including natural and anthropogenic fires and those associated with anthropogenic Land-use change</t>
  </si>
  <si>
    <t xml:space="preserve">AerChemMIP,C4MIP,CFMIP,CMIP,FAFMIP,GMMIP,GeoMIP,HighResMIP,LS3MIP,LUMIP,PMIP,RFMIP,VIACSAB,VolMIP</t>
  </si>
  <si>
    <t xml:space="preserve">c3PftFrac</t>
  </si>
  <si>
    <t xml:space="preserve">longitude latitude time typec3pft</t>
  </si>
  <si>
    <t xml:space="preserve">Percentage Cover by C3 Plant Functional Type</t>
  </si>
  <si>
    <t xml:space="preserve">Percentage of entire grid cell  that is covered by C3 PFTs (including grass, crops, and trees).</t>
  </si>
  <si>
    <t xml:space="preserve">AerChemMIP,CMIP,FAFMIP,GMMIP,GeoMIP,HighResMIP,LS3MIP,PMIP,RFMIP,VIACSAB,VolMIP</t>
  </si>
  <si>
    <t xml:space="preserve">c4PftFrac</t>
  </si>
  <si>
    <t xml:space="preserve">longitude latitude time typec4pft</t>
  </si>
  <si>
    <t xml:space="preserve">Percentage Cover by C4 Plant Functional Type</t>
  </si>
  <si>
    <t xml:space="preserve">Percentage of entire grid cell  that is covered by C4 PFTs (including grass and crops).</t>
  </si>
  <si>
    <t xml:space="preserve">fVegSoil</t>
  </si>
  <si>
    <t xml:space="preserve">Total Carbon Mass Flux from Vegetation Directly to Soil</t>
  </si>
  <si>
    <t xml:space="preserve">Can not be produced by LPJ-GUESS: No process that does this</t>
  </si>
  <si>
    <t xml:space="preserve">Carbon mass flux per unit area from vegetation directly into soil, without intermediate conversion to litter.</t>
  </si>
  <si>
    <t xml:space="preserve">AerChemMIP,C4MIP,CMIP,FAFMIP,GMMIP,GeoMIP,HighResMIP,LS3MIP,LUMIP,PMIP,RFMIP,VIACSAB,VolMIP</t>
  </si>
  <si>
    <t xml:space="preserve">nppLeaf</t>
  </si>
  <si>
    <t xml:space="preserve">Carbon Mass Flux Due to NPP Allocation to Leaf</t>
  </si>
  <si>
    <t xml:space="preserve">This is the rate of carbon uptake by leaves due to NPP</t>
  </si>
  <si>
    <t xml:space="preserve">AerChemMIP,C4MIP,CMIP,FAFMIP,GMMIP,GeoMIP,HighResMIP,LS3MIP,LUMIP,RFMIP,VIACSAB,VolMIP</t>
  </si>
  <si>
    <t xml:space="preserve">nppRoot</t>
  </si>
  <si>
    <t xml:space="preserve">Carbon Mass Flux Due to NPP Allocation to Roots</t>
  </si>
  <si>
    <t xml:space="preserve">This is the rate of carbon uptake by roots due to NPP</t>
  </si>
  <si>
    <t xml:space="preserve">nppWood</t>
  </si>
  <si>
    <t xml:space="preserve">Carbon Mass Flux Due to NPP Allocation to Wood</t>
  </si>
  <si>
    <t xml:space="preserve">This is the rate of carbon uptake by wood due to NPP</t>
  </si>
  <si>
    <t xml:space="preserve">treeFracPrimDec</t>
  </si>
  <si>
    <t xml:space="preserve">longitude latitude time typepdec</t>
  </si>
  <si>
    <t xml:space="preserve">Percentage Cover by Primary Deciduous Tree</t>
  </si>
  <si>
    <t xml:space="preserve">Percentage of the entire grid cell  that is covered by total primary deciduous trees.</t>
  </si>
  <si>
    <t xml:space="preserve">treeFracPrimEver</t>
  </si>
  <si>
    <t xml:space="preserve">longitude latitude time typepever</t>
  </si>
  <si>
    <t xml:space="preserve">Percentage Cover by Primary Evergreen Trees</t>
  </si>
  <si>
    <t xml:space="preserve">Percentage of entire grid cell  that is covered by primary evergreen trees.</t>
  </si>
  <si>
    <t xml:space="preserve">treeFracSecDec</t>
  </si>
  <si>
    <t xml:space="preserve">longitude latitude time typesdec</t>
  </si>
  <si>
    <t xml:space="preserve">Percentage Cover by Secondary Deciduous Trees</t>
  </si>
  <si>
    <t xml:space="preserve">Percentage of entire grid cell  that is covered by secondary deciduous trees.</t>
  </si>
  <si>
    <t xml:space="preserve">treeFracSecEver</t>
  </si>
  <si>
    <t xml:space="preserve">longitude latitude time typesever</t>
  </si>
  <si>
    <t xml:space="preserve">Percentage Cover by Secondary Evergreen Trees</t>
  </si>
  <si>
    <t xml:space="preserve">Percentage of entire grid cell  that is covered by secondary evergreen trees.</t>
  </si>
  <si>
    <t xml:space="preserve">IfxAnt</t>
  </si>
  <si>
    <t xml:space="preserve">areacellg</t>
  </si>
  <si>
    <t xml:space="preserve">Grid-Cell Area for Ice Sheet Variables</t>
  </si>
  <si>
    <t xml:space="preserve">m2</t>
  </si>
  <si>
    <t xml:space="preserve">We do not have an Antarctic ice sheet.</t>
  </si>
  <si>
    <t xml:space="preserve">Area of the target grid (not the interpolated area of the source grid).</t>
  </si>
  <si>
    <t xml:space="preserve">mrroLi</t>
  </si>
  <si>
    <t xml:space="preserve">Land Ice Runoff Flux</t>
  </si>
  <si>
    <t xml:space="preserve">Runoff flux over land ice is the difference between any available liquid water in the snowpack less any refreezing. Computed as the sum of rainfall and melt of snow or ice less any refreezing or water retained in the snowpack</t>
  </si>
  <si>
    <t xml:space="preserve">IyrAnt</t>
  </si>
  <si>
    <t xml:space="preserve">modelCellAreai</t>
  </si>
  <si>
    <t xml:space="preserve">The cell area of the ice sheet model.</t>
  </si>
  <si>
    <t xml:space="preserve">Horizontal area of ice-sheet grid cells</t>
  </si>
  <si>
    <t xml:space="preserve">sftgif</t>
  </si>
  <si>
    <t xml:space="preserve">xant yant time typeli</t>
  </si>
  <si>
    <t xml:space="preserve">Fraction of Grid Cell Covered with Glacier</t>
  </si>
  <si>
    <t xml:space="preserve">Fraction of grid cell covered by land ice (ice sheet, ice shelf, ice cap, glacier)</t>
  </si>
  <si>
    <t xml:space="preserve">sftgrf</t>
  </si>
  <si>
    <t xml:space="preserve">xant yant time typegis</t>
  </si>
  <si>
    <t xml:space="preserve">Grounded Ice Sheet  Area Fraction</t>
  </si>
  <si>
    <t xml:space="preserve">Fraction of grid cell covered by grounded ice sheet</t>
  </si>
  <si>
    <t xml:space="preserve">alevhalf spectband</t>
  </si>
  <si>
    <t xml:space="preserve">Not available in IFS: All Up and downwelling radiation is only at the TOA and the surface available in IFS standard output. 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</si>
  <si>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swtoafluxaerocs</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</si>
  <si>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</si>
  <si>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</si>
  <si>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</si>
  <si>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</si>
  <si>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</si>
  <si>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</si>
  <si>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</si>
  <si>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</si>
  <si>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Aerosol optical depth at 550 nm due to stratospheric volcanic aerosols</t>
  </si>
  <si>
    <t xml:space="preserve">aerosol optical depth at 550 nm due to stratospheric volcanic aerosols</t>
  </si>
  <si>
    <t xml:space="preserve">ec550aer</t>
  </si>
  <si>
    <t xml:space="preserve">longitude latitude alevel time lambda550nm</t>
  </si>
  <si>
    <t xml:space="preserve">Aerosol extinction coefficient</t>
  </si>
  <si>
    <t xml:space="preserve">m-1</t>
  </si>
  <si>
    <t xml:space="preserve">Though available for 6hrLev  tm5 code name = ec550aer this variable is not available for Emon</t>
  </si>
  <si>
    <t xml:space="preserve">Aerosol Extinction at 550nm</t>
  </si>
  <si>
    <t xml:space="preserve">E6hrZ</t>
  </si>
  <si>
    <t xml:space="preserve">zmswaero</t>
  </si>
  <si>
    <t xml:space="preserve">latitude alevel time1</t>
  </si>
  <si>
    <t xml:space="preserve">Zonal mean shortwave heating rate due to volcanic aerosols</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</si>
  <si>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</si>
  <si>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</si>
  <si>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</si>
  <si>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</si>
  <si>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hfdsnb</t>
  </si>
  <si>
    <t xml:space="preserve">Downward heat flux at snow base</t>
  </si>
  <si>
    <t xml:space="preserve">Not available in IFS output, however it is computed in H-TESSEL</t>
  </si>
  <si>
    <t xml:space="preserve">Gijs, Andrea, Thomas</t>
  </si>
  <si>
    <t xml:space="preserve">Heat flux from snow into the ice or land under the snow.</t>
  </si>
  <si>
    <t xml:space="preserve">hfrs</t>
  </si>
  <si>
    <t xml:space="preserve">Heat transferred to snowpack by rainfall</t>
  </si>
  <si>
    <t xml:space="preserve">zero</t>
  </si>
  <si>
    <t xml:space="preserve">Heat transferred to a snow cover by rain..</t>
  </si>
  <si>
    <t xml:space="preserve">eow</t>
  </si>
  <si>
    <t xml:space="preserve">Open Water Evaporation</t>
  </si>
  <si>
    <t xml:space="preserve">Not available </t>
  </si>
  <si>
    <t xml:space="preserve">The surface called 'surface' means the lower boundary of the atmosphere. 'Water' means water in all phases, including frozen i.e. ice and snow. Evaporation is the conversion of liquid or solid into vapor. (The conversion of solid alone into vapor is called 'sublimation'). The quantity with standard name surface_water_evaporation_flux does not include transpiration from vegetation.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</si>
  <si>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 xml:space="preserve">sblnosn</t>
  </si>
  <si>
    <t xml:space="preserve">Sublimation of the snow free area</t>
  </si>
  <si>
    <t xml:space="preserve">The phrase 'tendency_of_X'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Atmosphere water vapor content is sometimes referred to as 'precipitable water', although this term does not imply the water could all be precipitated. The specification of a physical process by the phrase due_to_process means that the quantity named is a single term in a sum of terms which together compose the general quantity named by omitting the phrase. Sublimation is the conversion of solid into vapor. Unless indicated in the cell_methods attribute, a quantity is assumed to apply to the whole area of each horizontal grid box.</t>
  </si>
  <si>
    <t xml:space="preserve">snrefr</t>
  </si>
  <si>
    <t xml:space="preserve">Re-freezing of water in the snow</t>
  </si>
  <si>
    <t xml:space="preserve">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</si>
  <si>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 xml:space="preserve">qgwr</t>
  </si>
  <si>
    <t xml:space="preserve">Groundwater recharge from soil layer</t>
  </si>
  <si>
    <t xml:space="preserve">Not represented</t>
  </si>
  <si>
    <t xml:space="preserve">In accordance with common usage in geophysical disciplines, 'flux' implies per unit area, called 'flux density' in physics. Groundwater is subsurface water below the depth of the water table. The quantity with standard name liquid_water_mass_flux_from_soil_to_groundwater is the downward flux of liquid water within soil at the depth of the water table, or downward flux from the base of the soil model if the water table depth is greater.</t>
  </si>
  <si>
    <t xml:space="preserve">rivo</t>
  </si>
  <si>
    <t xml:space="preserve">River Discharge</t>
  </si>
  <si>
    <t xml:space="preserve">m3 s-1</t>
  </si>
  <si>
    <t xml:space="preserve">Outflow of River Water from Cell</t>
  </si>
  <si>
    <t xml:space="preserve">rivi</t>
  </si>
  <si>
    <t xml:space="preserve">River Inflow</t>
  </si>
  <si>
    <t xml:space="preserve">Inflow of River Water into Cell</t>
  </si>
  <si>
    <t xml:space="preserve">dgw</t>
  </si>
  <si>
    <t xml:space="preserve">Change in Groundwater</t>
  </si>
  <si>
    <t xml:space="preserve">The phrase 'change_over_time_in_X' means change in a quantity X over a time-interval, which should be defined by the bounds of the time coordinate. 'Water' means water in all phases. Groundwater is subsurface water below the depth of the water table. 'Amount' means mass per unit area.</t>
  </si>
  <si>
    <t xml:space="preserve">drivw</t>
  </si>
  <si>
    <t xml:space="preserve">Change in River Storage</t>
  </si>
  <si>
    <t xml:space="preserve">The phrase 'change_over_time_in_X' means change in a quantity X over a time-interval, which should be defined by the bounds of the time coordinate. 'Water' means water in all phases. 'River' refers to the water in the fluvial system (stream and floodplain). 'Amount' means mass per unit area.</t>
  </si>
  <si>
    <t xml:space="preserve">snwc</t>
  </si>
  <si>
    <t xml:space="preserve">SWE intercepted by the vegetation</t>
  </si>
  <si>
    <t xml:space="preserve">no represented: equal to zero</t>
  </si>
  <si>
    <t xml:space="preserve">Total water mass of the snowpack (liquid or frozen), averaged over a grid cell and interecepted by the canopy.</t>
  </si>
  <si>
    <t xml:space="preserve">sw</t>
  </si>
  <si>
    <t xml:space="preserve">Surface Water Storage</t>
  </si>
  <si>
    <t xml:space="preserve">not represented</t>
  </si>
  <si>
    <t xml:space="preserve">Total liquid water storage, other than soil, snow or interception storage (i.e. lakes, river channel or depression storage).</t>
  </si>
  <si>
    <t xml:space="preserve">Water table depth</t>
  </si>
  <si>
    <t xml:space="preserve">prrsn</t>
  </si>
  <si>
    <t xml:space="preserve">Fraction of rainfall on snow.</t>
  </si>
  <si>
    <t xml:space="preserve">not available </t>
  </si>
  <si>
    <t xml:space="preserve">The fraction of the grid averaged rainfall which falls on the snow pack</t>
  </si>
  <si>
    <t xml:space="preserve">prsnsn</t>
  </si>
  <si>
    <t xml:space="preserve">Fraction of snowfall (including hail and graupel) on snow.</t>
  </si>
  <si>
    <t xml:space="preserve">The fraction of the snowfall which falls on the snow pack</t>
  </si>
  <si>
    <t xml:space="preserve">Snow Age</t>
  </si>
  <si>
    <t xml:space="preserve">phalf</t>
  </si>
  <si>
    <t xml:space="preserve">longitude latitude alevhalf time2</t>
  </si>
  <si>
    <t xml:space="preserve">Pressure on Model Half-Levels</t>
  </si>
  <si>
    <t xml:space="preserve">No pressure on vertical staggered levels in IFS #385.</t>
  </si>
  <si>
    <t xml:space="preserve">automatic</t>
  </si>
  <si>
    <t xml:space="preserve">Air pressure on model half-levels</t>
  </si>
  <si>
    <t xml:space="preserve">cl</t>
  </si>
  <si>
    <t xml:space="preserve">Percentage Cloud Cover</t>
  </si>
  <si>
    <t xml:space="preserve">ifs code name = 248.128</t>
  </si>
  <si>
    <t xml:space="preserve">Percentage cloud cover, including both large-scale and convective cloud.</t>
  </si>
  <si>
    <t xml:space="preserve">clw</t>
  </si>
  <si>
    <t xml:space="preserve">Mass Fraction of Cloud Liquid Water</t>
  </si>
  <si>
    <t xml:space="preserve">ifs code name = 246.128</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</si>
  <si>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</si>
  <si>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cli</t>
  </si>
  <si>
    <t xml:space="preserve">Mass Fraction of Cloud Ice</t>
  </si>
  <si>
    <t xml:space="preserve">ifs code name = 247.128</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</si>
  <si>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</si>
  <si>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ta</t>
  </si>
  <si>
    <t xml:space="preserve">Air Temperature</t>
  </si>
  <si>
    <t xml:space="preserve">ifs code name = 130.128</t>
  </si>
  <si>
    <t xml:space="preserve">ua</t>
  </si>
  <si>
    <t xml:space="preserve">Eastward Wind</t>
  </si>
  <si>
    <t xml:space="preserve">ifs code name = 131.128</t>
  </si>
  <si>
    <t xml:space="preserve">Zonal wind (positive in a eastward direction).</t>
  </si>
  <si>
    <t xml:space="preserve">va</t>
  </si>
  <si>
    <t xml:space="preserve">Northward Wind</t>
  </si>
  <si>
    <t xml:space="preserve">ifs code name = 132.128</t>
  </si>
  <si>
    <t xml:space="preserve">Meridional wind (positive in a northward direction).</t>
  </si>
  <si>
    <t xml:space="preserve">hus</t>
  </si>
  <si>
    <t xml:space="preserve">Specific Humidity</t>
  </si>
  <si>
    <t xml:space="preserve">ifs code name = 133.128</t>
  </si>
  <si>
    <t xml:space="preserve">Specific humidity is the mass fraction of water vapor in (moist) air.</t>
  </si>
  <si>
    <t xml:space="preserve">hur</t>
  </si>
  <si>
    <t xml:space="preserve">Relative Humidity</t>
  </si>
  <si>
    <t xml:space="preserve">ifs code name = 157.128</t>
  </si>
  <si>
    <t xml:space="preserve">wap</t>
  </si>
  <si>
    <t xml:space="preserve">Omega (=dp/dt)</t>
  </si>
  <si>
    <t xml:space="preserve">Pa s-1</t>
  </si>
  <si>
    <t xml:space="preserve">ifs code name = 135.128</t>
  </si>
  <si>
    <t xml:space="preserve">Omega (vertical velocity in pressure coordinates, positive downwards)</t>
  </si>
  <si>
    <t xml:space="preserve">zg</t>
  </si>
  <si>
    <t xml:space="preserve">Geopotential Height</t>
  </si>
  <si>
    <t xml:space="preserve">ifs code name = 129.128</t>
  </si>
  <si>
    <t xml:space="preserve">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</si>
  <si>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 xml:space="preserve">pfull</t>
  </si>
  <si>
    <t xml:space="preserve">Pressure at Model Full-Levels</t>
  </si>
  <si>
    <t xml:space="preserve">ifs code name = 54.128</t>
  </si>
  <si>
    <t xml:space="preserve">Air pressure on model levels</t>
  </si>
  <si>
    <t xml:space="preserve">tm5 code name = phalf</t>
  </si>
  <si>
    <t xml:space="preserve">tas</t>
  </si>
  <si>
    <t xml:space="preserve">site time1 height2m</t>
  </si>
  <si>
    <t xml:space="preserve">Near-Surface Air Temperature</t>
  </si>
  <si>
    <t xml:space="preserve">ifs code name = 167.128</t>
  </si>
  <si>
    <t xml:space="preserve">near-surface (usually, 2 meter) air temperature</t>
  </si>
  <si>
    <t xml:space="preserve">ts</t>
  </si>
  <si>
    <t xml:space="preserve">Surface Temperature</t>
  </si>
  <si>
    <t xml:space="preserve">ifs code name = 139.128</t>
  </si>
  <si>
    <t xml:space="preserve">Temperature of the lower boundary of the atmosphere</t>
  </si>
  <si>
    <t xml:space="preserve">psl</t>
  </si>
  <si>
    <t xml:space="preserve">Sea Level Pressure</t>
  </si>
  <si>
    <t xml:space="preserve">ifs code name = 151.128</t>
  </si>
  <si>
    <t xml:space="preserve">ps</t>
  </si>
  <si>
    <t xml:space="preserve">Surface Air Pressure</t>
  </si>
  <si>
    <t xml:space="preserve">tm5 code name = ps</t>
  </si>
  <si>
    <t xml:space="preserve">surface pressure (not mean sea-level pressure), 2-D field to calculate the 3-D pressure field from hybrid coordinates</t>
  </si>
  <si>
    <t xml:space="preserve">uas</t>
  </si>
  <si>
    <t xml:space="preserve">site time1 height10m</t>
  </si>
  <si>
    <t xml:space="preserve">Eastward Near-Surface Wind</t>
  </si>
  <si>
    <t xml:space="preserve">ifs code name = 165.128</t>
  </si>
  <si>
    <t xml:space="preserve">Eastward component of the near-surface (usually, 10 meters)  wind</t>
  </si>
  <si>
    <t xml:space="preserve">vas</t>
  </si>
  <si>
    <t xml:space="preserve">Northward Near-Surface Wind</t>
  </si>
  <si>
    <t xml:space="preserve">ifs code name = 166.128</t>
  </si>
  <si>
    <t xml:space="preserve">Northward component of the near surface wind</t>
  </si>
  <si>
    <t xml:space="preserve">sfcWind</t>
  </si>
  <si>
    <t xml:space="preserve">Near-Surface Wind Speed</t>
  </si>
  <si>
    <t xml:space="preserve">ifs code name = 214.128, expression = sqrt(sqr(var165)+sqr(var166))</t>
  </si>
  <si>
    <t xml:space="preserve">near-surface (usually, 10 meters) wind speed.</t>
  </si>
  <si>
    <t xml:space="preserve">hurs</t>
  </si>
  <si>
    <t xml:space="preserve">Near-Surface Relative Humidity</t>
  </si>
  <si>
    <t xml:space="preserve">ifs code name = 80.129, expression = 100.*exp(17.62*((var168-273.15)/(var168-30.03)-(var167-273.15)/(var167-30.03)))</t>
  </si>
  <si>
    <t xml:space="preserve">huss</t>
  </si>
  <si>
    <t xml:space="preserve">Near-Surface Specific Humidity</t>
  </si>
  <si>
    <t xml:space="preserve">ifs code name = 81.129, expression = 1./(1.+1.608*(var134*exp(-17.62*(var168-273.15)/(var168-30.03))/611.-1.))</t>
  </si>
  <si>
    <t xml:space="preserve">Near-surface (usually, 2 meter) specific humidity.</t>
  </si>
  <si>
    <t xml:space="preserve">pr</t>
  </si>
  <si>
    <t xml:space="preserve">Precipitation</t>
  </si>
  <si>
    <t xml:space="preserve">ifs code name = 228.128</t>
  </si>
  <si>
    <t xml:space="preserve">includes both liquid and solid phases</t>
  </si>
  <si>
    <t xml:space="preserve">prsn</t>
  </si>
  <si>
    <t xml:space="preserve">Snowfall Flux</t>
  </si>
  <si>
    <t xml:space="preserve">ifs code name = 144.128</t>
  </si>
  <si>
    <t xml:space="preserve">At surface; includes precipitation of all forms of water in the solid phase</t>
  </si>
  <si>
    <t xml:space="preserve">prc</t>
  </si>
  <si>
    <t xml:space="preserve">Convective Precipitation</t>
  </si>
  <si>
    <t xml:space="preserve">ifs code name = 143.128</t>
  </si>
  <si>
    <t xml:space="preserve">Convective precipitation at surface; includes both liquid and solid phases.</t>
  </si>
  <si>
    <t xml:space="preserve">evspsbl</t>
  </si>
  <si>
    <t xml:space="preserve">Evaporation Including Sublimation and Transpiration</t>
  </si>
  <si>
    <t xml:space="preserve">ifs code name = 182.128</t>
  </si>
  <si>
    <t xml:space="preserve">Evaporation at surface (also known as evapotranspiration): flux of water into the atmosphere due to conversion of both liquid and solid phases to vapor (from underlying surface and vegetation)</t>
  </si>
  <si>
    <t xml:space="preserve">sbl</t>
  </si>
  <si>
    <t xml:space="preserve">Surface Snow and Ice Sublimation Flux</t>
  </si>
  <si>
    <t xml:space="preserve">ifs code name = 44.128</t>
  </si>
  <si>
    <t xml:space="preserve">The snow and ice sublimation flux is the loss of snow and ice mass per unit area from the surface resulting from their direct conversion to water vapor that enters the atmosphere.</t>
  </si>
  <si>
    <t xml:space="preserve">tauu</t>
  </si>
  <si>
    <t xml:space="preserve">Surface Downward Eastward Wind Stress</t>
  </si>
  <si>
    <t xml:space="preserve">ifs code name = 180.128</t>
  </si>
  <si>
    <t xml:space="preserve">Downward eastward wind stress at the surface</t>
  </si>
  <si>
    <t xml:space="preserve">tauv</t>
  </si>
  <si>
    <t xml:space="preserve">Surface Downward Northward Wind Stress</t>
  </si>
  <si>
    <t xml:space="preserve">ifs code name = 181.128</t>
  </si>
  <si>
    <t xml:space="preserve">Downward northward wind stress at the surface</t>
  </si>
  <si>
    <t xml:space="preserve">hfls</t>
  </si>
  <si>
    <t xml:space="preserve">Surface Upward Latent Heat Flux</t>
  </si>
  <si>
    <t xml:space="preserve">ifs code name = 147.128</t>
  </si>
  <si>
    <t xml:space="preserve">hfss</t>
  </si>
  <si>
    <t xml:space="preserve">Surface Upward Sensible Heat Flux</t>
  </si>
  <si>
    <t xml:space="preserve">ifs code name = 146.128</t>
  </si>
  <si>
    <t xml:space="preserve">The surface sensible heat flux, also called turbulent heat flux, is the exchange of heat between the surface and the air by motion of air.</t>
  </si>
  <si>
    <t xml:space="preserve">rlds</t>
  </si>
  <si>
    <t xml:space="preserve">Surface Downwelling Longwave Radiation</t>
  </si>
  <si>
    <t xml:space="preserve">ifs code name = 175.128</t>
  </si>
  <si>
    <t xml:space="preserve">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</si>
  <si>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rlus</t>
  </si>
  <si>
    <t xml:space="preserve">Surface Upwelling Longwave Radiation</t>
  </si>
  <si>
    <t xml:space="preserve">ifs code name = 96.129, expression = var177-var175</t>
  </si>
  <si>
    <t xml:space="preserve">rsds</t>
  </si>
  <si>
    <t xml:space="preserve">Surface Downwelling Shortwave Radiation</t>
  </si>
  <si>
    <t xml:space="preserve">ifs code name = 169.128</t>
  </si>
  <si>
    <t xml:space="preserve">Surface solar irradiance for UV calculations.</t>
  </si>
  <si>
    <t xml:space="preserve">rsus</t>
  </si>
  <si>
    <t xml:space="preserve">Surface Upwelling Shortwave Radiation</t>
  </si>
  <si>
    <t xml:space="preserve">ifs code name = 95.129, expression = var176-var169</t>
  </si>
  <si>
    <t xml:space="preserve">rsdscs</t>
  </si>
  <si>
    <t xml:space="preserve">Surface Downwelling Clear-Sky Shortwave Radiation</t>
  </si>
  <si>
    <t xml:space="preserve">ifs code name = 102.129, expression = var210-var176+var169</t>
  </si>
  <si>
    <t xml:space="preserve">Surface solar irradiance clear sky for UV calculations</t>
  </si>
  <si>
    <t xml:space="preserve">rsuscs</t>
  </si>
  <si>
    <t xml:space="preserve">Surface Upwelling Clear-Sky Shortwave Radiation</t>
  </si>
  <si>
    <t xml:space="preserve">Surface Upwelling Clear-sky Shortwave Radiation</t>
  </si>
  <si>
    <t xml:space="preserve">rldscs</t>
  </si>
  <si>
    <t xml:space="preserve">Surface Downwelling Clear-Sky Longwave Radiation</t>
  </si>
  <si>
    <t xml:space="preserve">ifs code name = 104.129, expression = var211-var177+var175</t>
  </si>
  <si>
    <t xml:space="preserve">Surface downwelling clear-sky longwave radiation</t>
  </si>
  <si>
    <t xml:space="preserve">rsdt</t>
  </si>
  <si>
    <t xml:space="preserve">TOA Incident Shortwave Radiation</t>
  </si>
  <si>
    <t xml:space="preserve">ifs code name = 212.128</t>
  </si>
  <si>
    <t xml:space="preserve">Shortwave radiation incident at the top of the atmosphere</t>
  </si>
  <si>
    <t xml:space="preserve">rsut</t>
  </si>
  <si>
    <t xml:space="preserve">TOA Outgoing Shortwave Radiation</t>
  </si>
  <si>
    <t xml:space="preserve">ifs code name = 97.129, expression = var178-var212</t>
  </si>
  <si>
    <t xml:space="preserve">at the top of the atmosphere</t>
  </si>
  <si>
    <t xml:space="preserve">rlut</t>
  </si>
  <si>
    <t xml:space="preserve">TOA Outgoing Longwave Radiation</t>
  </si>
  <si>
    <t xml:space="preserve">ifs code name = 179.128</t>
  </si>
  <si>
    <t xml:space="preserve">at the top of the atmosphere (to be compared with satellite measurements)</t>
  </si>
  <si>
    <t xml:space="preserve">rlutcs</t>
  </si>
  <si>
    <t xml:space="preserve">TOA Outgoing Clear-Sky Longwave Radiation</t>
  </si>
  <si>
    <t xml:space="preserve">ifs code name = 209.128</t>
  </si>
  <si>
    <t xml:space="preserve">Upwelling clear-sky longwave radiation at top of atmosphere</t>
  </si>
  <si>
    <t xml:space="preserve">rsutcs</t>
  </si>
  <si>
    <t xml:space="preserve">TOA Outgoing Clear-Sky Shortwave Radiation</t>
  </si>
  <si>
    <t xml:space="preserve">ifs code name = 103.129, expression = var208-var212</t>
  </si>
  <si>
    <t xml:space="preserve">Calculated in the absence of clouds.</t>
  </si>
  <si>
    <t xml:space="preserve">prw</t>
  </si>
  <si>
    <t xml:space="preserve">Water Vapor Path</t>
  </si>
  <si>
    <t xml:space="preserve">ifs code name = 137.128</t>
  </si>
  <si>
    <t xml:space="preserve">vertically integrated through the atmospheric column</t>
  </si>
  <si>
    <t xml:space="preserve">clt</t>
  </si>
  <si>
    <t xml:space="preserve">Total Cloud Cover Percentage</t>
  </si>
  <si>
    <t xml:space="preserve">ifs code name = 164.128</t>
  </si>
  <si>
    <t xml:space="preserve">Total cloud area fraction for the whole atmospheric column, as seen from the surface or the top of the atmosphere. Includes both large-scale and convective cloud.</t>
  </si>
  <si>
    <t xml:space="preserve">clwvi</t>
  </si>
  <si>
    <t xml:space="preserve">Condensed Water Path</t>
  </si>
  <si>
    <t xml:space="preserve">ifs code name = 116.129, expression = var78+var79</t>
  </si>
  <si>
    <t xml:space="preserve">Mass of condensed (liquid + ice) water in the column divided by the area of the column (not just the area of the cloudy portion of the column). Includes precipitating hydrometeors ONLY if the precipitating hydrometeors affect the calculation of radiative transfer in model.</t>
  </si>
  <si>
    <t xml:space="preserve">clivi</t>
  </si>
  <si>
    <t xml:space="preserve">Ice Water Path</t>
  </si>
  <si>
    <t xml:space="preserve">ifs code name = 79.128</t>
  </si>
  <si>
    <t xml:space="preserve">mass of ice water in the column divided by the area of the column (not just the area of the cloudy portion of the column). Includes precipitating frozen hydrometeors ONLY if the precipitating hydrometeor affects the calculation of radiative transfer in model.</t>
  </si>
  <si>
    <t xml:space="preserve">rtmt</t>
  </si>
  <si>
    <t xml:space="preserve">Net Downward Radiative Flux at Top of Model</t>
  </si>
  <si>
    <t xml:space="preserve">ifs code name = 98.129, expression = var178+var179</t>
  </si>
  <si>
    <t xml:space="preserve">Net Downward Radiative Flux at Top of Model : I.e., at the top of that portion of the atmosphere where dynamics are explicitly treated by the model. This is reported only if it differs from the net downward radiative flux at the top of the atmosphere.</t>
  </si>
  <si>
    <t xml:space="preserve">fco2antt</t>
  </si>
  <si>
    <t xml:space="preserve">Carbon Mass Flux into Atmosphere Due to All Anthropogenic Emissions of CO2</t>
  </si>
  <si>
    <t xml:space="preserve">lpjg code name = fco2antt</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</si>
  <si>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</si>
  <si>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fco2nat</t>
  </si>
  <si>
    <t xml:space="preserve">Surface Carbon Mass Flux into the Atmosphere Due to Natural Sources</t>
  </si>
  <si>
    <t xml:space="preserve">lpjg code name = fco2nat</t>
  </si>
  <si>
    <t xml:space="preserve">This is what the atmosphere sees (on its own grid).  This field should be equivalent to the combined natural fluxes of carbon  that account for natural exchanges between the atmosphere and land (nep) or ocean (fgco2) reservoirs.</t>
  </si>
  <si>
    <t xml:space="preserve">tnhus</t>
  </si>
  <si>
    <t xml:space="preserve">Tendency of Specific Humidity</t>
  </si>
  <si>
    <t xml:space="preserve">Grib 126.94 + 126.99 + 126.106 + 126.110  Adding all the q-tendencies, thus: grib 128.94 + 128.99 + 128.106 + 128.110.  Alternatively, in IFS: just estimating the delta q per month. So far no direct grib code for the totoal q-tendency found</t>
  </si>
  <si>
    <t xml:space="preserve">tnhusc</t>
  </si>
  <si>
    <t xml:space="preserve">Tendency of Specific Humidity Due to Convection</t>
  </si>
  <si>
    <t xml:space="preserve">grib 126.106                                                              Available in IFS: q-tendency from convection: grib 128.106</t>
  </si>
  <si>
    <t xml:space="preserve">Tendencies from cumulus convection scheme.</t>
  </si>
  <si>
    <t xml:space="preserve">tnhusmp</t>
  </si>
  <si>
    <t xml:space="preserve">Tendency of Specific Humidity Due to Model Physics</t>
  </si>
  <si>
    <t xml:space="preserve">grib 126.99 + 126.106 + 126.110                      Adding all the q-tendencies without advection, thus: grib 128.99 + 128.106 + 128.110.</t>
  </si>
  <si>
    <t xml:space="preserve">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</si>
  <si>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 xml:space="preserve">tntc</t>
  </si>
  <si>
    <t xml:space="preserve">Tendency of Air Temperature Due to Convection</t>
  </si>
  <si>
    <t xml:space="preserve">grib 126.105                                                              Available in IFS: T-tendency from convection : grib 128.105</t>
  </si>
  <si>
    <t xml:space="preserve">tntr</t>
  </si>
  <si>
    <t xml:space="preserve">Tendency of Air Temperature Due to Radiative Heating</t>
  </si>
  <si>
    <t xml:space="preserve">grib 126.95                                                                Available in IFS: T-tendency from radiation: grib 128.95</t>
  </si>
  <si>
    <t xml:space="preserve">Tendency of Air Temperature due to Radiative Heating</t>
  </si>
  <si>
    <t xml:space="preserve">web</t>
  </si>
  <si>
    <t xml:space="preserve">longitude</t>
  </si>
  <si>
    <t xml:space="preserve">site</t>
  </si>
  <si>
    <t xml:space="preserve">Longitude</t>
  </si>
  <si>
    <t xml:space="preserve">degrees_east</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</si>
  <si>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</si>
  <si>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</si>
  <si>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 xml:space="preserve">latitude</t>
  </si>
  <si>
    <t xml:space="preserve">Latitude</t>
  </si>
  <si>
    <t xml:space="preserve">degrees_north</t>
  </si>
  <si>
    <t xml:space="preserve">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</si>
  <si>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 xml:space="preserve">gpp</t>
  </si>
  <si>
    <t xml:space="preserve">Carbon Mass Flux out of Atmosphere Due to Gross Primary Production on Land</t>
  </si>
  <si>
    <t xml:space="preserve">Can not be produced by LPJ-GUESS: Shotest timestep in LPJ-GUESS for this variable is one month currently</t>
  </si>
  <si>
    <t xml:space="preserve">David Warlind, Thomas</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</si>
  <si>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</si>
  <si>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 xml:space="preserve">ra</t>
  </si>
  <si>
    <t xml:space="preserve">Carbon Mass Flux into Atmosphere Due to Autotrophic (Plant) Respiration on Land</t>
  </si>
  <si>
    <t xml:space="preserve">Carbon mass flux per unit area into atmosphere due to autotrophic respiration on land (respiration by producers) [see rh for heterotrophic production]</t>
  </si>
  <si>
    <t xml:space="preserve">rh</t>
  </si>
  <si>
    <t xml:space="preserve">Carbon Mass Flux into Atmosphere Due to Heterotrophic Respiration on Land</t>
  </si>
  <si>
    <t xml:space="preserve">Carbon mass flux per unit area into atmosphere due to heterotrophic respiration on land (respiration by consumers)</t>
  </si>
  <si>
    <t xml:space="preserve">thkcello</t>
  </si>
  <si>
    <t xml:space="preserve">Ocean Model Cell Thickness</t>
  </si>
  <si>
    <t xml:space="preserve">nemo code name = thkcello  but not constant in time in NEMO</t>
  </si>
  <si>
    <t xml:space="preserve">automatic, Thomas</t>
  </si>
  <si>
    <t xml:space="preserve">'Thickness' means the vertical extent of a layer. 'Cell' refers to a model grid-cell.</t>
  </si>
  <si>
    <t xml:space="preserve">CMIP,DCPP,PAMIP,PMIP,VIACSAB</t>
  </si>
  <si>
    <t xml:space="preserve">masscello</t>
  </si>
  <si>
    <t xml:space="preserve">Ocean Grid-Cell Mass per Area</t>
  </si>
  <si>
    <t xml:space="preserve">nemo code name = masscello  but not constant in time in NEMO</t>
  </si>
  <si>
    <t xml:space="preserve">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</si>
  <si>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 xml:space="preserve">CMIP,OMIP</t>
  </si>
  <si>
    <t xml:space="preserve">mrros</t>
  </si>
  <si>
    <t xml:space="preserve">Surface Runoff</t>
  </si>
  <si>
    <t xml:space="preserve">Lars, Thomas</t>
  </si>
  <si>
    <t xml:space="preserve">The total surface run off leaving the land portion of the grid cell (excluding drainage through the base of the soil model).</t>
  </si>
  <si>
    <t xml:space="preserve">AerChemMIP,C4MIP,CDRMIP,CFMIP,CMIP,FAFMIP,GMMIP,GeoMIP,HighResMIP,LS3MIP,LUMIP,PMIP,RFMIP,VIACSAB,VolMIP</t>
  </si>
  <si>
    <t xml:space="preserve">o3</t>
  </si>
  <si>
    <t xml:space="preserve">Mole Fraction of O3</t>
  </si>
  <si>
    <t xml:space="preserve">This combination is decided to be ignored in #440. tm5 code name = o3|ifs code name = 203.128</t>
  </si>
  <si>
    <t xml:space="preserve">Tommi, Thomas</t>
  </si>
  <si>
    <t xml:space="preserve">o3Clim</t>
  </si>
  <si>
    <t xml:space="preserve">This combination is decided to be ignored in #440. tm5 code name = o3Clim</t>
  </si>
  <si>
    <t xml:space="preserve">ch4Clim</t>
  </si>
  <si>
    <t xml:space="preserve">Mole Fraction of CH4</t>
  </si>
  <si>
    <t xml:space="preserve">This combination is decided to be ignored in #441 tm5 code name = ch4</t>
  </si>
  <si>
    <t xml:space="preserve">ch4globalClim</t>
  </si>
  <si>
    <t xml:space="preserve">Global Mean Mole Fraction of CH4</t>
  </si>
  <si>
    <t xml:space="preserve">Convective Rainfall rate</t>
  </si>
  <si>
    <t xml:space="preserve">prra</t>
  </si>
  <si>
    <t xml:space="preserve">Rainfall Flux where Ice Free Ocean over Sea</t>
  </si>
  <si>
    <t xml:space="preserve">Large-scale precipitation (rain+snow) + Convective precipitation (rain+snow) - Snowfall: grib 128.142 + 128.143 - 128.144</t>
  </si>
  <si>
    <t xml:space="preserve">Shuting, Thomas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</si>
</sst>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553" colorId="64" zoomScale="100" zoomScaleNormal="100" zoomScalePageLayoutView="100" workbookViewId="0">
      <selection pane="topLeft" activeCell="A565" activeCellId="0" sqref="A565"/>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4.71"/>
    <col collapsed="false" customWidth="true" hidden="false" outlineLevel="0" max="4" min="4" style="0" width="35.71"/>
    <col collapsed="false" customWidth="true" hidden="false" outlineLevel="0" max="5" min="5" style="0" width="80.71"/>
    <col collapsed="false" customWidth="true" hidden="false" outlineLevel="0" max="6" min="6" style="0" width="15.71"/>
    <col collapsed="false" customWidth="true" hidden="false" outlineLevel="0" max="7" min="7" style="0" width="4.71"/>
    <col collapsed="false" customWidth="true" hidden="false" outlineLevel="0" max="8" min="8" style="0" width="80.71"/>
    <col collapsed="false" customWidth="true" hidden="false" outlineLevel="0" max="9" min="9" style="0" width="15.71"/>
    <col collapsed="false" customWidth="true" hidden="false" outlineLevel="0" max="10" min="10" style="0" width="200.69"/>
    <col collapsed="false" customWidth="true" hidden="false" outlineLevel="0" max="11" min="11" style="0" width="80.71"/>
    <col collapsed="false" customWidth="true" hidden="false" outlineLevel="0" max="1025" min="12"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row r="3" customFormat="false" ht="15" hidden="false" customHeight="false" outlineLevel="0" collapsed="false">
      <c r="A3" s="0" t="s">
        <v>11</v>
      </c>
      <c r="B3" s="0" t="s">
        <v>12</v>
      </c>
      <c r="C3" s="0" t="s">
        <v>13</v>
      </c>
      <c r="D3" s="0" t="s">
        <v>14</v>
      </c>
      <c r="E3" s="0" t="s">
        <v>15</v>
      </c>
      <c r="F3" s="0" t="s">
        <v>16</v>
      </c>
      <c r="G3" s="0" t="n">
        <f aca="false">HYPERLINK("http://clipc-services.ceda.ac.uk/dreq/u/590dbe0c-9e49-11e5-803c-0d0b866b59f3.html","web")</f>
        <v>0</v>
      </c>
      <c r="H3" s="0" t="s">
        <v>17</v>
      </c>
      <c r="I3" s="0" t="s">
        <v>18</v>
      </c>
      <c r="J3" s="0" t="s">
        <v>19</v>
      </c>
      <c r="K3" s="0" t="s">
        <v>20</v>
      </c>
    </row>
    <row r="4" customFormat="false" ht="15" hidden="false" customHeight="false" outlineLevel="0" collapsed="false">
      <c r="A4" s="0" t="s">
        <v>11</v>
      </c>
      <c r="B4" s="0" t="s">
        <v>21</v>
      </c>
      <c r="C4" s="0" t="s">
        <v>13</v>
      </c>
      <c r="D4" s="0" t="s">
        <v>22</v>
      </c>
      <c r="E4" s="0" t="s">
        <v>23</v>
      </c>
      <c r="F4" s="0" t="s">
        <v>24</v>
      </c>
      <c r="G4" s="0" t="n">
        <f aca="false">HYPERLINK("http://clipc-services.ceda.ac.uk/dreq/u/59170cbe-9e49-11e5-803c-0d0b866b59f3.html","web")</f>
        <v>0</v>
      </c>
      <c r="H4" s="0" t="s">
        <v>25</v>
      </c>
      <c r="I4" s="0" t="s">
        <v>26</v>
      </c>
      <c r="J4" s="0" t="s">
        <v>27</v>
      </c>
      <c r="K4" s="0" t="s">
        <v>28</v>
      </c>
    </row>
    <row r="5" customFormat="false" ht="15" hidden="false" customHeight="false" outlineLevel="0" collapsed="false"/>
    <row r="6" customFormat="false" ht="15" hidden="false" customHeight="false" outlineLevel="0" collapsed="false">
      <c r="A6" s="0" t="s">
        <v>29</v>
      </c>
      <c r="B6" s="0" t="s">
        <v>30</v>
      </c>
      <c r="C6" s="0" t="s">
        <v>31</v>
      </c>
      <c r="D6" s="0" t="s">
        <v>32</v>
      </c>
      <c r="E6" s="0" t="s">
        <v>33</v>
      </c>
      <c r="F6" s="0" t="s">
        <v>34</v>
      </c>
      <c r="G6" s="0" t="n">
        <f aca="false">HYPERLINK("http://clipc-services.ceda.ac.uk/dreq/u/c9a77f2a-c5f0-11e6-ac20-5404a60d96b5.html","web")</f>
        <v>0</v>
      </c>
      <c r="H6" s="0" t="s">
        <v>35</v>
      </c>
      <c r="I6" s="0" t="s">
        <v>36</v>
      </c>
      <c r="J6" s="0" t="s">
        <v>37</v>
      </c>
      <c r="K6" s="0" t="s">
        <v>38</v>
      </c>
    </row>
    <row r="7" customFormat="false" ht="15" hidden="false" customHeight="false" outlineLevel="0" collapsed="false"/>
    <row r="8" customFormat="false" ht="15" hidden="false" customHeight="false" outlineLevel="0" collapsed="false">
      <c r="A8" s="0" t="s">
        <v>39</v>
      </c>
      <c r="B8" s="0" t="s">
        <v>40</v>
      </c>
      <c r="C8" s="0" t="s">
        <v>13</v>
      </c>
      <c r="D8" s="0" t="s">
        <v>41</v>
      </c>
      <c r="E8" s="0" t="s">
        <v>42</v>
      </c>
      <c r="F8" s="0" t="s">
        <v>43</v>
      </c>
      <c r="G8" s="0" t="n">
        <f aca="false">HYPERLINK("http://clipc-services.ceda.ac.uk/dreq/u/a72a0bcf271db9db3a7fb9b7f3e7b93a.html","web")</f>
        <v>0</v>
      </c>
      <c r="H8" s="0" t="s">
        <v>44</v>
      </c>
      <c r="I8" s="0" t="s">
        <v>45</v>
      </c>
      <c r="J8" s="0" t="s">
        <v>46</v>
      </c>
      <c r="K8" s="0" t="s">
        <v>47</v>
      </c>
    </row>
    <row r="9" customFormat="false" ht="15" hidden="false" customHeight="false" outlineLevel="0" collapsed="false">
      <c r="A9" s="0" t="s">
        <v>39</v>
      </c>
      <c r="B9" s="0" t="s">
        <v>48</v>
      </c>
      <c r="C9" s="0" t="s">
        <v>49</v>
      </c>
      <c r="D9" s="0" t="s">
        <v>41</v>
      </c>
      <c r="E9" s="0" t="s">
        <v>50</v>
      </c>
      <c r="F9" s="0" t="s">
        <v>43</v>
      </c>
      <c r="G9" s="0" t="n">
        <f aca="false">HYPERLINK("http://clipc-services.ceda.ac.uk/dreq/u/27ad2512525b0c42b7edd88f1dad5955.html","web")</f>
        <v>0</v>
      </c>
      <c r="H9" s="0" t="s">
        <v>44</v>
      </c>
      <c r="I9" s="0" t="s">
        <v>45</v>
      </c>
      <c r="J9" s="0" t="s">
        <v>51</v>
      </c>
      <c r="K9" s="0" t="s">
        <v>47</v>
      </c>
    </row>
    <row r="10" customFormat="false" ht="15" hidden="false" customHeight="false" outlineLevel="0" collapsed="false">
      <c r="A10" s="0" t="s">
        <v>39</v>
      </c>
      <c r="B10" s="0" t="s">
        <v>52</v>
      </c>
      <c r="C10" s="0" t="s">
        <v>49</v>
      </c>
      <c r="D10" s="0" t="s">
        <v>41</v>
      </c>
      <c r="E10" s="0" t="s">
        <v>53</v>
      </c>
      <c r="F10" s="0" t="s">
        <v>54</v>
      </c>
      <c r="G10" s="0" t="n">
        <f aca="false">HYPERLINK("http://clipc-services.ceda.ac.uk/dreq/u/e5a8a5a5c4ff0920fa237e5274df57ba.html","web")</f>
        <v>0</v>
      </c>
      <c r="H10" s="0" t="s">
        <v>55</v>
      </c>
      <c r="I10" s="0" t="s">
        <v>56</v>
      </c>
      <c r="J10" s="0" t="s">
        <v>57</v>
      </c>
      <c r="K10" s="0" t="s">
        <v>58</v>
      </c>
    </row>
    <row r="11" customFormat="false" ht="15" hidden="false" customHeight="false" outlineLevel="0" collapsed="false">
      <c r="A11" s="0" t="s">
        <v>39</v>
      </c>
      <c r="B11" s="0" t="s">
        <v>59</v>
      </c>
      <c r="C11" s="0" t="s">
        <v>49</v>
      </c>
      <c r="D11" s="0" t="s">
        <v>41</v>
      </c>
      <c r="E11" s="0" t="s">
        <v>60</v>
      </c>
      <c r="F11" s="0" t="s">
        <v>54</v>
      </c>
      <c r="G11" s="0" t="n">
        <f aca="false">HYPERLINK("http://clipc-services.ceda.ac.uk/dreq/u/1df32c1e9440e03187aa8253e1a0f2d9.html","web")</f>
        <v>0</v>
      </c>
      <c r="H11" s="0" t="s">
        <v>61</v>
      </c>
      <c r="I11" s="0" t="s">
        <v>56</v>
      </c>
      <c r="J11" s="0" t="s">
        <v>62</v>
      </c>
      <c r="K11" s="0" t="s">
        <v>58</v>
      </c>
    </row>
    <row r="12" customFormat="false" ht="15" hidden="false" customHeight="false" outlineLevel="0" collapsed="false">
      <c r="A12" s="0" t="s">
        <v>39</v>
      </c>
      <c r="B12" s="0" t="s">
        <v>63</v>
      </c>
      <c r="C12" s="0" t="s">
        <v>49</v>
      </c>
      <c r="D12" s="0" t="s">
        <v>41</v>
      </c>
      <c r="E12" s="0" t="s">
        <v>64</v>
      </c>
      <c r="F12" s="0" t="s">
        <v>54</v>
      </c>
      <c r="G12" s="0" t="n">
        <f aca="false">HYPERLINK("http://clipc-services.ceda.ac.uk/dreq/u/6674625c225f14aa8d6795d1df244c28.html","web")</f>
        <v>0</v>
      </c>
      <c r="H12" s="0" t="s">
        <v>65</v>
      </c>
      <c r="I12" s="0" t="s">
        <v>56</v>
      </c>
      <c r="J12" s="0" t="s">
        <v>66</v>
      </c>
      <c r="K12" s="0" t="s">
        <v>58</v>
      </c>
    </row>
    <row r="13" customFormat="false" ht="15" hidden="false" customHeight="false" outlineLevel="0" collapsed="false">
      <c r="A13" s="0" t="s">
        <v>39</v>
      </c>
      <c r="B13" s="0" t="s">
        <v>67</v>
      </c>
      <c r="C13" s="0" t="s">
        <v>49</v>
      </c>
      <c r="D13" s="0" t="s">
        <v>41</v>
      </c>
      <c r="E13" s="0" t="s">
        <v>68</v>
      </c>
      <c r="F13" s="0" t="s">
        <v>54</v>
      </c>
      <c r="G13" s="0" t="n">
        <f aca="false">HYPERLINK("http://clipc-services.ceda.ac.uk/dreq/u/c075ee7167ef3bc43fef7ce624f960af.html","web")</f>
        <v>0</v>
      </c>
      <c r="H13" s="0" t="s">
        <v>69</v>
      </c>
      <c r="I13" s="0" t="s">
        <v>56</v>
      </c>
      <c r="J13" s="0" t="s">
        <v>70</v>
      </c>
      <c r="K13" s="0" t="s">
        <v>58</v>
      </c>
    </row>
    <row r="14" customFormat="false" ht="15" hidden="false" customHeight="false" outlineLevel="0" collapsed="false">
      <c r="A14" s="0" t="s">
        <v>39</v>
      </c>
      <c r="B14" s="0" t="s">
        <v>71</v>
      </c>
      <c r="C14" s="0" t="s">
        <v>49</v>
      </c>
      <c r="D14" s="0" t="s">
        <v>41</v>
      </c>
      <c r="E14" s="0" t="s">
        <v>72</v>
      </c>
      <c r="F14" s="0" t="s">
        <v>54</v>
      </c>
      <c r="G14" s="0" t="n">
        <f aca="false">HYPERLINK("http://clipc-services.ceda.ac.uk/dreq/u/cc3eb19e60c00c77520c2cbf58c322b1.html","web")</f>
        <v>0</v>
      </c>
      <c r="H14" s="0" t="s">
        <v>73</v>
      </c>
      <c r="I14" s="0" t="s">
        <v>56</v>
      </c>
      <c r="J14" s="0" t="s">
        <v>74</v>
      </c>
      <c r="K14" s="0" t="s">
        <v>58</v>
      </c>
    </row>
    <row r="15" customFormat="false" ht="15" hidden="false" customHeight="false" outlineLevel="0" collapsed="false">
      <c r="A15" s="0" t="s">
        <v>39</v>
      </c>
      <c r="B15" s="0" t="s">
        <v>75</v>
      </c>
      <c r="C15" s="0" t="s">
        <v>49</v>
      </c>
      <c r="D15" s="0" t="s">
        <v>41</v>
      </c>
      <c r="E15" s="0" t="s">
        <v>76</v>
      </c>
      <c r="F15" s="0" t="s">
        <v>54</v>
      </c>
      <c r="G15" s="0" t="n">
        <f aca="false">HYPERLINK("http://clipc-services.ceda.ac.uk/dreq/u/2157a343384243be18fe8a06826aecb5.html","web")</f>
        <v>0</v>
      </c>
      <c r="H15" s="0" t="s">
        <v>77</v>
      </c>
      <c r="I15" s="0" t="s">
        <v>56</v>
      </c>
      <c r="J15" s="0" t="s">
        <v>78</v>
      </c>
      <c r="K15" s="0" t="s">
        <v>58</v>
      </c>
    </row>
    <row r="16" customFormat="false" ht="15" hidden="false" customHeight="false" outlineLevel="0" collapsed="false">
      <c r="A16" s="0" t="s">
        <v>39</v>
      </c>
      <c r="B16" s="0" t="s">
        <v>79</v>
      </c>
      <c r="C16" s="0" t="s">
        <v>13</v>
      </c>
      <c r="D16" s="0" t="s">
        <v>41</v>
      </c>
      <c r="E16" s="0" t="s">
        <v>80</v>
      </c>
      <c r="F16" s="0" t="s">
        <v>81</v>
      </c>
      <c r="G16" s="0" t="n">
        <f aca="false">HYPERLINK("http://clipc-services.ceda.ac.uk/dreq/u/df96c61c07957da1c4e8212f0553fa98.html","web")</f>
        <v>0</v>
      </c>
      <c r="H16" s="0" t="s">
        <v>82</v>
      </c>
      <c r="I16" s="0" t="s">
        <v>83</v>
      </c>
      <c r="J16" s="0" t="s">
        <v>84</v>
      </c>
      <c r="K16" s="0" t="s">
        <v>85</v>
      </c>
    </row>
    <row r="17" customFormat="false" ht="15" hidden="false" customHeight="false" outlineLevel="0" collapsed="false">
      <c r="A17" s="0" t="s">
        <v>39</v>
      </c>
      <c r="B17" s="0" t="s">
        <v>86</v>
      </c>
      <c r="C17" s="0" t="s">
        <v>13</v>
      </c>
      <c r="D17" s="0" t="s">
        <v>41</v>
      </c>
      <c r="E17" s="0" t="s">
        <v>87</v>
      </c>
      <c r="F17" s="0" t="s">
        <v>81</v>
      </c>
      <c r="G17" s="0" t="n">
        <f aca="false">HYPERLINK("http://clipc-services.ceda.ac.uk/dreq/u/171d617ceca8a4351f53d090c0ead89c.html","web")</f>
        <v>0</v>
      </c>
      <c r="H17" s="0" t="s">
        <v>82</v>
      </c>
      <c r="I17" s="0" t="s">
        <v>83</v>
      </c>
      <c r="J17" s="0" t="s">
        <v>88</v>
      </c>
      <c r="K17" s="0" t="s">
        <v>85</v>
      </c>
    </row>
    <row r="18" customFormat="false" ht="15" hidden="false" customHeight="false" outlineLevel="0" collapsed="false">
      <c r="A18" s="0" t="s">
        <v>39</v>
      </c>
      <c r="B18" s="0" t="s">
        <v>89</v>
      </c>
      <c r="C18" s="0" t="s">
        <v>13</v>
      </c>
      <c r="D18" s="0" t="s">
        <v>41</v>
      </c>
      <c r="E18" s="0" t="s">
        <v>90</v>
      </c>
      <c r="F18" s="0" t="s">
        <v>81</v>
      </c>
      <c r="G18" s="0" t="n">
        <f aca="false">HYPERLINK("http://clipc-services.ceda.ac.uk/dreq/u/edc3d019be9c383abbd82a4d5fad43ca.html","web")</f>
        <v>0</v>
      </c>
      <c r="H18" s="0" t="s">
        <v>82</v>
      </c>
      <c r="I18" s="0" t="s">
        <v>83</v>
      </c>
      <c r="J18" s="0" t="s">
        <v>91</v>
      </c>
      <c r="K18" s="0" t="s">
        <v>85</v>
      </c>
    </row>
    <row r="19" customFormat="false" ht="15" hidden="false" customHeight="false" outlineLevel="0" collapsed="false">
      <c r="A19" s="0" t="s">
        <v>39</v>
      </c>
      <c r="B19" s="0" t="s">
        <v>92</v>
      </c>
      <c r="C19" s="0" t="s">
        <v>13</v>
      </c>
      <c r="D19" s="0" t="s">
        <v>41</v>
      </c>
      <c r="E19" s="0" t="s">
        <v>93</v>
      </c>
      <c r="F19" s="0" t="s">
        <v>43</v>
      </c>
      <c r="G19" s="0" t="n">
        <f aca="false">HYPERLINK("http://clipc-services.ceda.ac.uk/dreq/u/065edaa295c376f0e9bc1985bc3f491c.html","web")</f>
        <v>0</v>
      </c>
      <c r="H19" s="0" t="s">
        <v>44</v>
      </c>
      <c r="I19" s="0" t="s">
        <v>45</v>
      </c>
      <c r="J19" s="0" t="s">
        <v>94</v>
      </c>
      <c r="K19" s="0" t="s">
        <v>58</v>
      </c>
    </row>
    <row r="20" customFormat="false" ht="15" hidden="false" customHeight="false" outlineLevel="0" collapsed="false">
      <c r="A20" s="0" t="s">
        <v>39</v>
      </c>
      <c r="B20" s="0" t="s">
        <v>95</v>
      </c>
      <c r="C20" s="0" t="s">
        <v>13</v>
      </c>
      <c r="D20" s="0" t="s">
        <v>41</v>
      </c>
      <c r="E20" s="0" t="s">
        <v>96</v>
      </c>
      <c r="F20" s="0" t="s">
        <v>54</v>
      </c>
      <c r="G20" s="0" t="n">
        <f aca="false">HYPERLINK("http://clipc-services.ceda.ac.uk/dreq/u/402d88cf81105fe603118df92bb9eecb.html","web")</f>
        <v>0</v>
      </c>
      <c r="H20" s="0" t="s">
        <v>97</v>
      </c>
      <c r="I20" s="0" t="s">
        <v>56</v>
      </c>
      <c r="J20" s="0" t="s">
        <v>98</v>
      </c>
      <c r="K20" s="0" t="s">
        <v>58</v>
      </c>
    </row>
    <row r="21" customFormat="false" ht="15" hidden="false" customHeight="false" outlineLevel="0" collapsed="false">
      <c r="A21" s="0" t="s">
        <v>39</v>
      </c>
      <c r="B21" s="0" t="s">
        <v>99</v>
      </c>
      <c r="C21" s="0" t="s">
        <v>31</v>
      </c>
      <c r="D21" s="0" t="s">
        <v>41</v>
      </c>
      <c r="E21" s="0" t="s">
        <v>100</v>
      </c>
      <c r="F21" s="0" t="s">
        <v>43</v>
      </c>
      <c r="G21" s="0" t="n">
        <f aca="false">HYPERLINK("http://clipc-services.ceda.ac.uk/dreq/u/59175660-9e49-11e5-803c-0d0b866b59f3.html","web")</f>
        <v>0</v>
      </c>
      <c r="H21" s="0" t="s">
        <v>101</v>
      </c>
      <c r="I21" s="0" t="s">
        <v>45</v>
      </c>
      <c r="J21" s="0" t="s">
        <v>102</v>
      </c>
      <c r="K21" s="0" t="s">
        <v>85</v>
      </c>
    </row>
    <row r="22" customFormat="false" ht="15" hidden="false" customHeight="false" outlineLevel="0" collapsed="false">
      <c r="A22" s="0" t="s">
        <v>39</v>
      </c>
      <c r="B22" s="0" t="s">
        <v>103</v>
      </c>
      <c r="C22" s="0" t="s">
        <v>31</v>
      </c>
      <c r="D22" s="0" t="s">
        <v>41</v>
      </c>
      <c r="E22" s="0" t="s">
        <v>104</v>
      </c>
      <c r="F22" s="0" t="s">
        <v>43</v>
      </c>
      <c r="G22" s="0" t="n">
        <f aca="false">HYPERLINK("http://clipc-services.ceda.ac.uk/dreq/u/1391b0d99790cec6597b02ce4d7c5a67.html","web")</f>
        <v>0</v>
      </c>
      <c r="H22" s="0" t="s">
        <v>44</v>
      </c>
      <c r="I22" s="0" t="s">
        <v>45</v>
      </c>
      <c r="J22" s="0" t="s">
        <v>105</v>
      </c>
      <c r="K22" s="0" t="s">
        <v>85</v>
      </c>
    </row>
    <row r="23" customFormat="false" ht="15" hidden="false" customHeight="false" outlineLevel="0" collapsed="false">
      <c r="A23" s="0" t="s">
        <v>39</v>
      </c>
      <c r="B23" s="0" t="s">
        <v>106</v>
      </c>
      <c r="C23" s="0" t="s">
        <v>31</v>
      </c>
      <c r="D23" s="0" t="s">
        <v>41</v>
      </c>
      <c r="E23" s="0" t="s">
        <v>107</v>
      </c>
      <c r="F23" s="0" t="s">
        <v>43</v>
      </c>
      <c r="G23" s="0" t="n">
        <f aca="false">HYPERLINK("http://clipc-services.ceda.ac.uk/dreq/u/55febff83b78e06576947e1c0e5b7a7d.html","web")</f>
        <v>0</v>
      </c>
      <c r="H23" s="0" t="s">
        <v>101</v>
      </c>
      <c r="I23" s="0" t="s">
        <v>45</v>
      </c>
      <c r="J23" s="0" t="s">
        <v>108</v>
      </c>
      <c r="K23" s="0" t="s">
        <v>85</v>
      </c>
    </row>
    <row r="24" customFormat="false" ht="15" hidden="false" customHeight="false" outlineLevel="0" collapsed="false">
      <c r="A24" s="0" t="s">
        <v>39</v>
      </c>
      <c r="B24" s="0" t="s">
        <v>109</v>
      </c>
      <c r="C24" s="0" t="s">
        <v>31</v>
      </c>
      <c r="D24" s="0" t="s">
        <v>41</v>
      </c>
      <c r="E24" s="0" t="s">
        <v>110</v>
      </c>
      <c r="F24" s="0" t="s">
        <v>43</v>
      </c>
      <c r="G24" s="0" t="n">
        <f aca="false">HYPERLINK("http://clipc-services.ceda.ac.uk/dreq/u/2fcdf51262cdbc4279810b7a487b149e.html","web")</f>
        <v>0</v>
      </c>
      <c r="H24" s="0" t="s">
        <v>111</v>
      </c>
      <c r="I24" s="0" t="s">
        <v>45</v>
      </c>
      <c r="J24" s="0" t="s">
        <v>112</v>
      </c>
      <c r="K24" s="0" t="s">
        <v>85</v>
      </c>
    </row>
    <row r="25" customFormat="false" ht="15" hidden="false" customHeight="false" outlineLevel="0" collapsed="false">
      <c r="A25" s="0" t="s">
        <v>39</v>
      </c>
      <c r="B25" s="0" t="s">
        <v>113</v>
      </c>
      <c r="C25" s="0" t="s">
        <v>13</v>
      </c>
      <c r="D25" s="0" t="s">
        <v>41</v>
      </c>
      <c r="E25" s="0" t="s">
        <v>114</v>
      </c>
      <c r="F25" s="0" t="s">
        <v>43</v>
      </c>
      <c r="G25" s="0" t="n">
        <f aca="false">HYPERLINK("http://clipc-services.ceda.ac.uk/dreq/u/bdce9878-233e-11e6-a788-5404a60d96b5.html","web")</f>
        <v>0</v>
      </c>
      <c r="H25" s="0" t="s">
        <v>97</v>
      </c>
      <c r="I25" s="0" t="s">
        <v>56</v>
      </c>
      <c r="J25" s="0" t="s">
        <v>115</v>
      </c>
      <c r="K25" s="0" t="s">
        <v>58</v>
      </c>
    </row>
    <row r="26" customFormat="false" ht="15" hidden="false" customHeight="false" outlineLevel="0" collapsed="false">
      <c r="A26" s="0" t="s">
        <v>39</v>
      </c>
      <c r="B26" s="0" t="s">
        <v>116</v>
      </c>
      <c r="C26" s="0" t="s">
        <v>13</v>
      </c>
      <c r="D26" s="0" t="s">
        <v>41</v>
      </c>
      <c r="E26" s="0" t="s">
        <v>117</v>
      </c>
      <c r="F26" s="0" t="s">
        <v>118</v>
      </c>
      <c r="G26" s="0" t="n">
        <f aca="false">HYPERLINK("http://clipc-services.ceda.ac.uk/dreq/u/684d3f3543045a89ecbb0ca81ba6705f.html","web")</f>
        <v>0</v>
      </c>
      <c r="H26" s="0" t="s">
        <v>119</v>
      </c>
      <c r="I26" s="0" t="s">
        <v>120</v>
      </c>
      <c r="J26" s="0" t="s">
        <v>121</v>
      </c>
      <c r="K26" s="0" t="s">
        <v>58</v>
      </c>
    </row>
    <row r="27" customFormat="false" ht="15" hidden="false" customHeight="false" outlineLevel="0" collapsed="false">
      <c r="A27" s="0" t="s">
        <v>39</v>
      </c>
      <c r="B27" s="0" t="s">
        <v>122</v>
      </c>
      <c r="C27" s="0" t="s">
        <v>13</v>
      </c>
      <c r="D27" s="0" t="s">
        <v>41</v>
      </c>
      <c r="E27" s="0" t="s">
        <v>123</v>
      </c>
      <c r="F27" s="0" t="s">
        <v>118</v>
      </c>
      <c r="G27" s="0" t="n">
        <f aca="false">HYPERLINK("http://clipc-services.ceda.ac.uk/dreq/u/71480abb30ae62d262fcea6cfdd753cf.html","web")</f>
        <v>0</v>
      </c>
      <c r="H27" s="0" t="s">
        <v>124</v>
      </c>
      <c r="I27" s="0" t="s">
        <v>26</v>
      </c>
      <c r="J27" s="0" t="s">
        <v>125</v>
      </c>
      <c r="K27" s="0" t="s">
        <v>47</v>
      </c>
    </row>
    <row r="28" customFormat="false" ht="15" hidden="false" customHeight="false" outlineLevel="0" collapsed="false">
      <c r="A28" s="0" t="s">
        <v>39</v>
      </c>
      <c r="B28" s="0" t="s">
        <v>126</v>
      </c>
      <c r="C28" s="0" t="s">
        <v>13</v>
      </c>
      <c r="D28" s="0" t="s">
        <v>41</v>
      </c>
      <c r="E28" s="0" t="s">
        <v>127</v>
      </c>
      <c r="F28" s="0" t="s">
        <v>118</v>
      </c>
      <c r="G28" s="0" t="n">
        <f aca="false">HYPERLINK("http://clipc-services.ceda.ac.uk/dreq/u/e52528e8-dd83-11e5-9194-ac72891c3257.html","web")</f>
        <v>0</v>
      </c>
      <c r="H28" s="0" t="s">
        <v>124</v>
      </c>
      <c r="I28" s="0" t="s">
        <v>26</v>
      </c>
      <c r="J28" s="0" t="s">
        <v>128</v>
      </c>
      <c r="K28" s="0" t="s">
        <v>58</v>
      </c>
    </row>
    <row r="29" customFormat="false" ht="15" hidden="false" customHeight="false" outlineLevel="0" collapsed="false">
      <c r="A29" s="0" t="s">
        <v>39</v>
      </c>
      <c r="B29" s="0" t="s">
        <v>129</v>
      </c>
      <c r="C29" s="0" t="s">
        <v>13</v>
      </c>
      <c r="D29" s="0" t="s">
        <v>41</v>
      </c>
      <c r="E29" s="0" t="s">
        <v>130</v>
      </c>
      <c r="F29" s="0" t="s">
        <v>118</v>
      </c>
      <c r="G29" s="0" t="n">
        <f aca="false">HYPERLINK("http://clipc-services.ceda.ac.uk/dreq/u/236430ceeb7aa3d23577b3a03d13f7fb.html","web")</f>
        <v>0</v>
      </c>
      <c r="H29" s="0" t="s">
        <v>124</v>
      </c>
      <c r="I29" s="0" t="s">
        <v>26</v>
      </c>
      <c r="J29" s="0" t="s">
        <v>128</v>
      </c>
      <c r="K29" s="0" t="s">
        <v>47</v>
      </c>
    </row>
    <row r="30" customFormat="false" ht="15" hidden="false" customHeight="false" outlineLevel="0" collapsed="false">
      <c r="A30" s="0" t="s">
        <v>39</v>
      </c>
      <c r="B30" s="0" t="s">
        <v>131</v>
      </c>
      <c r="C30" s="0" t="s">
        <v>49</v>
      </c>
      <c r="D30" s="0" t="s">
        <v>41</v>
      </c>
      <c r="E30" s="0" t="s">
        <v>132</v>
      </c>
      <c r="F30" s="0" t="s">
        <v>54</v>
      </c>
      <c r="G30" s="0" t="n">
        <f aca="false">HYPERLINK("http://clipc-services.ceda.ac.uk/dreq/u/9a9dda6b54b64f67bda703c77465cceb.html","web")</f>
        <v>0</v>
      </c>
      <c r="H30" s="0" t="s">
        <v>97</v>
      </c>
      <c r="I30" s="0" t="s">
        <v>56</v>
      </c>
      <c r="J30" s="0" t="s">
        <v>133</v>
      </c>
      <c r="K30" s="0" t="s">
        <v>58</v>
      </c>
    </row>
    <row r="31" customFormat="false" ht="15" hidden="false" customHeight="false" outlineLevel="0" collapsed="false">
      <c r="A31" s="0" t="s">
        <v>39</v>
      </c>
      <c r="B31" s="0" t="s">
        <v>134</v>
      </c>
      <c r="C31" s="0" t="s">
        <v>31</v>
      </c>
      <c r="D31" s="0" t="s">
        <v>135</v>
      </c>
      <c r="E31" s="0" t="s">
        <v>136</v>
      </c>
      <c r="F31" s="0" t="s">
        <v>137</v>
      </c>
      <c r="G31" s="0" t="n">
        <f aca="false">HYPERLINK("http://clipc-services.ceda.ac.uk/dreq/u/590e5b82-9e49-11e5-803c-0d0b866b59f3.html","web")</f>
        <v>0</v>
      </c>
      <c r="H31" s="0" t="s">
        <v>101</v>
      </c>
      <c r="I31" s="0" t="s">
        <v>45</v>
      </c>
      <c r="J31" s="0" t="s">
        <v>138</v>
      </c>
      <c r="K31" s="0" t="s">
        <v>85</v>
      </c>
    </row>
    <row r="32" customFormat="false" ht="15" hidden="false" customHeight="false" outlineLevel="0" collapsed="false">
      <c r="A32" s="0" t="s">
        <v>39</v>
      </c>
      <c r="B32" s="0" t="s">
        <v>139</v>
      </c>
      <c r="C32" s="0" t="s">
        <v>31</v>
      </c>
      <c r="D32" s="0" t="s">
        <v>135</v>
      </c>
      <c r="E32" s="0" t="s">
        <v>140</v>
      </c>
      <c r="F32" s="0" t="s">
        <v>137</v>
      </c>
      <c r="G32" s="0" t="n">
        <f aca="false">HYPERLINK("http://clipc-services.ceda.ac.uk/dreq/u/f36046ab9a8a24ce4d7431e2defd9cf6.html","web")</f>
        <v>0</v>
      </c>
      <c r="H32" s="0" t="s">
        <v>141</v>
      </c>
      <c r="I32" s="0" t="s">
        <v>120</v>
      </c>
      <c r="J32" s="0" t="s">
        <v>142</v>
      </c>
      <c r="K32" s="0" t="s">
        <v>85</v>
      </c>
    </row>
    <row r="33" customFormat="false" ht="15" hidden="false" customHeight="false" outlineLevel="0" collapsed="false">
      <c r="A33" s="0" t="s">
        <v>39</v>
      </c>
      <c r="B33" s="0" t="s">
        <v>143</v>
      </c>
      <c r="C33" s="0" t="s">
        <v>31</v>
      </c>
      <c r="D33" s="0" t="s">
        <v>135</v>
      </c>
      <c r="E33" s="0" t="s">
        <v>144</v>
      </c>
      <c r="F33" s="0" t="s">
        <v>137</v>
      </c>
      <c r="G33" s="0" t="n">
        <f aca="false">HYPERLINK("http://clipc-services.ceda.ac.uk/dreq/u/042e575e61a271e122d317ca7b39dcb4.html","web")</f>
        <v>0</v>
      </c>
      <c r="H33" s="0" t="s">
        <v>119</v>
      </c>
      <c r="I33" s="0" t="s">
        <v>120</v>
      </c>
      <c r="J33" s="0" t="s">
        <v>145</v>
      </c>
      <c r="K33" s="0" t="s">
        <v>85</v>
      </c>
    </row>
    <row r="34" customFormat="false" ht="15" hidden="false" customHeight="false" outlineLevel="0" collapsed="false">
      <c r="A34" s="0" t="s">
        <v>39</v>
      </c>
      <c r="B34" s="0" t="s">
        <v>146</v>
      </c>
      <c r="C34" s="0" t="s">
        <v>31</v>
      </c>
      <c r="D34" s="0" t="s">
        <v>135</v>
      </c>
      <c r="E34" s="0" t="s">
        <v>147</v>
      </c>
      <c r="F34" s="0" t="s">
        <v>137</v>
      </c>
      <c r="G34" s="0" t="n">
        <f aca="false">HYPERLINK("http://clipc-services.ceda.ac.uk/dreq/u/97c037c3357f24c4e06c07123224b400.html","web")</f>
        <v>0</v>
      </c>
      <c r="H34" s="0" t="s">
        <v>148</v>
      </c>
      <c r="I34" s="0" t="s">
        <v>120</v>
      </c>
      <c r="J34" s="0" t="s">
        <v>149</v>
      </c>
      <c r="K34" s="0" t="s">
        <v>85</v>
      </c>
    </row>
    <row r="35" customFormat="false" ht="15" hidden="false" customHeight="false" outlineLevel="0" collapsed="false">
      <c r="A35" s="0" t="s">
        <v>39</v>
      </c>
      <c r="B35" s="0" t="s">
        <v>150</v>
      </c>
      <c r="C35" s="0" t="s">
        <v>13</v>
      </c>
      <c r="D35" s="0" t="s">
        <v>41</v>
      </c>
      <c r="E35" s="0" t="s">
        <v>151</v>
      </c>
      <c r="F35" s="0" t="s">
        <v>54</v>
      </c>
      <c r="G35" s="0" t="n">
        <f aca="false">HYPERLINK("http://clipc-services.ceda.ac.uk/dreq/u/6aec29521de81a361630aac9ffc69f8f.html","web")</f>
        <v>0</v>
      </c>
      <c r="H35" s="0" t="s">
        <v>97</v>
      </c>
      <c r="I35" s="0" t="s">
        <v>56</v>
      </c>
      <c r="J35" s="0" t="s">
        <v>152</v>
      </c>
      <c r="K35" s="0" t="s">
        <v>58</v>
      </c>
    </row>
    <row r="36" customFormat="false" ht="15" hidden="false" customHeight="false" outlineLevel="0" collapsed="false">
      <c r="A36" s="0" t="s">
        <v>39</v>
      </c>
      <c r="B36" s="0" t="s">
        <v>153</v>
      </c>
      <c r="C36" s="0" t="s">
        <v>31</v>
      </c>
      <c r="D36" s="0" t="s">
        <v>41</v>
      </c>
      <c r="E36" s="0" t="s">
        <v>154</v>
      </c>
      <c r="F36" s="0" t="s">
        <v>31</v>
      </c>
      <c r="G36" s="0" t="n">
        <f aca="false">HYPERLINK("http://clipc-services.ceda.ac.uk/dreq/u/c977c2da-c5f0-11e6-ac20-5404a60d96b5.html","web")</f>
        <v>0</v>
      </c>
      <c r="H36" s="0" t="s">
        <v>101</v>
      </c>
      <c r="I36" s="0" t="s">
        <v>45</v>
      </c>
      <c r="J36" s="0" t="s">
        <v>155</v>
      </c>
      <c r="K36" s="0" t="s">
        <v>85</v>
      </c>
    </row>
    <row r="37" customFormat="false" ht="15" hidden="false" customHeight="false" outlineLevel="0" collapsed="false">
      <c r="A37" s="0" t="s">
        <v>39</v>
      </c>
      <c r="B37" s="0" t="s">
        <v>156</v>
      </c>
      <c r="C37" s="0" t="s">
        <v>31</v>
      </c>
      <c r="D37" s="0" t="s">
        <v>41</v>
      </c>
      <c r="E37" s="0" t="s">
        <v>157</v>
      </c>
      <c r="F37" s="0" t="s">
        <v>31</v>
      </c>
      <c r="G37" s="0" t="n">
        <f aca="false">HYPERLINK("http://clipc-services.ceda.ac.uk/dreq/u/c97004d2-c5f0-11e6-ac20-5404a60d96b5.html","web")</f>
        <v>0</v>
      </c>
      <c r="H37" s="0" t="s">
        <v>158</v>
      </c>
      <c r="I37" s="0" t="s">
        <v>45</v>
      </c>
      <c r="J37" s="0" t="s">
        <v>159</v>
      </c>
      <c r="K37" s="0" t="s">
        <v>85</v>
      </c>
    </row>
    <row r="38" customFormat="false" ht="15" hidden="false" customHeight="false" outlineLevel="0" collapsed="false">
      <c r="A38" s="0" t="s">
        <v>39</v>
      </c>
      <c r="B38" s="0" t="s">
        <v>160</v>
      </c>
      <c r="C38" s="0" t="s">
        <v>49</v>
      </c>
      <c r="D38" s="0" t="s">
        <v>41</v>
      </c>
      <c r="E38" s="0" t="s">
        <v>161</v>
      </c>
      <c r="F38" s="0" t="s">
        <v>43</v>
      </c>
      <c r="G38" s="0" t="n">
        <f aca="false">HYPERLINK("http://clipc-services.ceda.ac.uk/dreq/u/38c7aa97ad0f74e33dfd3f115124d04f.html","web")</f>
        <v>0</v>
      </c>
      <c r="H38" s="0" t="s">
        <v>44</v>
      </c>
      <c r="I38" s="0" t="s">
        <v>45</v>
      </c>
      <c r="J38" s="0" t="s">
        <v>162</v>
      </c>
      <c r="K38" s="0" t="s">
        <v>47</v>
      </c>
    </row>
    <row r="39" customFormat="false" ht="15" hidden="false" customHeight="false" outlineLevel="0" collapsed="false">
      <c r="A39" s="0" t="s">
        <v>39</v>
      </c>
      <c r="B39" s="0" t="s">
        <v>163</v>
      </c>
      <c r="C39" s="0" t="s">
        <v>49</v>
      </c>
      <c r="D39" s="0" t="s">
        <v>41</v>
      </c>
      <c r="E39" s="0" t="s">
        <v>164</v>
      </c>
      <c r="F39" s="0" t="s">
        <v>43</v>
      </c>
      <c r="G39" s="0" t="n">
        <f aca="false">HYPERLINK("http://clipc-services.ceda.ac.uk/dreq/u/ad7df7199759ad25164da83e37a6da17.html","web")</f>
        <v>0</v>
      </c>
      <c r="H39" s="0" t="s">
        <v>44</v>
      </c>
      <c r="I39" s="0" t="s">
        <v>45</v>
      </c>
      <c r="J39" s="0" t="s">
        <v>165</v>
      </c>
      <c r="K39" s="0" t="s">
        <v>47</v>
      </c>
    </row>
    <row r="40" customFormat="false" ht="15" hidden="false" customHeight="false" outlineLevel="0" collapsed="false">
      <c r="A40" s="0" t="s">
        <v>39</v>
      </c>
      <c r="B40" s="0" t="s">
        <v>166</v>
      </c>
      <c r="C40" s="0" t="s">
        <v>13</v>
      </c>
      <c r="D40" s="0" t="s">
        <v>41</v>
      </c>
      <c r="E40" s="0" t="s">
        <v>167</v>
      </c>
      <c r="F40" s="0" t="s">
        <v>43</v>
      </c>
      <c r="G40" s="0" t="n">
        <f aca="false">HYPERLINK("http://clipc-services.ceda.ac.uk/dreq/u/80f337469efdd0d5392ad995a90fd15c.html","web")</f>
        <v>0</v>
      </c>
      <c r="H40" s="0" t="s">
        <v>82</v>
      </c>
      <c r="I40" s="0" t="s">
        <v>83</v>
      </c>
      <c r="J40" s="0" t="s">
        <v>168</v>
      </c>
      <c r="K40" s="0" t="s">
        <v>85</v>
      </c>
    </row>
    <row r="41" customFormat="false" ht="15" hidden="false" customHeight="false" outlineLevel="0" collapsed="false">
      <c r="A41" s="0" t="s">
        <v>39</v>
      </c>
      <c r="B41" s="0" t="s">
        <v>169</v>
      </c>
      <c r="C41" s="0" t="s">
        <v>13</v>
      </c>
      <c r="D41" s="0" t="s">
        <v>41</v>
      </c>
      <c r="E41" s="0" t="s">
        <v>170</v>
      </c>
      <c r="F41" s="0" t="s">
        <v>43</v>
      </c>
      <c r="G41" s="0" t="n">
        <f aca="false">HYPERLINK("http://clipc-services.ceda.ac.uk/dreq/u/1ae710e405acc14b368f55d9205be258.html","web")</f>
        <v>0</v>
      </c>
      <c r="H41" s="0" t="s">
        <v>82</v>
      </c>
      <c r="I41" s="0" t="s">
        <v>83</v>
      </c>
      <c r="J41" s="0" t="s">
        <v>171</v>
      </c>
      <c r="K41" s="0" t="s">
        <v>85</v>
      </c>
    </row>
    <row r="42" customFormat="false" ht="15" hidden="false" customHeight="false" outlineLevel="0" collapsed="false">
      <c r="A42" s="0" t="s">
        <v>39</v>
      </c>
      <c r="B42" s="0" t="s">
        <v>172</v>
      </c>
      <c r="C42" s="0" t="s">
        <v>49</v>
      </c>
      <c r="D42" s="0" t="s">
        <v>41</v>
      </c>
      <c r="E42" s="0" t="s">
        <v>173</v>
      </c>
      <c r="F42" s="0" t="s">
        <v>43</v>
      </c>
      <c r="G42" s="0" t="n">
        <f aca="false">HYPERLINK("http://clipc-services.ceda.ac.uk/dreq/u/3aa265a13ddf4caa82a8e1e3d4482f42.html","web")</f>
        <v>0</v>
      </c>
      <c r="H42" s="0" t="s">
        <v>174</v>
      </c>
      <c r="I42" s="0" t="s">
        <v>56</v>
      </c>
      <c r="J42" s="0" t="s">
        <v>175</v>
      </c>
      <c r="K42" s="0" t="s">
        <v>47</v>
      </c>
    </row>
    <row r="43" customFormat="false" ht="15" hidden="false" customHeight="false" outlineLevel="0" collapsed="false">
      <c r="A43" s="0" t="s">
        <v>39</v>
      </c>
      <c r="B43" s="0" t="s">
        <v>176</v>
      </c>
      <c r="C43" s="0" t="s">
        <v>13</v>
      </c>
      <c r="D43" s="0" t="s">
        <v>41</v>
      </c>
      <c r="E43" s="0" t="s">
        <v>177</v>
      </c>
      <c r="F43" s="0" t="s">
        <v>43</v>
      </c>
      <c r="G43" s="0" t="n">
        <f aca="false">HYPERLINK("http://clipc-services.ceda.ac.uk/dreq/u/14e5a31ac93e26c50f8c01ed9a032168.html","web")</f>
        <v>0</v>
      </c>
      <c r="H43" s="0" t="s">
        <v>82</v>
      </c>
      <c r="I43" s="0" t="s">
        <v>83</v>
      </c>
      <c r="J43" s="0" t="s">
        <v>178</v>
      </c>
      <c r="K43" s="0" t="s">
        <v>85</v>
      </c>
    </row>
    <row r="44" customFormat="false" ht="15" hidden="false" customHeight="false" outlineLevel="0" collapsed="false">
      <c r="A44" s="0" t="s">
        <v>39</v>
      </c>
      <c r="B44" s="0" t="s">
        <v>179</v>
      </c>
      <c r="C44" s="0" t="s">
        <v>13</v>
      </c>
      <c r="D44" s="0" t="s">
        <v>41</v>
      </c>
      <c r="E44" s="0" t="s">
        <v>180</v>
      </c>
      <c r="F44" s="0" t="s">
        <v>43</v>
      </c>
      <c r="G44" s="0" t="n">
        <f aca="false">HYPERLINK("http://clipc-services.ceda.ac.uk/dreq/u/562c99ff069851867df730ed9531c796.html","web")</f>
        <v>0</v>
      </c>
      <c r="H44" s="0" t="s">
        <v>82</v>
      </c>
      <c r="I44" s="0" t="s">
        <v>83</v>
      </c>
      <c r="J44" s="0" t="s">
        <v>181</v>
      </c>
      <c r="K44" s="0" t="s">
        <v>85</v>
      </c>
    </row>
    <row r="45" customFormat="false" ht="15" hidden="false" customHeight="false" outlineLevel="0" collapsed="false">
      <c r="A45" s="0" t="s">
        <v>39</v>
      </c>
      <c r="B45" s="0" t="s">
        <v>182</v>
      </c>
      <c r="C45" s="0" t="s">
        <v>49</v>
      </c>
      <c r="D45" s="0" t="s">
        <v>41</v>
      </c>
      <c r="E45" s="0" t="s">
        <v>183</v>
      </c>
      <c r="F45" s="0" t="s">
        <v>54</v>
      </c>
      <c r="G45" s="0" t="n">
        <f aca="false">HYPERLINK("http://clipc-services.ceda.ac.uk/dreq/u/e526caea-dd83-11e5-9194-ac72891c3257.html","web")</f>
        <v>0</v>
      </c>
      <c r="H45" s="0" t="s">
        <v>119</v>
      </c>
      <c r="I45" s="0" t="s">
        <v>120</v>
      </c>
      <c r="J45" s="0" t="s">
        <v>184</v>
      </c>
      <c r="K45" s="0" t="s">
        <v>85</v>
      </c>
    </row>
    <row r="46" customFormat="false" ht="15" hidden="false" customHeight="false" outlineLevel="0" collapsed="false">
      <c r="A46" s="0" t="s">
        <v>39</v>
      </c>
      <c r="B46" s="0" t="s">
        <v>185</v>
      </c>
      <c r="C46" s="0" t="s">
        <v>49</v>
      </c>
      <c r="D46" s="0" t="s">
        <v>41</v>
      </c>
      <c r="E46" s="0" t="s">
        <v>186</v>
      </c>
      <c r="F46" s="0" t="s">
        <v>54</v>
      </c>
      <c r="G46" s="0" t="n">
        <f aca="false">HYPERLINK("http://clipc-services.ceda.ac.uk/dreq/u/e525bed4-dd83-11e5-9194-ac72891c3257.html","web")</f>
        <v>0</v>
      </c>
      <c r="H46" s="0" t="s">
        <v>124</v>
      </c>
      <c r="I46" s="0" t="s">
        <v>26</v>
      </c>
      <c r="J46" s="0" t="s">
        <v>187</v>
      </c>
      <c r="K46" s="0" t="s">
        <v>58</v>
      </c>
    </row>
    <row r="47" customFormat="false" ht="15" hidden="false" customHeight="false" outlineLevel="0" collapsed="false">
      <c r="A47" s="0" t="s">
        <v>39</v>
      </c>
      <c r="B47" s="0" t="s">
        <v>188</v>
      </c>
      <c r="C47" s="0" t="s">
        <v>49</v>
      </c>
      <c r="D47" s="0" t="s">
        <v>41</v>
      </c>
      <c r="E47" s="0" t="s">
        <v>189</v>
      </c>
      <c r="F47" s="0" t="s">
        <v>54</v>
      </c>
      <c r="G47" s="0" t="n">
        <f aca="false">HYPERLINK("http://clipc-services.ceda.ac.uk/dreq/u/e52644bc-dd83-11e5-9194-ac72891c3257.html","web")</f>
        <v>0</v>
      </c>
      <c r="H47" s="0" t="s">
        <v>119</v>
      </c>
      <c r="I47" s="0" t="s">
        <v>120</v>
      </c>
      <c r="J47" s="0" t="s">
        <v>190</v>
      </c>
      <c r="K47" s="0" t="s">
        <v>85</v>
      </c>
    </row>
    <row r="48" customFormat="false" ht="15" hidden="false" customHeight="false" outlineLevel="0" collapsed="false">
      <c r="A48" s="0" t="s">
        <v>39</v>
      </c>
      <c r="B48" s="0" t="s">
        <v>191</v>
      </c>
      <c r="C48" s="0" t="s">
        <v>49</v>
      </c>
      <c r="D48" s="0" t="s">
        <v>41</v>
      </c>
      <c r="E48" s="0" t="s">
        <v>192</v>
      </c>
      <c r="F48" s="0" t="s">
        <v>54</v>
      </c>
      <c r="G48" s="0" t="n">
        <f aca="false">HYPERLINK("http://clipc-services.ceda.ac.uk/dreq/u/e5278b06-dd83-11e5-9194-ac72891c3257.html","web")</f>
        <v>0</v>
      </c>
      <c r="H48" s="0" t="s">
        <v>124</v>
      </c>
      <c r="I48" s="0" t="s">
        <v>26</v>
      </c>
      <c r="J48" s="0" t="s">
        <v>193</v>
      </c>
      <c r="K48" s="0" t="s">
        <v>58</v>
      </c>
    </row>
    <row r="49" customFormat="false" ht="15" hidden="false" customHeight="false" outlineLevel="0" collapsed="false">
      <c r="A49" s="0" t="s">
        <v>39</v>
      </c>
      <c r="B49" s="0" t="s">
        <v>194</v>
      </c>
      <c r="C49" s="0" t="s">
        <v>49</v>
      </c>
      <c r="D49" s="0" t="s">
        <v>41</v>
      </c>
      <c r="E49" s="0" t="s">
        <v>195</v>
      </c>
      <c r="F49" s="0" t="s">
        <v>54</v>
      </c>
      <c r="G49" s="0" t="n">
        <f aca="false">HYPERLINK("http://clipc-services.ceda.ac.uk/dreq/u/e527532a-dd83-11e5-9194-ac72891c3257.html","web")</f>
        <v>0</v>
      </c>
      <c r="H49" s="0" t="s">
        <v>119</v>
      </c>
      <c r="I49" s="0" t="s">
        <v>120</v>
      </c>
      <c r="J49" s="0" t="s">
        <v>196</v>
      </c>
      <c r="K49" s="0" t="s">
        <v>85</v>
      </c>
    </row>
    <row r="50" customFormat="false" ht="15" hidden="false" customHeight="false" outlineLevel="0" collapsed="false">
      <c r="A50" s="0" t="s">
        <v>39</v>
      </c>
      <c r="B50" s="0" t="s">
        <v>197</v>
      </c>
      <c r="C50" s="0" t="s">
        <v>31</v>
      </c>
      <c r="D50" s="0" t="s">
        <v>41</v>
      </c>
      <c r="E50" s="0" t="s">
        <v>198</v>
      </c>
      <c r="F50" s="0" t="s">
        <v>43</v>
      </c>
      <c r="G50" s="0" t="n">
        <f aca="false">HYPERLINK("http://clipc-services.ceda.ac.uk/dreq/u/ba20ea537eb672813c5a364655855b38.html","web")</f>
        <v>0</v>
      </c>
      <c r="H50" s="0" t="s">
        <v>174</v>
      </c>
      <c r="I50" s="0" t="s">
        <v>83</v>
      </c>
      <c r="J50" s="0" t="s">
        <v>199</v>
      </c>
      <c r="K50" s="0" t="s">
        <v>85</v>
      </c>
    </row>
    <row r="51" customFormat="false" ht="15" hidden="false" customHeight="false" outlineLevel="0" collapsed="false">
      <c r="A51" s="0" t="s">
        <v>39</v>
      </c>
      <c r="B51" s="0" t="s">
        <v>200</v>
      </c>
      <c r="C51" s="0" t="s">
        <v>31</v>
      </c>
      <c r="D51" s="0" t="s">
        <v>41</v>
      </c>
      <c r="E51" s="0" t="s">
        <v>201</v>
      </c>
      <c r="F51" s="0" t="s">
        <v>202</v>
      </c>
      <c r="G51" s="0" t="n">
        <f aca="false">HYPERLINK("http://clipc-services.ceda.ac.uk/dreq/u/4c69515bfc84c5cb5624e94228f58351.html","web")</f>
        <v>0</v>
      </c>
      <c r="H51" s="0" t="s">
        <v>203</v>
      </c>
      <c r="I51" s="0" t="s">
        <v>45</v>
      </c>
      <c r="J51" s="0" t="s">
        <v>204</v>
      </c>
      <c r="K51" s="0" t="s">
        <v>85</v>
      </c>
    </row>
    <row r="52" customFormat="false" ht="15" hidden="false" customHeight="false" outlineLevel="0" collapsed="false">
      <c r="A52" s="0" t="s">
        <v>39</v>
      </c>
      <c r="B52" s="0" t="s">
        <v>205</v>
      </c>
      <c r="C52" s="0" t="s">
        <v>49</v>
      </c>
      <c r="D52" s="0" t="s">
        <v>41</v>
      </c>
      <c r="E52" s="0" t="s">
        <v>206</v>
      </c>
      <c r="F52" s="0" t="s">
        <v>43</v>
      </c>
      <c r="G52" s="0" t="n">
        <f aca="false">HYPERLINK("http://clipc-services.ceda.ac.uk/dreq/u/c9776970-c5f0-11e6-ac20-5404a60d96b5.html","web")</f>
        <v>0</v>
      </c>
      <c r="H52" s="0" t="s">
        <v>44</v>
      </c>
      <c r="I52" s="0" t="s">
        <v>45</v>
      </c>
      <c r="J52" s="0" t="s">
        <v>207</v>
      </c>
      <c r="K52" s="0" t="s">
        <v>208</v>
      </c>
    </row>
    <row r="53" customFormat="false" ht="15" hidden="false" customHeight="false" outlineLevel="0" collapsed="false"/>
    <row r="54" customFormat="false" ht="15" hidden="false" customHeight="false" outlineLevel="0" collapsed="false">
      <c r="A54" s="0" t="s">
        <v>209</v>
      </c>
      <c r="B54" s="0" t="s">
        <v>210</v>
      </c>
      <c r="C54" s="0" t="s">
        <v>31</v>
      </c>
      <c r="D54" s="0" t="s">
        <v>211</v>
      </c>
      <c r="E54" s="0" t="s">
        <v>212</v>
      </c>
      <c r="F54" s="0" t="s">
        <v>24</v>
      </c>
      <c r="G54" s="0" t="n">
        <f aca="false">HYPERLINK("http://clipc-services.ceda.ac.uk/dreq/u/00e77372e8b909d9a827a0790e991fd9.html","web")</f>
        <v>0</v>
      </c>
      <c r="H54" s="0" t="s">
        <v>213</v>
      </c>
      <c r="I54" s="0" t="s">
        <v>26</v>
      </c>
      <c r="J54" s="0" t="s">
        <v>214</v>
      </c>
      <c r="K54" s="0" t="s">
        <v>215</v>
      </c>
    </row>
    <row r="55" customFormat="false" ht="15" hidden="false" customHeight="false" outlineLevel="0" collapsed="false"/>
    <row r="56" customFormat="false" ht="15" hidden="false" customHeight="false" outlineLevel="0" collapsed="false">
      <c r="A56" s="0" t="s">
        <v>216</v>
      </c>
      <c r="B56" s="0" t="s">
        <v>217</v>
      </c>
      <c r="C56" s="0" t="s">
        <v>31</v>
      </c>
      <c r="D56" s="0" t="s">
        <v>135</v>
      </c>
      <c r="E56" s="0" t="s">
        <v>218</v>
      </c>
      <c r="F56" s="0" t="s">
        <v>219</v>
      </c>
      <c r="G56" s="0" t="n">
        <f aca="false">HYPERLINK("http://clipc-services.ceda.ac.uk/dreq/u/13484743dd3369c69df93379e6dafbb5.html","web")</f>
        <v>0</v>
      </c>
      <c r="H56" s="0" t="s">
        <v>220</v>
      </c>
      <c r="J56" s="0" t="s">
        <v>221</v>
      </c>
      <c r="K56" s="0" t="s">
        <v>222</v>
      </c>
    </row>
    <row r="57" customFormat="false" ht="15" hidden="false" customHeight="false" outlineLevel="0" collapsed="false">
      <c r="A57" s="0" t="s">
        <v>216</v>
      </c>
      <c r="B57" s="0" t="s">
        <v>223</v>
      </c>
      <c r="C57" s="0" t="s">
        <v>31</v>
      </c>
      <c r="D57" s="0" t="s">
        <v>135</v>
      </c>
      <c r="E57" s="0" t="s">
        <v>224</v>
      </c>
      <c r="F57" s="0" t="s">
        <v>219</v>
      </c>
      <c r="G57" s="0" t="n">
        <f aca="false">HYPERLINK("http://clipc-services.ceda.ac.uk/dreq/u/0062272a6a4176b8c32af87642b062c5.html","web")</f>
        <v>0</v>
      </c>
      <c r="H57" s="0" t="s">
        <v>225</v>
      </c>
      <c r="I57" s="0" t="s">
        <v>226</v>
      </c>
      <c r="J57" s="0" t="s">
        <v>227</v>
      </c>
      <c r="K57" s="0" t="s">
        <v>222</v>
      </c>
    </row>
    <row r="58" customFormat="false" ht="15" hidden="false" customHeight="false" outlineLevel="0" collapsed="false">
      <c r="A58" s="0" t="s">
        <v>216</v>
      </c>
      <c r="B58" s="0" t="s">
        <v>228</v>
      </c>
      <c r="C58" s="0" t="s">
        <v>31</v>
      </c>
      <c r="D58" s="0" t="s">
        <v>229</v>
      </c>
      <c r="E58" s="0" t="s">
        <v>230</v>
      </c>
      <c r="F58" s="0" t="s">
        <v>16</v>
      </c>
      <c r="G58" s="0" t="n">
        <f aca="false">HYPERLINK("http://clipc-services.ceda.ac.uk/dreq/u/400e5707b65c01e31f2ec6a59dd3983b.html","web")</f>
        <v>0</v>
      </c>
      <c r="H58" s="0" t="s">
        <v>231</v>
      </c>
      <c r="I58" s="0" t="s">
        <v>232</v>
      </c>
      <c r="J58" s="0" t="s">
        <v>233</v>
      </c>
      <c r="K58" s="0" t="s">
        <v>222</v>
      </c>
    </row>
    <row r="59" customFormat="false" ht="15" hidden="false" customHeight="false" outlineLevel="0" collapsed="false">
      <c r="A59" s="0" t="s">
        <v>216</v>
      </c>
      <c r="B59" s="0" t="s">
        <v>234</v>
      </c>
      <c r="C59" s="0" t="s">
        <v>31</v>
      </c>
      <c r="D59" s="0" t="s">
        <v>235</v>
      </c>
      <c r="E59" s="0" t="s">
        <v>236</v>
      </c>
      <c r="F59" s="0" t="s">
        <v>16</v>
      </c>
      <c r="G59" s="0" t="n">
        <f aca="false">HYPERLINK("http://clipc-services.ceda.ac.uk/dreq/u/fa7666d61b92de5bad1ad76561b8b850.html","web")</f>
        <v>0</v>
      </c>
      <c r="H59" s="0" t="s">
        <v>231</v>
      </c>
      <c r="I59" s="0" t="s">
        <v>232</v>
      </c>
      <c r="J59" s="0" t="s">
        <v>237</v>
      </c>
      <c r="K59" s="0" t="s">
        <v>222</v>
      </c>
    </row>
    <row r="60" customFormat="false" ht="15" hidden="false" customHeight="false" outlineLevel="0" collapsed="false">
      <c r="A60" s="0" t="s">
        <v>216</v>
      </c>
      <c r="B60" s="0" t="s">
        <v>238</v>
      </c>
      <c r="C60" s="0" t="s">
        <v>31</v>
      </c>
      <c r="D60" s="0" t="s">
        <v>239</v>
      </c>
      <c r="E60" s="0" t="s">
        <v>240</v>
      </c>
      <c r="F60" s="0" t="s">
        <v>137</v>
      </c>
      <c r="G60" s="0" t="n">
        <f aca="false">HYPERLINK("http://clipc-services.ceda.ac.uk/dreq/u/6d790fe4caa7feff46a41ae7b3811e52.html","web")</f>
        <v>0</v>
      </c>
      <c r="H60" s="0" t="s">
        <v>241</v>
      </c>
      <c r="J60" s="0" t="s">
        <v>242</v>
      </c>
      <c r="K60" s="0" t="s">
        <v>222</v>
      </c>
    </row>
    <row r="61" customFormat="false" ht="15" hidden="false" customHeight="false" outlineLevel="0" collapsed="false"/>
    <row r="62" customFormat="false" ht="15" hidden="false" customHeight="false" outlineLevel="0" collapsed="false">
      <c r="A62" s="0" t="s">
        <v>243</v>
      </c>
      <c r="B62" s="0" t="s">
        <v>244</v>
      </c>
      <c r="C62" s="0" t="s">
        <v>31</v>
      </c>
      <c r="D62" s="0" t="s">
        <v>41</v>
      </c>
      <c r="E62" s="0" t="s">
        <v>245</v>
      </c>
      <c r="F62" s="0" t="s">
        <v>24</v>
      </c>
      <c r="G62" s="0" t="n">
        <f aca="false">HYPERLINK("http://clipc-services.ceda.ac.uk/dreq/u/44471dd9799293cef70ac63fcdd2476e.html","web")</f>
        <v>0</v>
      </c>
      <c r="I62" s="0" t="s">
        <v>26</v>
      </c>
      <c r="J62" s="0" t="s">
        <v>246</v>
      </c>
      <c r="K62" s="0" t="s">
        <v>247</v>
      </c>
    </row>
    <row r="63" customFormat="false" ht="15" hidden="false" customHeight="false" outlineLevel="0" collapsed="false"/>
    <row r="64" customFormat="false" ht="15" hidden="false" customHeight="false" outlineLevel="0" collapsed="false">
      <c r="A64" s="0" t="s">
        <v>248</v>
      </c>
      <c r="B64" s="0" t="s">
        <v>249</v>
      </c>
      <c r="C64" s="0" t="s">
        <v>31</v>
      </c>
      <c r="D64" s="0" t="s">
        <v>250</v>
      </c>
      <c r="E64" s="0" t="s">
        <v>251</v>
      </c>
      <c r="F64" s="0" t="s">
        <v>252</v>
      </c>
      <c r="G64" s="0" t="n">
        <f aca="false">HYPERLINK("http://clipc-services.ceda.ac.uk/dreq/u/9522ca96d0b066ebe8defd5541de0582.html","web")</f>
        <v>0</v>
      </c>
      <c r="H64" s="0" t="s">
        <v>253</v>
      </c>
      <c r="I64" s="0" t="s">
        <v>36</v>
      </c>
      <c r="J64" s="0" t="s">
        <v>254</v>
      </c>
      <c r="K64" s="0" t="s">
        <v>255</v>
      </c>
    </row>
    <row r="65" customFormat="false" ht="15" hidden="false" customHeight="false" outlineLevel="0" collapsed="false">
      <c r="A65" s="0" t="s">
        <v>248</v>
      </c>
      <c r="B65" s="0" t="s">
        <v>256</v>
      </c>
      <c r="C65" s="0" t="s">
        <v>31</v>
      </c>
      <c r="D65" s="0" t="s">
        <v>250</v>
      </c>
      <c r="E65" s="0" t="s">
        <v>257</v>
      </c>
      <c r="F65" s="0" t="s">
        <v>252</v>
      </c>
      <c r="G65" s="0" t="n">
        <f aca="false">HYPERLINK("http://clipc-services.ceda.ac.uk/dreq/u/85631e0f7a8fdcb10737a525f4134181.html","web")</f>
        <v>0</v>
      </c>
      <c r="H65" s="0" t="s">
        <v>253</v>
      </c>
      <c r="I65" s="0" t="s">
        <v>36</v>
      </c>
      <c r="J65" s="0" t="s">
        <v>258</v>
      </c>
      <c r="K65" s="0" t="s">
        <v>255</v>
      </c>
    </row>
    <row r="66" customFormat="false" ht="15" hidden="false" customHeight="false" outlineLevel="0" collapsed="false">
      <c r="A66" s="0" t="s">
        <v>248</v>
      </c>
      <c r="B66" s="0" t="s">
        <v>259</v>
      </c>
      <c r="C66" s="0" t="s">
        <v>31</v>
      </c>
      <c r="D66" s="0" t="s">
        <v>250</v>
      </c>
      <c r="E66" s="0" t="s">
        <v>260</v>
      </c>
      <c r="F66" s="0" t="s">
        <v>261</v>
      </c>
      <c r="G66" s="0" t="n">
        <f aca="false">HYPERLINK("http://clipc-services.ceda.ac.uk/dreq/u/59137716-9e49-11e5-803c-0d0b866b59f3.html","web")</f>
        <v>0</v>
      </c>
      <c r="H66" s="0" t="s">
        <v>253</v>
      </c>
      <c r="I66" s="0" t="s">
        <v>36</v>
      </c>
      <c r="J66" s="0" t="s">
        <v>262</v>
      </c>
      <c r="K66" s="0" t="s">
        <v>255</v>
      </c>
    </row>
    <row r="67" customFormat="false" ht="15" hidden="false" customHeight="false" outlineLevel="0" collapsed="false">
      <c r="A67" s="0" t="s">
        <v>248</v>
      </c>
      <c r="B67" s="0" t="s">
        <v>263</v>
      </c>
      <c r="C67" s="0" t="s">
        <v>31</v>
      </c>
      <c r="D67" s="0" t="s">
        <v>250</v>
      </c>
      <c r="E67" s="0" t="s">
        <v>264</v>
      </c>
      <c r="F67" s="0" t="s">
        <v>265</v>
      </c>
      <c r="G67" s="0" t="n">
        <f aca="false">HYPERLINK("http://clipc-services.ceda.ac.uk/dreq/u/590fa2bc-9e49-11e5-803c-0d0b866b59f3.html","web")</f>
        <v>0</v>
      </c>
      <c r="H67" s="0" t="s">
        <v>253</v>
      </c>
      <c r="I67" s="0" t="s">
        <v>36</v>
      </c>
      <c r="J67" s="0" t="s">
        <v>266</v>
      </c>
      <c r="K67" s="0" t="s">
        <v>255</v>
      </c>
    </row>
    <row r="68" customFormat="false" ht="15" hidden="false" customHeight="false" outlineLevel="0" collapsed="false">
      <c r="A68" s="0" t="s">
        <v>248</v>
      </c>
      <c r="B68" s="0" t="s">
        <v>267</v>
      </c>
      <c r="C68" s="0" t="s">
        <v>31</v>
      </c>
      <c r="D68" s="0" t="s">
        <v>250</v>
      </c>
      <c r="E68" s="0" t="s">
        <v>268</v>
      </c>
      <c r="F68" s="0" t="s">
        <v>265</v>
      </c>
      <c r="G68" s="0" t="n">
        <f aca="false">HYPERLINK("http://clipc-services.ceda.ac.uk/dreq/u/590e85a8-9e49-11e5-803c-0d0b866b59f3.html","web")</f>
        <v>0</v>
      </c>
      <c r="H68" s="0" t="s">
        <v>269</v>
      </c>
      <c r="I68" s="0" t="s">
        <v>36</v>
      </c>
      <c r="J68" s="0" t="s">
        <v>270</v>
      </c>
      <c r="K68" s="0" t="s">
        <v>255</v>
      </c>
    </row>
    <row r="69" customFormat="false" ht="15" hidden="false" customHeight="false" outlineLevel="0" collapsed="false">
      <c r="A69" s="0" t="s">
        <v>248</v>
      </c>
      <c r="B69" s="0" t="s">
        <v>271</v>
      </c>
      <c r="C69" s="0" t="s">
        <v>31</v>
      </c>
      <c r="D69" s="0" t="s">
        <v>250</v>
      </c>
      <c r="E69" s="0" t="s">
        <v>272</v>
      </c>
      <c r="F69" s="0" t="s">
        <v>265</v>
      </c>
      <c r="G69" s="0" t="n">
        <f aca="false">HYPERLINK("http://clipc-services.ceda.ac.uk/dreq/u/590ed5a8-9e49-11e5-803c-0d0b866b59f3.html","web")</f>
        <v>0</v>
      </c>
      <c r="H69" s="0" t="s">
        <v>269</v>
      </c>
      <c r="I69" s="0" t="s">
        <v>36</v>
      </c>
      <c r="J69" s="0" t="s">
        <v>273</v>
      </c>
      <c r="K69" s="0" t="s">
        <v>255</v>
      </c>
    </row>
    <row r="70" customFormat="false" ht="15" hidden="false" customHeight="false" outlineLevel="0" collapsed="false">
      <c r="A70" s="0" t="s">
        <v>248</v>
      </c>
      <c r="B70" s="0" t="s">
        <v>274</v>
      </c>
      <c r="C70" s="0" t="s">
        <v>31</v>
      </c>
      <c r="D70" s="0" t="s">
        <v>250</v>
      </c>
      <c r="E70" s="0" t="s">
        <v>275</v>
      </c>
      <c r="F70" s="0" t="s">
        <v>276</v>
      </c>
      <c r="G70" s="0" t="n">
        <f aca="false">HYPERLINK("http://clipc-services.ceda.ac.uk/dreq/u/590e48f4-9e49-11e5-803c-0d0b866b59f3.html","web")</f>
        <v>0</v>
      </c>
      <c r="H70" s="0" t="s">
        <v>253</v>
      </c>
      <c r="I70" s="0" t="s">
        <v>36</v>
      </c>
      <c r="J70" s="0" t="s">
        <v>277</v>
      </c>
      <c r="K70" s="0" t="s">
        <v>255</v>
      </c>
    </row>
    <row r="71" customFormat="false" ht="15" hidden="false" customHeight="false" outlineLevel="0" collapsed="false">
      <c r="A71" s="0" t="s">
        <v>248</v>
      </c>
      <c r="B71" s="0" t="s">
        <v>278</v>
      </c>
      <c r="C71" s="0" t="s">
        <v>31</v>
      </c>
      <c r="D71" s="0" t="s">
        <v>250</v>
      </c>
      <c r="E71" s="0" t="s">
        <v>279</v>
      </c>
      <c r="F71" s="0" t="s">
        <v>276</v>
      </c>
      <c r="G71" s="0" t="n">
        <f aca="false">HYPERLINK("http://clipc-services.ceda.ac.uk/dreq/u/590e883c-9e49-11e5-803c-0d0b866b59f3.html","web")</f>
        <v>0</v>
      </c>
      <c r="H71" s="0" t="s">
        <v>253</v>
      </c>
      <c r="I71" s="0" t="s">
        <v>36</v>
      </c>
      <c r="J71" s="0" t="s">
        <v>280</v>
      </c>
      <c r="K71" s="0" t="s">
        <v>255</v>
      </c>
    </row>
    <row r="72" customFormat="false" ht="15" hidden="false" customHeight="false" outlineLevel="0" collapsed="false">
      <c r="A72" s="0" t="s">
        <v>248</v>
      </c>
      <c r="B72" s="0" t="s">
        <v>281</v>
      </c>
      <c r="C72" s="0" t="s">
        <v>31</v>
      </c>
      <c r="D72" s="0" t="s">
        <v>250</v>
      </c>
      <c r="E72" s="0" t="s">
        <v>282</v>
      </c>
      <c r="F72" s="0" t="s">
        <v>283</v>
      </c>
      <c r="G72" s="0" t="n">
        <f aca="false">HYPERLINK("http://clipc-services.ceda.ac.uk/dreq/u/ba7be4134a9cf4838434bf204d80b903.html","web")</f>
        <v>0</v>
      </c>
      <c r="H72" s="0" t="s">
        <v>253</v>
      </c>
      <c r="I72" s="0" t="s">
        <v>36</v>
      </c>
      <c r="J72" s="0" t="s">
        <v>284</v>
      </c>
      <c r="K72" s="0" t="s">
        <v>255</v>
      </c>
    </row>
    <row r="73" customFormat="false" ht="15" hidden="false" customHeight="false" outlineLevel="0" collapsed="false">
      <c r="A73" s="0" t="s">
        <v>248</v>
      </c>
      <c r="B73" s="0" t="s">
        <v>285</v>
      </c>
      <c r="C73" s="0" t="s">
        <v>31</v>
      </c>
      <c r="D73" s="0" t="s">
        <v>250</v>
      </c>
      <c r="E73" s="0" t="s">
        <v>286</v>
      </c>
      <c r="F73" s="0" t="s">
        <v>283</v>
      </c>
      <c r="G73" s="0" t="n">
        <f aca="false">HYPERLINK("http://clipc-services.ceda.ac.uk/dreq/u/c64364df884a3cebaa7aebb664260776.html","web")</f>
        <v>0</v>
      </c>
      <c r="H73" s="0" t="s">
        <v>253</v>
      </c>
      <c r="I73" s="0" t="s">
        <v>36</v>
      </c>
      <c r="J73" s="0" t="s">
        <v>287</v>
      </c>
      <c r="K73" s="0" t="s">
        <v>255</v>
      </c>
    </row>
    <row r="74" customFormat="false" ht="15" hidden="false" customHeight="false" outlineLevel="0" collapsed="false"/>
    <row r="75" customFormat="false" ht="15" hidden="false" customHeight="false" outlineLevel="0" collapsed="false">
      <c r="A75" s="0" t="s">
        <v>288</v>
      </c>
      <c r="B75" s="0" t="s">
        <v>289</v>
      </c>
      <c r="C75" s="0" t="s">
        <v>31</v>
      </c>
      <c r="D75" s="0" t="s">
        <v>135</v>
      </c>
      <c r="E75" s="0" t="s">
        <v>290</v>
      </c>
      <c r="F75" s="0" t="s">
        <v>291</v>
      </c>
      <c r="G75" s="0" t="n">
        <f aca="false">HYPERLINK("http://clipc-services.ceda.ac.uk/dreq/u/51e0588121783d77407236e0d2eb5d14.html","web")</f>
        <v>0</v>
      </c>
      <c r="H75" s="0" t="s">
        <v>292</v>
      </c>
      <c r="I75" s="0" t="s">
        <v>293</v>
      </c>
      <c r="J75" s="0" t="s">
        <v>294</v>
      </c>
      <c r="K75" s="0" t="s">
        <v>295</v>
      </c>
    </row>
    <row r="76" customFormat="false" ht="15" hidden="false" customHeight="false" outlineLevel="0" collapsed="false">
      <c r="A76" s="0" t="s">
        <v>288</v>
      </c>
      <c r="B76" s="0" t="s">
        <v>12</v>
      </c>
      <c r="C76" s="0" t="s">
        <v>13</v>
      </c>
      <c r="D76" s="0" t="s">
        <v>296</v>
      </c>
      <c r="E76" s="0" t="s">
        <v>15</v>
      </c>
      <c r="F76" s="0" t="s">
        <v>16</v>
      </c>
      <c r="G76" s="0" t="n">
        <f aca="false">HYPERLINK("http://clipc-services.ceda.ac.uk/dreq/u/590dbe0c-9e49-11e5-803c-0d0b866b59f3.html","web")</f>
        <v>0</v>
      </c>
      <c r="H76" s="0" t="s">
        <v>17</v>
      </c>
      <c r="I76" s="0" t="s">
        <v>18</v>
      </c>
      <c r="J76" s="0" t="s">
        <v>19</v>
      </c>
      <c r="K76" s="0" t="s">
        <v>20</v>
      </c>
    </row>
    <row r="77" customFormat="false" ht="15" hidden="false" customHeight="false" outlineLevel="0" collapsed="false">
      <c r="A77" s="0" t="s">
        <v>288</v>
      </c>
      <c r="B77" s="0" t="s">
        <v>297</v>
      </c>
      <c r="C77" s="0" t="s">
        <v>49</v>
      </c>
      <c r="D77" s="0" t="s">
        <v>135</v>
      </c>
      <c r="E77" s="0" t="s">
        <v>298</v>
      </c>
      <c r="F77" s="0" t="s">
        <v>24</v>
      </c>
      <c r="G77" s="0" t="n">
        <f aca="false">HYPERLINK("http://clipc-services.ceda.ac.uk/dreq/u/3e437daab5bc69123a859ad361babc59.html","web")</f>
        <v>0</v>
      </c>
      <c r="H77" s="0" t="s">
        <v>299</v>
      </c>
      <c r="I77" s="0" t="s">
        <v>300</v>
      </c>
      <c r="J77" s="0" t="s">
        <v>301</v>
      </c>
      <c r="K77" s="0" t="s">
        <v>302</v>
      </c>
    </row>
    <row r="78" customFormat="false" ht="15" hidden="false" customHeight="false" outlineLevel="0" collapsed="false"/>
    <row r="79" customFormat="false" ht="15" hidden="false" customHeight="false" outlineLevel="0" collapsed="false">
      <c r="A79" s="0" t="s">
        <v>303</v>
      </c>
      <c r="B79" s="0" t="s">
        <v>217</v>
      </c>
      <c r="C79" s="0" t="s">
        <v>31</v>
      </c>
      <c r="D79" s="0" t="s">
        <v>304</v>
      </c>
      <c r="E79" s="0" t="s">
        <v>218</v>
      </c>
      <c r="F79" s="0" t="s">
        <v>219</v>
      </c>
      <c r="G79" s="0" t="n">
        <f aca="false">HYPERLINK("http://clipc-services.ceda.ac.uk/dreq/u/13484743dd3369c69df93379e6dafbb5.html","web")</f>
        <v>0</v>
      </c>
      <c r="H79" s="0" t="s">
        <v>220</v>
      </c>
      <c r="J79" s="0" t="s">
        <v>221</v>
      </c>
      <c r="K79" s="0" t="s">
        <v>305</v>
      </c>
    </row>
    <row r="80" customFormat="false" ht="15" hidden="false" customHeight="false" outlineLevel="0" collapsed="false">
      <c r="A80" s="0" t="s">
        <v>303</v>
      </c>
      <c r="B80" s="0" t="s">
        <v>223</v>
      </c>
      <c r="C80" s="0" t="s">
        <v>31</v>
      </c>
      <c r="D80" s="0" t="s">
        <v>304</v>
      </c>
      <c r="E80" s="0" t="s">
        <v>224</v>
      </c>
      <c r="F80" s="0" t="s">
        <v>219</v>
      </c>
      <c r="G80" s="0" t="n">
        <f aca="false">HYPERLINK("http://clipc-services.ceda.ac.uk/dreq/u/0062272a6a4176b8c32af87642b062c5.html","web")</f>
        <v>0</v>
      </c>
      <c r="H80" s="0" t="s">
        <v>225</v>
      </c>
      <c r="I80" s="0" t="s">
        <v>226</v>
      </c>
      <c r="J80" s="0" t="s">
        <v>227</v>
      </c>
      <c r="K80" s="0" t="s">
        <v>305</v>
      </c>
    </row>
    <row r="81" customFormat="false" ht="15" hidden="false" customHeight="false" outlineLevel="0" collapsed="false">
      <c r="A81" s="0" t="s">
        <v>303</v>
      </c>
      <c r="B81" s="0" t="s">
        <v>306</v>
      </c>
      <c r="C81" s="0" t="s">
        <v>31</v>
      </c>
      <c r="D81" s="0" t="s">
        <v>304</v>
      </c>
      <c r="E81" s="0" t="s">
        <v>307</v>
      </c>
      <c r="F81" s="0" t="s">
        <v>31</v>
      </c>
      <c r="G81" s="0" t="n">
        <f aca="false">HYPERLINK("http://clipc-services.ceda.ac.uk/dreq/u/29fae9ea0f236a3eb144026e1bafde28.html","web")</f>
        <v>0</v>
      </c>
      <c r="H81" s="0" t="s">
        <v>308</v>
      </c>
      <c r="I81" s="0" t="s">
        <v>309</v>
      </c>
      <c r="J81" s="0" t="s">
        <v>310</v>
      </c>
      <c r="K81" s="0" t="s">
        <v>305</v>
      </c>
    </row>
    <row r="82" customFormat="false" ht="15" hidden="false" customHeight="false" outlineLevel="0" collapsed="false">
      <c r="A82" s="0" t="s">
        <v>303</v>
      </c>
      <c r="B82" s="0" t="s">
        <v>311</v>
      </c>
      <c r="C82" s="0" t="s">
        <v>31</v>
      </c>
      <c r="D82" s="0" t="s">
        <v>312</v>
      </c>
      <c r="E82" s="0" t="s">
        <v>313</v>
      </c>
      <c r="F82" s="0" t="s">
        <v>314</v>
      </c>
      <c r="G82" s="0" t="n">
        <f aca="false">HYPERLINK("http://clipc-services.ceda.ac.uk/dreq/u/c373986159daf18eee63ca731d52b6f7.html","web")</f>
        <v>0</v>
      </c>
      <c r="H82" s="0" t="s">
        <v>253</v>
      </c>
      <c r="I82" s="0" t="s">
        <v>36</v>
      </c>
      <c r="J82" s="0" t="s">
        <v>315</v>
      </c>
      <c r="K82" s="0" t="s">
        <v>305</v>
      </c>
    </row>
    <row r="83" customFormat="false" ht="15" hidden="false" customHeight="false" outlineLevel="0" collapsed="false">
      <c r="A83" s="0" t="s">
        <v>303</v>
      </c>
      <c r="B83" s="0" t="s">
        <v>316</v>
      </c>
      <c r="C83" s="0" t="s">
        <v>31</v>
      </c>
      <c r="D83" s="0" t="s">
        <v>312</v>
      </c>
      <c r="E83" s="0" t="s">
        <v>317</v>
      </c>
      <c r="F83" s="0" t="s">
        <v>314</v>
      </c>
      <c r="G83" s="0" t="n">
        <f aca="false">HYPERLINK("http://clipc-services.ceda.ac.uk/dreq/u/52c137a21845ae294b27ad40eaca096d.html","web")</f>
        <v>0</v>
      </c>
      <c r="H83" s="0" t="s">
        <v>253</v>
      </c>
      <c r="I83" s="0" t="s">
        <v>36</v>
      </c>
      <c r="J83" s="0" t="s">
        <v>318</v>
      </c>
      <c r="K83" s="0" t="s">
        <v>305</v>
      </c>
    </row>
    <row r="84" customFormat="false" ht="15" hidden="false" customHeight="false" outlineLevel="0" collapsed="false">
      <c r="A84" s="0" t="s">
        <v>303</v>
      </c>
      <c r="B84" s="0" t="s">
        <v>319</v>
      </c>
      <c r="C84" s="0" t="s">
        <v>31</v>
      </c>
      <c r="D84" s="0" t="s">
        <v>304</v>
      </c>
      <c r="E84" s="0" t="s">
        <v>320</v>
      </c>
      <c r="F84" s="0" t="s">
        <v>137</v>
      </c>
      <c r="G84" s="0" t="n">
        <f aca="false">HYPERLINK("http://clipc-services.ceda.ac.uk/dreq/u/5e49c0b73ac161d5e5dd05173416c400.html","web")</f>
        <v>0</v>
      </c>
      <c r="H84" s="0" t="s">
        <v>321</v>
      </c>
      <c r="I84" s="0" t="s">
        <v>322</v>
      </c>
      <c r="J84" s="0" t="s">
        <v>323</v>
      </c>
      <c r="K84" s="0" t="s">
        <v>305</v>
      </c>
    </row>
    <row r="85" customFormat="false" ht="15" hidden="false" customHeight="false" outlineLevel="0" collapsed="false">
      <c r="A85" s="0" t="s">
        <v>303</v>
      </c>
      <c r="B85" s="0" t="s">
        <v>238</v>
      </c>
      <c r="C85" s="0" t="s">
        <v>31</v>
      </c>
      <c r="D85" s="0" t="s">
        <v>324</v>
      </c>
      <c r="E85" s="0" t="s">
        <v>240</v>
      </c>
      <c r="F85" s="0" t="s">
        <v>137</v>
      </c>
      <c r="G85" s="0" t="n">
        <f aca="false">HYPERLINK("http://clipc-services.ceda.ac.uk/dreq/u/6d790fe4caa7feff46a41ae7b3811e52.html","web")</f>
        <v>0</v>
      </c>
      <c r="H85" s="0" t="s">
        <v>241</v>
      </c>
      <c r="J85" s="0" t="s">
        <v>242</v>
      </c>
      <c r="K85" s="0" t="s">
        <v>305</v>
      </c>
    </row>
    <row r="86" customFormat="false" ht="15" hidden="false" customHeight="false" outlineLevel="0" collapsed="false">
      <c r="A86" s="0" t="s">
        <v>303</v>
      </c>
      <c r="B86" s="0" t="s">
        <v>325</v>
      </c>
      <c r="C86" s="0" t="s">
        <v>31</v>
      </c>
      <c r="D86" s="0" t="s">
        <v>324</v>
      </c>
      <c r="E86" s="0" t="s">
        <v>326</v>
      </c>
      <c r="F86" s="0" t="s">
        <v>327</v>
      </c>
      <c r="G86" s="0" t="n">
        <f aca="false">HYPERLINK("http://clipc-services.ceda.ac.uk/dreq/u/c432bfbfc0e7f4403f91af39736ff61c.html","web")</f>
        <v>0</v>
      </c>
      <c r="H86" s="0" t="s">
        <v>328</v>
      </c>
      <c r="I86" s="0" t="s">
        <v>36</v>
      </c>
      <c r="J86" s="0" t="s">
        <v>329</v>
      </c>
      <c r="K86" s="0" t="s">
        <v>305</v>
      </c>
    </row>
    <row r="87" customFormat="false" ht="15" hidden="false" customHeight="false" outlineLevel="0" collapsed="false">
      <c r="A87" s="0" t="s">
        <v>303</v>
      </c>
      <c r="B87" s="0" t="s">
        <v>330</v>
      </c>
      <c r="C87" s="0" t="s">
        <v>31</v>
      </c>
      <c r="D87" s="0" t="s">
        <v>324</v>
      </c>
      <c r="E87" s="0" t="s">
        <v>331</v>
      </c>
      <c r="F87" s="0" t="s">
        <v>327</v>
      </c>
      <c r="G87" s="0" t="n">
        <f aca="false">HYPERLINK("http://clipc-services.ceda.ac.uk/dreq/u/e79eb59d74038643b2201bb0556e720a.html","web")</f>
        <v>0</v>
      </c>
      <c r="H87" s="0" t="s">
        <v>328</v>
      </c>
      <c r="I87" s="0" t="s">
        <v>36</v>
      </c>
      <c r="J87" s="0" t="s">
        <v>332</v>
      </c>
      <c r="K87" s="0" t="s">
        <v>305</v>
      </c>
    </row>
    <row r="88" customFormat="false" ht="15" hidden="false" customHeight="false" outlineLevel="0" collapsed="false">
      <c r="A88" s="0" t="s">
        <v>303</v>
      </c>
      <c r="B88" s="0" t="s">
        <v>333</v>
      </c>
      <c r="C88" s="0" t="s">
        <v>31</v>
      </c>
      <c r="D88" s="0" t="s">
        <v>324</v>
      </c>
      <c r="E88" s="0" t="s">
        <v>334</v>
      </c>
      <c r="F88" s="0" t="s">
        <v>327</v>
      </c>
      <c r="G88" s="0" t="n">
        <f aca="false">HYPERLINK("http://clipc-services.ceda.ac.uk/dreq/u/bcfeacf77d49ef51a6ee66a1ab0ebcb4.html","web")</f>
        <v>0</v>
      </c>
      <c r="H88" s="0" t="s">
        <v>328</v>
      </c>
      <c r="I88" s="0" t="s">
        <v>36</v>
      </c>
      <c r="J88" s="0" t="s">
        <v>335</v>
      </c>
      <c r="K88" s="0" t="s">
        <v>305</v>
      </c>
    </row>
    <row r="89" customFormat="false" ht="15" hidden="false" customHeight="false" outlineLevel="0" collapsed="false">
      <c r="A89" s="0" t="s">
        <v>303</v>
      </c>
      <c r="B89" s="0" t="s">
        <v>336</v>
      </c>
      <c r="C89" s="0" t="s">
        <v>31</v>
      </c>
      <c r="D89" s="0" t="s">
        <v>324</v>
      </c>
      <c r="E89" s="0" t="s">
        <v>337</v>
      </c>
      <c r="F89" s="0" t="s">
        <v>327</v>
      </c>
      <c r="G89" s="0" t="n">
        <f aca="false">HYPERLINK("http://clipc-services.ceda.ac.uk/dreq/u/a8607fe15cb4f2997228523340233d91.html","web")</f>
        <v>0</v>
      </c>
      <c r="H89" s="0" t="s">
        <v>328</v>
      </c>
      <c r="I89" s="0" t="s">
        <v>36</v>
      </c>
      <c r="J89" s="0" t="s">
        <v>338</v>
      </c>
      <c r="K89" s="0" t="s">
        <v>305</v>
      </c>
    </row>
    <row r="90" customFormat="false" ht="15" hidden="false" customHeight="false" outlineLevel="0" collapsed="false">
      <c r="A90" s="0" t="s">
        <v>303</v>
      </c>
      <c r="B90" s="0" t="s">
        <v>339</v>
      </c>
      <c r="C90" s="0" t="s">
        <v>31</v>
      </c>
      <c r="D90" s="0" t="s">
        <v>324</v>
      </c>
      <c r="E90" s="0" t="s">
        <v>340</v>
      </c>
      <c r="F90" s="0" t="s">
        <v>327</v>
      </c>
      <c r="G90" s="0" t="n">
        <f aca="false">HYPERLINK("http://clipc-services.ceda.ac.uk/dreq/u/eb9ac643cd9c73cae960d6d2db7b901d.html","web")</f>
        <v>0</v>
      </c>
      <c r="H90" s="0" t="s">
        <v>328</v>
      </c>
      <c r="I90" s="0" t="s">
        <v>36</v>
      </c>
      <c r="J90" s="0" t="s">
        <v>341</v>
      </c>
      <c r="K90" s="0" t="s">
        <v>305</v>
      </c>
    </row>
    <row r="91" customFormat="false" ht="15" hidden="false" customHeight="false" outlineLevel="0" collapsed="false">
      <c r="A91" s="0" t="s">
        <v>303</v>
      </c>
      <c r="B91" s="0" t="s">
        <v>342</v>
      </c>
      <c r="C91" s="0" t="s">
        <v>31</v>
      </c>
      <c r="D91" s="0" t="s">
        <v>324</v>
      </c>
      <c r="E91" s="0" t="s">
        <v>343</v>
      </c>
      <c r="F91" s="0" t="s">
        <v>327</v>
      </c>
      <c r="G91" s="0" t="n">
        <f aca="false">HYPERLINK("http://clipc-services.ceda.ac.uk/dreq/u/38806cec3ba894d7745fada80c9f6fe6.html","web")</f>
        <v>0</v>
      </c>
      <c r="H91" s="0" t="s">
        <v>344</v>
      </c>
      <c r="I91" s="0" t="s">
        <v>36</v>
      </c>
      <c r="J91" s="0" t="s">
        <v>345</v>
      </c>
      <c r="K91" s="0" t="s">
        <v>305</v>
      </c>
    </row>
    <row r="92" customFormat="false" ht="15" hidden="false" customHeight="false" outlineLevel="0" collapsed="false">
      <c r="A92" s="0" t="s">
        <v>303</v>
      </c>
      <c r="B92" s="0" t="s">
        <v>346</v>
      </c>
      <c r="C92" s="0" t="s">
        <v>31</v>
      </c>
      <c r="D92" s="0" t="s">
        <v>324</v>
      </c>
      <c r="E92" s="0" t="s">
        <v>347</v>
      </c>
      <c r="F92" s="0" t="s">
        <v>327</v>
      </c>
      <c r="G92" s="0" t="n">
        <f aca="false">HYPERLINK("http://clipc-services.ceda.ac.uk/dreq/u/c323f38340e4846931ad4891232d839d.html","web")</f>
        <v>0</v>
      </c>
      <c r="H92" s="0" t="s">
        <v>328</v>
      </c>
      <c r="I92" s="0" t="s">
        <v>36</v>
      </c>
      <c r="J92" s="0" t="s">
        <v>348</v>
      </c>
      <c r="K92" s="0" t="s">
        <v>305</v>
      </c>
    </row>
    <row r="93" customFormat="false" ht="15" hidden="false" customHeight="false" outlineLevel="0" collapsed="false">
      <c r="A93" s="0" t="s">
        <v>303</v>
      </c>
      <c r="B93" s="0" t="s">
        <v>349</v>
      </c>
      <c r="C93" s="0" t="s">
        <v>31</v>
      </c>
      <c r="D93" s="0" t="s">
        <v>324</v>
      </c>
      <c r="E93" s="0" t="s">
        <v>350</v>
      </c>
      <c r="F93" s="0" t="s">
        <v>327</v>
      </c>
      <c r="G93" s="0" t="n">
        <f aca="false">HYPERLINK("http://clipc-services.ceda.ac.uk/dreq/u/eb72b66b6365daed79aefeda9d3d30b5.html","web")</f>
        <v>0</v>
      </c>
      <c r="H93" s="0" t="s">
        <v>344</v>
      </c>
      <c r="I93" s="0" t="s">
        <v>36</v>
      </c>
      <c r="J93" s="0" t="s">
        <v>351</v>
      </c>
      <c r="K93" s="0" t="s">
        <v>305</v>
      </c>
    </row>
    <row r="94" customFormat="false" ht="15" hidden="false" customHeight="false" outlineLevel="0" collapsed="false">
      <c r="A94" s="0" t="s">
        <v>303</v>
      </c>
      <c r="B94" s="0" t="s">
        <v>352</v>
      </c>
      <c r="C94" s="0" t="s">
        <v>31</v>
      </c>
      <c r="D94" s="0" t="s">
        <v>304</v>
      </c>
      <c r="E94" s="0" t="s">
        <v>353</v>
      </c>
      <c r="F94" s="0" t="s">
        <v>31</v>
      </c>
      <c r="G94" s="0" t="n">
        <f aca="false">HYPERLINK("http://clipc-services.ceda.ac.uk/dreq/u/8de0f30b91b15720398fc10fd712a182.html","web")</f>
        <v>0</v>
      </c>
      <c r="H94" s="0" t="s">
        <v>308</v>
      </c>
      <c r="I94" s="0" t="s">
        <v>226</v>
      </c>
      <c r="J94" s="0" t="s">
        <v>354</v>
      </c>
      <c r="K94" s="0" t="s">
        <v>305</v>
      </c>
    </row>
    <row r="95" customFormat="false" ht="15" hidden="false" customHeight="false" outlineLevel="0" collapsed="false">
      <c r="A95" s="0" t="s">
        <v>303</v>
      </c>
      <c r="B95" s="0" t="s">
        <v>355</v>
      </c>
      <c r="C95" s="0" t="s">
        <v>31</v>
      </c>
      <c r="D95" s="0" t="s">
        <v>312</v>
      </c>
      <c r="E95" s="0" t="s">
        <v>356</v>
      </c>
      <c r="F95" s="0" t="s">
        <v>357</v>
      </c>
      <c r="G95" s="0" t="n">
        <f aca="false">HYPERLINK("http://clipc-services.ceda.ac.uk/dreq/u/150d0829eec06aeaf75d22d08d328ffa.html","web")</f>
        <v>0</v>
      </c>
      <c r="H95" s="0" t="s">
        <v>358</v>
      </c>
      <c r="I95" s="0" t="s">
        <v>359</v>
      </c>
      <c r="J95" s="0" t="s">
        <v>360</v>
      </c>
      <c r="K95" s="0" t="s">
        <v>305</v>
      </c>
    </row>
    <row r="96" customFormat="false" ht="15" hidden="false" customHeight="false" outlineLevel="0" collapsed="false">
      <c r="A96" s="0" t="s">
        <v>303</v>
      </c>
      <c r="B96" s="0" t="s">
        <v>361</v>
      </c>
      <c r="C96" s="0" t="s">
        <v>31</v>
      </c>
      <c r="D96" s="0" t="s">
        <v>312</v>
      </c>
      <c r="E96" s="0" t="s">
        <v>362</v>
      </c>
      <c r="F96" s="0" t="s">
        <v>357</v>
      </c>
      <c r="G96" s="0" t="n">
        <f aca="false">HYPERLINK("http://clipc-services.ceda.ac.uk/dreq/u/2c8cb564bae033f641135194947da163.html","web")</f>
        <v>0</v>
      </c>
      <c r="H96" s="0" t="s">
        <v>253</v>
      </c>
      <c r="I96" s="0" t="s">
        <v>359</v>
      </c>
      <c r="J96" s="0" t="s">
        <v>363</v>
      </c>
      <c r="K96" s="0" t="s">
        <v>305</v>
      </c>
    </row>
    <row r="97" customFormat="false" ht="15" hidden="false" customHeight="false" outlineLevel="0" collapsed="false">
      <c r="A97" s="0" t="s">
        <v>303</v>
      </c>
      <c r="B97" s="0" t="s">
        <v>364</v>
      </c>
      <c r="C97" s="0" t="s">
        <v>31</v>
      </c>
      <c r="D97" s="0" t="s">
        <v>312</v>
      </c>
      <c r="E97" s="0" t="s">
        <v>365</v>
      </c>
      <c r="F97" s="0" t="s">
        <v>357</v>
      </c>
      <c r="G97" s="0" t="n">
        <f aca="false">HYPERLINK("http://clipc-services.ceda.ac.uk/dreq/u/9e9e7476986ece18ce380652eaabe342.html","web")</f>
        <v>0</v>
      </c>
      <c r="H97" s="0" t="s">
        <v>366</v>
      </c>
      <c r="I97" s="0" t="s">
        <v>359</v>
      </c>
      <c r="J97" s="0" t="s">
        <v>367</v>
      </c>
      <c r="K97" s="0" t="s">
        <v>305</v>
      </c>
    </row>
    <row r="98" customFormat="false" ht="15" hidden="false" customHeight="false" outlineLevel="0" collapsed="false">
      <c r="A98" s="0" t="s">
        <v>303</v>
      </c>
      <c r="B98" s="0" t="s">
        <v>368</v>
      </c>
      <c r="C98" s="0" t="s">
        <v>31</v>
      </c>
      <c r="D98" s="0" t="s">
        <v>312</v>
      </c>
      <c r="E98" s="0" t="s">
        <v>369</v>
      </c>
      <c r="F98" s="0" t="s">
        <v>370</v>
      </c>
      <c r="G98" s="0" t="n">
        <f aca="false">HYPERLINK("http://clipc-services.ceda.ac.uk/dreq/u/c8b1814845661bcad37910e70a59b285.html","web")</f>
        <v>0</v>
      </c>
      <c r="H98" s="0" t="s">
        <v>371</v>
      </c>
      <c r="I98" s="0" t="s">
        <v>359</v>
      </c>
      <c r="J98" s="0" t="s">
        <v>369</v>
      </c>
      <c r="K98" s="0" t="s">
        <v>305</v>
      </c>
    </row>
    <row r="99" customFormat="false" ht="15" hidden="false" customHeight="false" outlineLevel="0" collapsed="false">
      <c r="A99" s="0" t="s">
        <v>303</v>
      </c>
      <c r="B99" s="0" t="s">
        <v>372</v>
      </c>
      <c r="C99" s="0" t="s">
        <v>31</v>
      </c>
      <c r="D99" s="0" t="s">
        <v>312</v>
      </c>
      <c r="E99" s="0" t="s">
        <v>373</v>
      </c>
      <c r="F99" s="0" t="s">
        <v>370</v>
      </c>
      <c r="G99" s="0" t="n">
        <f aca="false">HYPERLINK("http://clipc-services.ceda.ac.uk/dreq/u/ea55d8afe6bacbfa1029c0048717eaaa.html","web")</f>
        <v>0</v>
      </c>
      <c r="H99" s="0" t="s">
        <v>374</v>
      </c>
      <c r="I99" s="0" t="s">
        <v>359</v>
      </c>
      <c r="J99" s="0" t="s">
        <v>375</v>
      </c>
      <c r="K99" s="0" t="s">
        <v>305</v>
      </c>
    </row>
    <row r="100" customFormat="false" ht="15" hidden="false" customHeight="false" outlineLevel="0" collapsed="false">
      <c r="A100" s="0" t="s">
        <v>303</v>
      </c>
      <c r="B100" s="0" t="s">
        <v>376</v>
      </c>
      <c r="C100" s="0" t="s">
        <v>31</v>
      </c>
      <c r="D100" s="0" t="s">
        <v>312</v>
      </c>
      <c r="E100" s="0" t="s">
        <v>377</v>
      </c>
      <c r="F100" s="0" t="s">
        <v>370</v>
      </c>
      <c r="G100" s="0" t="n">
        <f aca="false">HYPERLINK("http://clipc-services.ceda.ac.uk/dreq/u/621681bc7c376de66228fdde13b97516.html","web")</f>
        <v>0</v>
      </c>
      <c r="H100" s="0" t="s">
        <v>378</v>
      </c>
      <c r="I100" s="0" t="s">
        <v>36</v>
      </c>
      <c r="J100" s="0" t="s">
        <v>379</v>
      </c>
      <c r="K100" s="0" t="s">
        <v>305</v>
      </c>
    </row>
    <row r="101" customFormat="false" ht="15" hidden="false" customHeight="false" outlineLevel="0" collapsed="false">
      <c r="A101" s="0" t="s">
        <v>303</v>
      </c>
      <c r="B101" s="0" t="s">
        <v>380</v>
      </c>
      <c r="C101" s="0" t="s">
        <v>31</v>
      </c>
      <c r="D101" s="0" t="s">
        <v>312</v>
      </c>
      <c r="E101" s="0" t="s">
        <v>381</v>
      </c>
      <c r="F101" s="0" t="s">
        <v>370</v>
      </c>
      <c r="G101" s="0" t="n">
        <f aca="false">HYPERLINK("http://clipc-services.ceda.ac.uk/dreq/u/475dc209e9f9cd51eedee4d26caf9f67.html","web")</f>
        <v>0</v>
      </c>
      <c r="H101" s="0" t="s">
        <v>382</v>
      </c>
      <c r="I101" s="0" t="s">
        <v>359</v>
      </c>
      <c r="J101" s="0" t="s">
        <v>383</v>
      </c>
      <c r="K101" s="0" t="s">
        <v>305</v>
      </c>
    </row>
    <row r="102" customFormat="false" ht="15" hidden="false" customHeight="false" outlineLevel="0" collapsed="false"/>
    <row r="103" customFormat="false" ht="15" hidden="false" customHeight="false" outlineLevel="0" collapsed="false">
      <c r="A103" s="0" t="s">
        <v>384</v>
      </c>
      <c r="B103" s="0" t="s">
        <v>385</v>
      </c>
      <c r="C103" s="0" t="s">
        <v>31</v>
      </c>
      <c r="D103" s="0" t="s">
        <v>135</v>
      </c>
      <c r="E103" s="0" t="s">
        <v>386</v>
      </c>
      <c r="F103" s="0" t="s">
        <v>327</v>
      </c>
      <c r="G103" s="0" t="n">
        <f aca="false">HYPERLINK("http://clipc-services.ceda.ac.uk/dreq/u/f27656eeae247192e82aa1032c911399.html","web")</f>
        <v>0</v>
      </c>
      <c r="H103" s="0" t="s">
        <v>387</v>
      </c>
      <c r="I103" s="0" t="s">
        <v>388</v>
      </c>
      <c r="J103" s="0" t="s">
        <v>389</v>
      </c>
      <c r="K103" s="0" t="s">
        <v>390</v>
      </c>
    </row>
    <row r="104" customFormat="false" ht="15" hidden="false" customHeight="false" outlineLevel="0" collapsed="false"/>
    <row r="105" customFormat="false" ht="15" hidden="false" customHeight="false" outlineLevel="0" collapsed="false">
      <c r="A105" s="0" t="s">
        <v>391</v>
      </c>
      <c r="B105" s="0" t="s">
        <v>392</v>
      </c>
      <c r="C105" s="0" t="s">
        <v>13</v>
      </c>
      <c r="D105" s="0" t="s">
        <v>135</v>
      </c>
      <c r="E105" s="0" t="s">
        <v>393</v>
      </c>
      <c r="F105" s="0" t="s">
        <v>327</v>
      </c>
      <c r="G105" s="0" t="n">
        <f aca="false">HYPERLINK("http://clipc-services.ceda.ac.uk/dreq/u/59131140-9e49-11e5-803c-0d0b866b59f3.html","web")</f>
        <v>0</v>
      </c>
      <c r="H105" s="0" t="s">
        <v>394</v>
      </c>
      <c r="I105" s="0" t="s">
        <v>395</v>
      </c>
      <c r="J105" s="0" t="s">
        <v>396</v>
      </c>
      <c r="K105" s="0" t="s">
        <v>397</v>
      </c>
    </row>
    <row r="106" customFormat="false" ht="15" hidden="false" customHeight="false" outlineLevel="0" collapsed="false">
      <c r="A106" s="0" t="s">
        <v>391</v>
      </c>
      <c r="B106" s="0" t="s">
        <v>398</v>
      </c>
      <c r="C106" s="0" t="s">
        <v>13</v>
      </c>
      <c r="D106" s="0" t="s">
        <v>135</v>
      </c>
      <c r="E106" s="0" t="s">
        <v>399</v>
      </c>
      <c r="F106" s="0" t="s">
        <v>327</v>
      </c>
      <c r="G106" s="0" t="n">
        <f aca="false">HYPERLINK("http://clipc-services.ceda.ac.uk/dreq/u/590e9656-9e49-11e5-803c-0d0b866b59f3.html","web")</f>
        <v>0</v>
      </c>
      <c r="H106" s="0" t="s">
        <v>400</v>
      </c>
      <c r="I106" s="0" t="s">
        <v>395</v>
      </c>
      <c r="J106" s="0" t="s">
        <v>401</v>
      </c>
      <c r="K106" s="0" t="s">
        <v>402</v>
      </c>
    </row>
    <row r="107" customFormat="false" ht="15" hidden="false" customHeight="false" outlineLevel="0" collapsed="false">
      <c r="A107" s="0" t="s">
        <v>391</v>
      </c>
      <c r="B107" s="0" t="s">
        <v>403</v>
      </c>
      <c r="C107" s="0" t="s">
        <v>13</v>
      </c>
      <c r="D107" s="0" t="s">
        <v>135</v>
      </c>
      <c r="E107" s="0" t="s">
        <v>404</v>
      </c>
      <c r="F107" s="0" t="s">
        <v>327</v>
      </c>
      <c r="G107" s="0" t="n">
        <f aca="false">HYPERLINK("http://clipc-services.ceda.ac.uk/dreq/u/591733d8-9e49-11e5-803c-0d0b866b59f3.html","web")</f>
        <v>0</v>
      </c>
      <c r="H107" s="0" t="s">
        <v>394</v>
      </c>
      <c r="I107" s="0" t="s">
        <v>395</v>
      </c>
      <c r="J107" s="0" t="s">
        <v>405</v>
      </c>
      <c r="K107" s="0" t="s">
        <v>402</v>
      </c>
    </row>
    <row r="108" customFormat="false" ht="15" hidden="false" customHeight="false" outlineLevel="0" collapsed="false">
      <c r="A108" s="0" t="s">
        <v>391</v>
      </c>
      <c r="B108" s="0" t="s">
        <v>406</v>
      </c>
      <c r="C108" s="0" t="s">
        <v>13</v>
      </c>
      <c r="D108" s="0" t="s">
        <v>135</v>
      </c>
      <c r="E108" s="0" t="s">
        <v>407</v>
      </c>
      <c r="F108" s="0" t="s">
        <v>327</v>
      </c>
      <c r="G108" s="0" t="n">
        <f aca="false">HYPERLINK("http://clipc-services.ceda.ac.uk/dreq/u/590dbb78-9e49-11e5-803c-0d0b866b59f3.html","web")</f>
        <v>0</v>
      </c>
      <c r="H108" s="0" t="s">
        <v>394</v>
      </c>
      <c r="I108" s="0" t="s">
        <v>395</v>
      </c>
      <c r="J108" s="0" t="s">
        <v>408</v>
      </c>
      <c r="K108" s="0" t="s">
        <v>397</v>
      </c>
    </row>
    <row r="109" customFormat="false" ht="15" hidden="false" customHeight="false" outlineLevel="0" collapsed="false">
      <c r="A109" s="0" t="s">
        <v>391</v>
      </c>
      <c r="B109" s="0" t="s">
        <v>409</v>
      </c>
      <c r="C109" s="0" t="s">
        <v>13</v>
      </c>
      <c r="D109" s="0" t="s">
        <v>135</v>
      </c>
      <c r="E109" s="0" t="s">
        <v>410</v>
      </c>
      <c r="F109" s="0" t="s">
        <v>327</v>
      </c>
      <c r="G109" s="0" t="n">
        <f aca="false">HYPERLINK("http://clipc-services.ceda.ac.uk/dreq/u/5917e51c-9e49-11e5-803c-0d0b866b59f3.html","web")</f>
        <v>0</v>
      </c>
      <c r="H109" s="0" t="s">
        <v>394</v>
      </c>
      <c r="I109" s="0" t="s">
        <v>395</v>
      </c>
      <c r="J109" s="0" t="s">
        <v>411</v>
      </c>
      <c r="K109" s="0" t="s">
        <v>402</v>
      </c>
    </row>
    <row r="110" customFormat="false" ht="15" hidden="false" customHeight="false" outlineLevel="0" collapsed="false">
      <c r="A110" s="0" t="s">
        <v>391</v>
      </c>
      <c r="B110" s="0" t="s">
        <v>412</v>
      </c>
      <c r="C110" s="0" t="s">
        <v>13</v>
      </c>
      <c r="D110" s="0" t="s">
        <v>413</v>
      </c>
      <c r="E110" s="0" t="s">
        <v>414</v>
      </c>
      <c r="F110" s="0" t="s">
        <v>261</v>
      </c>
      <c r="G110" s="0" t="n">
        <f aca="false">HYPERLINK("http://clipc-services.ceda.ac.uk/dreq/u/7309e7f8-7a68-11e6-8db2-ac72891c3257.html","web")</f>
        <v>0</v>
      </c>
      <c r="H110" s="0" t="s">
        <v>394</v>
      </c>
      <c r="I110" s="0" t="s">
        <v>395</v>
      </c>
      <c r="J110" s="0" t="s">
        <v>415</v>
      </c>
      <c r="K110" s="0" t="s">
        <v>402</v>
      </c>
    </row>
    <row r="111" customFormat="false" ht="15" hidden="false" customHeight="false" outlineLevel="0" collapsed="false">
      <c r="A111" s="0" t="s">
        <v>391</v>
      </c>
      <c r="B111" s="0" t="s">
        <v>416</v>
      </c>
      <c r="C111" s="0" t="s">
        <v>49</v>
      </c>
      <c r="D111" s="0" t="s">
        <v>417</v>
      </c>
      <c r="E111" s="0" t="s">
        <v>418</v>
      </c>
      <c r="F111" s="0" t="s">
        <v>16</v>
      </c>
      <c r="G111" s="0" t="n">
        <f aca="false">HYPERLINK("http://clipc-services.ceda.ac.uk/dreq/u/590eb1ea-9e49-11e5-803c-0d0b866b59f3.html","web")</f>
        <v>0</v>
      </c>
      <c r="H111" s="0" t="s">
        <v>419</v>
      </c>
      <c r="I111" s="0" t="s">
        <v>18</v>
      </c>
      <c r="J111" s="0" t="s">
        <v>420</v>
      </c>
      <c r="K111" s="0" t="s">
        <v>421</v>
      </c>
    </row>
    <row r="112" customFormat="false" ht="15" hidden="false" customHeight="false" outlineLevel="0" collapsed="false">
      <c r="A112" s="0" t="s">
        <v>391</v>
      </c>
      <c r="B112" s="0" t="s">
        <v>422</v>
      </c>
      <c r="C112" s="0" t="s">
        <v>13</v>
      </c>
      <c r="D112" s="0" t="s">
        <v>135</v>
      </c>
      <c r="E112" s="0" t="s">
        <v>423</v>
      </c>
      <c r="F112" s="0" t="s">
        <v>137</v>
      </c>
      <c r="G112" s="0" t="n">
        <f aca="false">HYPERLINK("http://clipc-services.ceda.ac.uk/dreq/u/59138238-9e49-11e5-803c-0d0b866b59f3.html","web")</f>
        <v>0</v>
      </c>
      <c r="H112" s="0" t="s">
        <v>17</v>
      </c>
      <c r="I112" s="0" t="s">
        <v>18</v>
      </c>
      <c r="J112" s="0" t="s">
        <v>424</v>
      </c>
      <c r="K112" s="0" t="s">
        <v>425</v>
      </c>
    </row>
    <row r="113" customFormat="false" ht="15" hidden="false" customHeight="false" outlineLevel="0" collapsed="false">
      <c r="A113" s="0" t="s">
        <v>391</v>
      </c>
      <c r="B113" s="0" t="s">
        <v>426</v>
      </c>
      <c r="C113" s="0" t="s">
        <v>49</v>
      </c>
      <c r="D113" s="0" t="s">
        <v>427</v>
      </c>
      <c r="E113" s="0" t="s">
        <v>428</v>
      </c>
      <c r="F113" s="0" t="s">
        <v>31</v>
      </c>
      <c r="G113" s="0" t="n">
        <f aca="false">HYPERLINK("http://clipc-services.ceda.ac.uk/dreq/u/590dfb2e-9e49-11e5-803c-0d0b866b59f3.html","web")</f>
        <v>0</v>
      </c>
      <c r="H113" s="0" t="s">
        <v>17</v>
      </c>
      <c r="I113" s="0" t="s">
        <v>18</v>
      </c>
      <c r="J113" s="0" t="s">
        <v>429</v>
      </c>
      <c r="K113" s="0" t="s">
        <v>421</v>
      </c>
    </row>
    <row r="114" customFormat="false" ht="15" hidden="false" customHeight="false" outlineLevel="0" collapsed="false">
      <c r="A114" s="0" t="s">
        <v>391</v>
      </c>
      <c r="B114" s="0" t="s">
        <v>430</v>
      </c>
      <c r="C114" s="0" t="s">
        <v>31</v>
      </c>
      <c r="D114" s="0" t="s">
        <v>135</v>
      </c>
      <c r="E114" s="0" t="s">
        <v>431</v>
      </c>
      <c r="F114" s="0" t="s">
        <v>16</v>
      </c>
      <c r="G114" s="0" t="n">
        <f aca="false">HYPERLINK("http://clipc-services.ceda.ac.uk/dreq/u/590d38b0-9e49-11e5-803c-0d0b866b59f3.html","web")</f>
        <v>0</v>
      </c>
      <c r="H114" s="0" t="s">
        <v>432</v>
      </c>
      <c r="I114" s="0" t="s">
        <v>433</v>
      </c>
      <c r="J114" s="0" t="s">
        <v>434</v>
      </c>
      <c r="K114" s="0" t="s">
        <v>435</v>
      </c>
    </row>
    <row r="115" customFormat="false" ht="15" hidden="false" customHeight="false" outlineLevel="0" collapsed="false"/>
    <row r="116" customFormat="false" ht="15" hidden="false" customHeight="false" outlineLevel="0" collapsed="false">
      <c r="A116" s="0" t="s">
        <v>436</v>
      </c>
      <c r="B116" s="0" t="s">
        <v>437</v>
      </c>
      <c r="C116" s="0" t="s">
        <v>13</v>
      </c>
      <c r="D116" s="0" t="s">
        <v>438</v>
      </c>
      <c r="E116" s="0" t="s">
        <v>439</v>
      </c>
      <c r="F116" s="0" t="s">
        <v>16</v>
      </c>
      <c r="G116" s="0" t="n">
        <f aca="false">HYPERLINK("http://clipc-services.ceda.ac.uk/dreq/u/1aefc13bd27020244fe1cfd706ce1041.html","web")</f>
        <v>0</v>
      </c>
      <c r="H116" s="0" t="s">
        <v>253</v>
      </c>
      <c r="I116" s="0" t="s">
        <v>226</v>
      </c>
      <c r="J116" s="0" t="s">
        <v>440</v>
      </c>
      <c r="K116" s="0" t="s">
        <v>441</v>
      </c>
    </row>
    <row r="117" customFormat="false" ht="15" hidden="false" customHeight="false" outlineLevel="0" collapsed="false">
      <c r="A117" s="0" t="s">
        <v>436</v>
      </c>
      <c r="B117" s="0" t="s">
        <v>228</v>
      </c>
      <c r="C117" s="0" t="s">
        <v>31</v>
      </c>
      <c r="D117" s="0" t="s">
        <v>229</v>
      </c>
      <c r="E117" s="0" t="s">
        <v>230</v>
      </c>
      <c r="F117" s="0" t="s">
        <v>16</v>
      </c>
      <c r="G117" s="0" t="n">
        <f aca="false">HYPERLINK("http://clipc-services.ceda.ac.uk/dreq/u/400e5707b65c01e31f2ec6a59dd3983b.html","web")</f>
        <v>0</v>
      </c>
      <c r="H117" s="0" t="s">
        <v>231</v>
      </c>
      <c r="I117" s="0" t="s">
        <v>232</v>
      </c>
      <c r="J117" s="0" t="s">
        <v>233</v>
      </c>
      <c r="K117" s="0" t="s">
        <v>442</v>
      </c>
    </row>
    <row r="118" customFormat="false" ht="15" hidden="false" customHeight="false" outlineLevel="0" collapsed="false">
      <c r="A118" s="0" t="s">
        <v>436</v>
      </c>
      <c r="B118" s="0" t="s">
        <v>234</v>
      </c>
      <c r="C118" s="0" t="s">
        <v>31</v>
      </c>
      <c r="D118" s="0" t="s">
        <v>235</v>
      </c>
      <c r="E118" s="0" t="s">
        <v>236</v>
      </c>
      <c r="F118" s="0" t="s">
        <v>16</v>
      </c>
      <c r="G118" s="0" t="n">
        <f aca="false">HYPERLINK("http://clipc-services.ceda.ac.uk/dreq/u/fa7666d61b92de5bad1ad76561b8b850.html","web")</f>
        <v>0</v>
      </c>
      <c r="H118" s="0" t="s">
        <v>231</v>
      </c>
      <c r="I118" s="0" t="s">
        <v>232</v>
      </c>
      <c r="J118" s="0" t="s">
        <v>237</v>
      </c>
      <c r="K118" s="0" t="s">
        <v>443</v>
      </c>
    </row>
    <row r="119" customFormat="false" ht="15" hidden="false" customHeight="false" outlineLevel="0" collapsed="false">
      <c r="A119" s="0" t="s">
        <v>436</v>
      </c>
      <c r="B119" s="0" t="s">
        <v>444</v>
      </c>
      <c r="C119" s="0" t="s">
        <v>13</v>
      </c>
      <c r="D119" s="0" t="s">
        <v>438</v>
      </c>
      <c r="E119" s="0" t="s">
        <v>445</v>
      </c>
      <c r="F119" s="0" t="s">
        <v>16</v>
      </c>
      <c r="G119" s="0" t="n">
        <f aca="false">HYPERLINK("http://clipc-services.ceda.ac.uk/dreq/u/2cd1940e7201d5adb02ba157a74fc33e.html","web")</f>
        <v>0</v>
      </c>
      <c r="H119" s="0" t="s">
        <v>446</v>
      </c>
      <c r="I119" s="0" t="s">
        <v>309</v>
      </c>
      <c r="J119" s="0" t="s">
        <v>447</v>
      </c>
      <c r="K119" s="0" t="s">
        <v>448</v>
      </c>
    </row>
    <row r="120" customFormat="false" ht="15" hidden="false" customHeight="false" outlineLevel="0" collapsed="false">
      <c r="A120" s="0" t="s">
        <v>436</v>
      </c>
      <c r="B120" s="0" t="s">
        <v>311</v>
      </c>
      <c r="C120" s="0" t="s">
        <v>31</v>
      </c>
      <c r="D120" s="0" t="s">
        <v>438</v>
      </c>
      <c r="E120" s="0" t="s">
        <v>313</v>
      </c>
      <c r="F120" s="0" t="s">
        <v>314</v>
      </c>
      <c r="G120" s="0" t="n">
        <f aca="false">HYPERLINK("http://clipc-services.ceda.ac.uk/dreq/u/c373986159daf18eee63ca731d52b6f7.html","web")</f>
        <v>0</v>
      </c>
      <c r="H120" s="0" t="s">
        <v>253</v>
      </c>
      <c r="I120" s="0" t="s">
        <v>36</v>
      </c>
      <c r="J120" s="0" t="s">
        <v>315</v>
      </c>
      <c r="K120" s="0" t="s">
        <v>449</v>
      </c>
    </row>
    <row r="121" customFormat="false" ht="15" hidden="false" customHeight="false" outlineLevel="0" collapsed="false">
      <c r="A121" s="0" t="s">
        <v>436</v>
      </c>
      <c r="B121" s="0" t="s">
        <v>316</v>
      </c>
      <c r="C121" s="0" t="s">
        <v>31</v>
      </c>
      <c r="D121" s="0" t="s">
        <v>438</v>
      </c>
      <c r="E121" s="0" t="s">
        <v>317</v>
      </c>
      <c r="F121" s="0" t="s">
        <v>314</v>
      </c>
      <c r="G121" s="0" t="n">
        <f aca="false">HYPERLINK("http://clipc-services.ceda.ac.uk/dreq/u/52c137a21845ae294b27ad40eaca096d.html","web")</f>
        <v>0</v>
      </c>
      <c r="H121" s="0" t="s">
        <v>253</v>
      </c>
      <c r="I121" s="0" t="s">
        <v>36</v>
      </c>
      <c r="J121" s="0" t="s">
        <v>318</v>
      </c>
      <c r="K121" s="0" t="s">
        <v>449</v>
      </c>
    </row>
    <row r="122" customFormat="false" ht="15" hidden="false" customHeight="false" outlineLevel="0" collapsed="false">
      <c r="A122" s="0" t="s">
        <v>436</v>
      </c>
      <c r="B122" s="0" t="s">
        <v>450</v>
      </c>
      <c r="C122" s="0" t="s">
        <v>13</v>
      </c>
      <c r="D122" s="0" t="s">
        <v>239</v>
      </c>
      <c r="E122" s="0" t="s">
        <v>451</v>
      </c>
      <c r="F122" s="0" t="s">
        <v>137</v>
      </c>
      <c r="G122" s="0" t="n">
        <f aca="false">HYPERLINK("http://clipc-services.ceda.ac.uk/dreq/u/62aa098b13f86fa22de1a874536a64ae.html","web")</f>
        <v>0</v>
      </c>
      <c r="H122" s="0" t="s">
        <v>452</v>
      </c>
      <c r="I122" s="0" t="s">
        <v>309</v>
      </c>
      <c r="J122" s="0" t="s">
        <v>453</v>
      </c>
      <c r="K122" s="0" t="s">
        <v>449</v>
      </c>
    </row>
    <row r="123" customFormat="false" ht="15" hidden="false" customHeight="false" outlineLevel="0" collapsed="false">
      <c r="A123" s="0" t="s">
        <v>436</v>
      </c>
      <c r="B123" s="0" t="s">
        <v>325</v>
      </c>
      <c r="C123" s="0" t="s">
        <v>31</v>
      </c>
      <c r="D123" s="0" t="s">
        <v>239</v>
      </c>
      <c r="E123" s="0" t="s">
        <v>326</v>
      </c>
      <c r="F123" s="0" t="s">
        <v>327</v>
      </c>
      <c r="G123" s="0" t="n">
        <f aca="false">HYPERLINK("http://clipc-services.ceda.ac.uk/dreq/u/c432bfbfc0e7f4403f91af39736ff61c.html","web")</f>
        <v>0</v>
      </c>
      <c r="H123" s="0" t="s">
        <v>328</v>
      </c>
      <c r="I123" s="0" t="s">
        <v>36</v>
      </c>
      <c r="J123" s="0" t="s">
        <v>329</v>
      </c>
      <c r="K123" s="0" t="s">
        <v>454</v>
      </c>
    </row>
    <row r="124" customFormat="false" ht="15" hidden="false" customHeight="false" outlineLevel="0" collapsed="false">
      <c r="A124" s="0" t="s">
        <v>436</v>
      </c>
      <c r="B124" s="0" t="s">
        <v>455</v>
      </c>
      <c r="C124" s="0" t="s">
        <v>31</v>
      </c>
      <c r="D124" s="0" t="s">
        <v>239</v>
      </c>
      <c r="E124" s="0" t="s">
        <v>456</v>
      </c>
      <c r="F124" s="0" t="s">
        <v>327</v>
      </c>
      <c r="G124" s="0" t="n">
        <f aca="false">HYPERLINK("http://clipc-services.ceda.ac.uk/dreq/u/e0279cf7335a5b9292a1a3c8f70a32a2.html","web")</f>
        <v>0</v>
      </c>
      <c r="H124" s="0" t="s">
        <v>457</v>
      </c>
      <c r="I124" s="0" t="s">
        <v>36</v>
      </c>
      <c r="J124" s="0" t="s">
        <v>458</v>
      </c>
      <c r="K124" s="0" t="s">
        <v>459</v>
      </c>
    </row>
    <row r="125" customFormat="false" ht="15" hidden="false" customHeight="false" outlineLevel="0" collapsed="false">
      <c r="A125" s="0" t="s">
        <v>436</v>
      </c>
      <c r="B125" s="0" t="s">
        <v>330</v>
      </c>
      <c r="C125" s="0" t="s">
        <v>31</v>
      </c>
      <c r="D125" s="0" t="s">
        <v>239</v>
      </c>
      <c r="E125" s="0" t="s">
        <v>331</v>
      </c>
      <c r="F125" s="0" t="s">
        <v>327</v>
      </c>
      <c r="G125" s="0" t="n">
        <f aca="false">HYPERLINK("http://clipc-services.ceda.ac.uk/dreq/u/e79eb59d74038643b2201bb0556e720a.html","web")</f>
        <v>0</v>
      </c>
      <c r="H125" s="0" t="s">
        <v>328</v>
      </c>
      <c r="I125" s="0" t="s">
        <v>36</v>
      </c>
      <c r="J125" s="0" t="s">
        <v>332</v>
      </c>
      <c r="K125" s="0" t="s">
        <v>454</v>
      </c>
    </row>
    <row r="126" customFormat="false" ht="15" hidden="false" customHeight="false" outlineLevel="0" collapsed="false">
      <c r="A126" s="0" t="s">
        <v>436</v>
      </c>
      <c r="B126" s="0" t="s">
        <v>460</v>
      </c>
      <c r="C126" s="0" t="s">
        <v>31</v>
      </c>
      <c r="D126" s="0" t="s">
        <v>239</v>
      </c>
      <c r="E126" s="0" t="s">
        <v>461</v>
      </c>
      <c r="F126" s="0" t="s">
        <v>327</v>
      </c>
      <c r="G126" s="0" t="n">
        <f aca="false">HYPERLINK("http://clipc-services.ceda.ac.uk/dreq/u/bc0982cd4cc45a7ad96524f549a468c4.html","web")</f>
        <v>0</v>
      </c>
      <c r="H126" s="0" t="s">
        <v>457</v>
      </c>
      <c r="I126" s="0" t="s">
        <v>36</v>
      </c>
      <c r="J126" s="0" t="s">
        <v>462</v>
      </c>
      <c r="K126" s="0" t="s">
        <v>459</v>
      </c>
    </row>
    <row r="127" customFormat="false" ht="15" hidden="false" customHeight="false" outlineLevel="0" collapsed="false">
      <c r="A127" s="0" t="s">
        <v>436</v>
      </c>
      <c r="B127" s="0" t="s">
        <v>333</v>
      </c>
      <c r="C127" s="0" t="s">
        <v>31</v>
      </c>
      <c r="D127" s="0" t="s">
        <v>239</v>
      </c>
      <c r="E127" s="0" t="s">
        <v>334</v>
      </c>
      <c r="F127" s="0" t="s">
        <v>327</v>
      </c>
      <c r="G127" s="0" t="n">
        <f aca="false">HYPERLINK("http://clipc-services.ceda.ac.uk/dreq/u/bcfeacf77d49ef51a6ee66a1ab0ebcb4.html","web")</f>
        <v>0</v>
      </c>
      <c r="H127" s="0" t="s">
        <v>328</v>
      </c>
      <c r="I127" s="0" t="s">
        <v>36</v>
      </c>
      <c r="J127" s="0" t="s">
        <v>335</v>
      </c>
      <c r="K127" s="0" t="s">
        <v>454</v>
      </c>
    </row>
    <row r="128" customFormat="false" ht="15" hidden="false" customHeight="false" outlineLevel="0" collapsed="false">
      <c r="A128" s="0" t="s">
        <v>436</v>
      </c>
      <c r="B128" s="0" t="s">
        <v>463</v>
      </c>
      <c r="C128" s="0" t="s">
        <v>31</v>
      </c>
      <c r="D128" s="0" t="s">
        <v>239</v>
      </c>
      <c r="E128" s="0" t="s">
        <v>464</v>
      </c>
      <c r="F128" s="0" t="s">
        <v>327</v>
      </c>
      <c r="G128" s="0" t="n">
        <f aca="false">HYPERLINK("http://clipc-services.ceda.ac.uk/dreq/u/01918a16b5ac9dbbe932d83357c06a21.html","web")</f>
        <v>0</v>
      </c>
      <c r="H128" s="0" t="s">
        <v>457</v>
      </c>
      <c r="I128" s="0" t="s">
        <v>36</v>
      </c>
      <c r="J128" s="0" t="s">
        <v>465</v>
      </c>
      <c r="K128" s="0" t="s">
        <v>459</v>
      </c>
    </row>
    <row r="129" customFormat="false" ht="15" hidden="false" customHeight="false" outlineLevel="0" collapsed="false">
      <c r="A129" s="0" t="s">
        <v>436</v>
      </c>
      <c r="B129" s="0" t="s">
        <v>336</v>
      </c>
      <c r="C129" s="0" t="s">
        <v>31</v>
      </c>
      <c r="D129" s="0" t="s">
        <v>239</v>
      </c>
      <c r="E129" s="0" t="s">
        <v>337</v>
      </c>
      <c r="F129" s="0" t="s">
        <v>327</v>
      </c>
      <c r="G129" s="0" t="n">
        <f aca="false">HYPERLINK("http://clipc-services.ceda.ac.uk/dreq/u/a8607fe15cb4f2997228523340233d91.html","web")</f>
        <v>0</v>
      </c>
      <c r="H129" s="0" t="s">
        <v>328</v>
      </c>
      <c r="I129" s="0" t="s">
        <v>36</v>
      </c>
      <c r="J129" s="0" t="s">
        <v>338</v>
      </c>
      <c r="K129" s="0" t="s">
        <v>454</v>
      </c>
    </row>
    <row r="130" customFormat="false" ht="15" hidden="false" customHeight="false" outlineLevel="0" collapsed="false">
      <c r="A130" s="0" t="s">
        <v>436</v>
      </c>
      <c r="B130" s="0" t="s">
        <v>466</v>
      </c>
      <c r="C130" s="0" t="s">
        <v>31</v>
      </c>
      <c r="D130" s="0" t="s">
        <v>239</v>
      </c>
      <c r="E130" s="0" t="s">
        <v>467</v>
      </c>
      <c r="F130" s="0" t="s">
        <v>327</v>
      </c>
      <c r="G130" s="0" t="n">
        <f aca="false">HYPERLINK("http://clipc-services.ceda.ac.uk/dreq/u/5951b6df2bd5a02e11213ea42620fa89.html","web")</f>
        <v>0</v>
      </c>
      <c r="H130" s="0" t="s">
        <v>457</v>
      </c>
      <c r="I130" s="0" t="s">
        <v>36</v>
      </c>
      <c r="J130" s="0" t="s">
        <v>468</v>
      </c>
      <c r="K130" s="0" t="s">
        <v>459</v>
      </c>
    </row>
    <row r="131" customFormat="false" ht="15" hidden="false" customHeight="false" outlineLevel="0" collapsed="false">
      <c r="A131" s="0" t="s">
        <v>436</v>
      </c>
      <c r="B131" s="0" t="s">
        <v>469</v>
      </c>
      <c r="C131" s="0" t="s">
        <v>31</v>
      </c>
      <c r="D131" s="0" t="s">
        <v>135</v>
      </c>
      <c r="E131" s="0" t="s">
        <v>470</v>
      </c>
      <c r="F131" s="0" t="s">
        <v>327</v>
      </c>
      <c r="G131" s="0" t="n">
        <f aca="false">HYPERLINK("http://clipc-services.ceda.ac.uk/dreq/u/0888eef64215cf18affe93ca142c95ad.html","web")</f>
        <v>0</v>
      </c>
      <c r="H131" s="0" t="s">
        <v>457</v>
      </c>
      <c r="I131" s="0" t="s">
        <v>36</v>
      </c>
      <c r="J131" s="0" t="s">
        <v>471</v>
      </c>
      <c r="K131" s="0" t="s">
        <v>472</v>
      </c>
    </row>
    <row r="132" customFormat="false" ht="15" hidden="false" customHeight="false" outlineLevel="0" collapsed="false">
      <c r="A132" s="0" t="s">
        <v>436</v>
      </c>
      <c r="B132" s="0" t="s">
        <v>473</v>
      </c>
      <c r="C132" s="0" t="s">
        <v>31</v>
      </c>
      <c r="D132" s="0" t="s">
        <v>135</v>
      </c>
      <c r="E132" s="0" t="s">
        <v>474</v>
      </c>
      <c r="F132" s="0" t="s">
        <v>327</v>
      </c>
      <c r="G132" s="0" t="n">
        <f aca="false">HYPERLINK("http://clipc-services.ceda.ac.uk/dreq/u/71a3667c9d9a8b9af56e22757461b7d0.html","web")</f>
        <v>0</v>
      </c>
      <c r="H132" s="0" t="s">
        <v>457</v>
      </c>
      <c r="I132" s="0" t="s">
        <v>36</v>
      </c>
      <c r="J132" s="0" t="s">
        <v>475</v>
      </c>
      <c r="K132" s="0" t="s">
        <v>472</v>
      </c>
    </row>
    <row r="133" customFormat="false" ht="15" hidden="false" customHeight="false" outlineLevel="0" collapsed="false">
      <c r="A133" s="0" t="s">
        <v>436</v>
      </c>
      <c r="B133" s="0" t="s">
        <v>339</v>
      </c>
      <c r="C133" s="0" t="s">
        <v>31</v>
      </c>
      <c r="D133" s="0" t="s">
        <v>239</v>
      </c>
      <c r="E133" s="0" t="s">
        <v>340</v>
      </c>
      <c r="F133" s="0" t="s">
        <v>327</v>
      </c>
      <c r="G133" s="0" t="n">
        <f aca="false">HYPERLINK("http://clipc-services.ceda.ac.uk/dreq/u/eb9ac643cd9c73cae960d6d2db7b901d.html","web")</f>
        <v>0</v>
      </c>
      <c r="H133" s="0" t="s">
        <v>328</v>
      </c>
      <c r="I133" s="0" t="s">
        <v>36</v>
      </c>
      <c r="J133" s="0" t="s">
        <v>341</v>
      </c>
      <c r="K133" s="0" t="s">
        <v>454</v>
      </c>
    </row>
    <row r="134" customFormat="false" ht="15" hidden="false" customHeight="false" outlineLevel="0" collapsed="false">
      <c r="A134" s="0" t="s">
        <v>436</v>
      </c>
      <c r="B134" s="0" t="s">
        <v>476</v>
      </c>
      <c r="C134" s="0" t="s">
        <v>31</v>
      </c>
      <c r="D134" s="0" t="s">
        <v>239</v>
      </c>
      <c r="E134" s="0" t="s">
        <v>477</v>
      </c>
      <c r="F134" s="0" t="s">
        <v>327</v>
      </c>
      <c r="G134" s="0" t="n">
        <f aca="false">HYPERLINK("http://clipc-services.ceda.ac.uk/dreq/u/6248574ebce5bf9fde3841735c9108bc.html","web")</f>
        <v>0</v>
      </c>
      <c r="H134" s="0" t="s">
        <v>457</v>
      </c>
      <c r="I134" s="0" t="s">
        <v>36</v>
      </c>
      <c r="J134" s="0" t="s">
        <v>478</v>
      </c>
      <c r="K134" s="0" t="s">
        <v>459</v>
      </c>
    </row>
    <row r="135" customFormat="false" ht="15" hidden="false" customHeight="false" outlineLevel="0" collapsed="false">
      <c r="A135" s="0" t="s">
        <v>436</v>
      </c>
      <c r="B135" s="0" t="s">
        <v>342</v>
      </c>
      <c r="C135" s="0" t="s">
        <v>31</v>
      </c>
      <c r="D135" s="0" t="s">
        <v>239</v>
      </c>
      <c r="E135" s="0" t="s">
        <v>343</v>
      </c>
      <c r="F135" s="0" t="s">
        <v>327</v>
      </c>
      <c r="G135" s="0" t="n">
        <f aca="false">HYPERLINK("http://clipc-services.ceda.ac.uk/dreq/u/38806cec3ba894d7745fada80c9f6fe6.html","web")</f>
        <v>0</v>
      </c>
      <c r="H135" s="0" t="s">
        <v>344</v>
      </c>
      <c r="I135" s="0" t="s">
        <v>36</v>
      </c>
      <c r="J135" s="0" t="s">
        <v>345</v>
      </c>
      <c r="K135" s="0" t="s">
        <v>454</v>
      </c>
    </row>
    <row r="136" customFormat="false" ht="15" hidden="false" customHeight="false" outlineLevel="0" collapsed="false">
      <c r="A136" s="0" t="s">
        <v>436</v>
      </c>
      <c r="B136" s="0" t="s">
        <v>479</v>
      </c>
      <c r="C136" s="0" t="s">
        <v>31</v>
      </c>
      <c r="D136" s="0" t="s">
        <v>239</v>
      </c>
      <c r="E136" s="0" t="s">
        <v>480</v>
      </c>
      <c r="F136" s="0" t="s">
        <v>327</v>
      </c>
      <c r="G136" s="0" t="n">
        <f aca="false">HYPERLINK("http://clipc-services.ceda.ac.uk/dreq/u/b8acc50c52fa48b40a4512d06d2d6435.html","web")</f>
        <v>0</v>
      </c>
      <c r="H136" s="0" t="s">
        <v>457</v>
      </c>
      <c r="I136" s="0" t="s">
        <v>36</v>
      </c>
      <c r="J136" s="0" t="s">
        <v>481</v>
      </c>
      <c r="K136" s="0" t="s">
        <v>459</v>
      </c>
    </row>
    <row r="137" customFormat="false" ht="15" hidden="false" customHeight="false" outlineLevel="0" collapsed="false">
      <c r="A137" s="0" t="s">
        <v>436</v>
      </c>
      <c r="B137" s="0" t="s">
        <v>346</v>
      </c>
      <c r="C137" s="0" t="s">
        <v>31</v>
      </c>
      <c r="D137" s="0" t="s">
        <v>239</v>
      </c>
      <c r="E137" s="0" t="s">
        <v>347</v>
      </c>
      <c r="F137" s="0" t="s">
        <v>327</v>
      </c>
      <c r="G137" s="0" t="n">
        <f aca="false">HYPERLINK("http://clipc-services.ceda.ac.uk/dreq/u/c323f38340e4846931ad4891232d839d.html","web")</f>
        <v>0</v>
      </c>
      <c r="H137" s="0" t="s">
        <v>328</v>
      </c>
      <c r="I137" s="0" t="s">
        <v>36</v>
      </c>
      <c r="J137" s="0" t="s">
        <v>348</v>
      </c>
      <c r="K137" s="0" t="s">
        <v>454</v>
      </c>
    </row>
    <row r="138" customFormat="false" ht="15" hidden="false" customHeight="false" outlineLevel="0" collapsed="false">
      <c r="A138" s="0" t="s">
        <v>436</v>
      </c>
      <c r="B138" s="0" t="s">
        <v>482</v>
      </c>
      <c r="C138" s="0" t="s">
        <v>31</v>
      </c>
      <c r="D138" s="0" t="s">
        <v>239</v>
      </c>
      <c r="E138" s="0" t="s">
        <v>483</v>
      </c>
      <c r="F138" s="0" t="s">
        <v>327</v>
      </c>
      <c r="G138" s="0" t="n">
        <f aca="false">HYPERLINK("http://clipc-services.ceda.ac.uk/dreq/u/8e5acd3e73d41006a677b5e77fe383f7.html","web")</f>
        <v>0</v>
      </c>
      <c r="H138" s="0" t="s">
        <v>457</v>
      </c>
      <c r="I138" s="0" t="s">
        <v>36</v>
      </c>
      <c r="J138" s="0" t="s">
        <v>484</v>
      </c>
      <c r="K138" s="0" t="s">
        <v>459</v>
      </c>
    </row>
    <row r="139" customFormat="false" ht="15" hidden="false" customHeight="false" outlineLevel="0" collapsed="false">
      <c r="A139" s="0" t="s">
        <v>436</v>
      </c>
      <c r="B139" s="0" t="s">
        <v>349</v>
      </c>
      <c r="C139" s="0" t="s">
        <v>31</v>
      </c>
      <c r="D139" s="0" t="s">
        <v>239</v>
      </c>
      <c r="E139" s="0" t="s">
        <v>350</v>
      </c>
      <c r="F139" s="0" t="s">
        <v>327</v>
      </c>
      <c r="G139" s="0" t="n">
        <f aca="false">HYPERLINK("http://clipc-services.ceda.ac.uk/dreq/u/eb72b66b6365daed79aefeda9d3d30b5.html","web")</f>
        <v>0</v>
      </c>
      <c r="H139" s="0" t="s">
        <v>344</v>
      </c>
      <c r="I139" s="0" t="s">
        <v>36</v>
      </c>
      <c r="J139" s="0" t="s">
        <v>351</v>
      </c>
      <c r="K139" s="0" t="s">
        <v>454</v>
      </c>
    </row>
    <row r="140" customFormat="false" ht="15" hidden="false" customHeight="false" outlineLevel="0" collapsed="false">
      <c r="A140" s="0" t="s">
        <v>436</v>
      </c>
      <c r="B140" s="0" t="s">
        <v>485</v>
      </c>
      <c r="C140" s="0" t="s">
        <v>31</v>
      </c>
      <c r="D140" s="0" t="s">
        <v>239</v>
      </c>
      <c r="E140" s="0" t="s">
        <v>486</v>
      </c>
      <c r="F140" s="0" t="s">
        <v>327</v>
      </c>
      <c r="G140" s="0" t="n">
        <f aca="false">HYPERLINK("http://clipc-services.ceda.ac.uk/dreq/u/bef5e52ab3ef55640ab0133c34c9dec2.html","web")</f>
        <v>0</v>
      </c>
      <c r="H140" s="0" t="s">
        <v>457</v>
      </c>
      <c r="I140" s="0" t="s">
        <v>36</v>
      </c>
      <c r="J140" s="0" t="s">
        <v>487</v>
      </c>
      <c r="K140" s="0" t="s">
        <v>459</v>
      </c>
    </row>
    <row r="141" customFormat="false" ht="15" hidden="false" customHeight="false" outlineLevel="0" collapsed="false">
      <c r="A141" s="0" t="s">
        <v>436</v>
      </c>
      <c r="B141" s="0" t="s">
        <v>488</v>
      </c>
      <c r="C141" s="0" t="s">
        <v>31</v>
      </c>
      <c r="D141" s="0" t="s">
        <v>135</v>
      </c>
      <c r="E141" s="0" t="s">
        <v>489</v>
      </c>
      <c r="F141" s="0" t="s">
        <v>327</v>
      </c>
      <c r="G141" s="0" t="n">
        <f aca="false">HYPERLINK("http://clipc-services.ceda.ac.uk/dreq/u/58bbe37eb1035d22ab051fcfa10c67d9.html","web")</f>
        <v>0</v>
      </c>
      <c r="H141" s="0" t="s">
        <v>457</v>
      </c>
      <c r="I141" s="0" t="s">
        <v>36</v>
      </c>
      <c r="J141" s="0" t="s">
        <v>490</v>
      </c>
      <c r="K141" s="0" t="s">
        <v>472</v>
      </c>
    </row>
    <row r="142" customFormat="false" ht="15" hidden="false" customHeight="false" outlineLevel="0" collapsed="false">
      <c r="A142" s="0" t="s">
        <v>436</v>
      </c>
      <c r="B142" s="0" t="s">
        <v>491</v>
      </c>
      <c r="C142" s="0" t="s">
        <v>31</v>
      </c>
      <c r="D142" s="0" t="s">
        <v>135</v>
      </c>
      <c r="E142" s="0" t="s">
        <v>492</v>
      </c>
      <c r="F142" s="0" t="s">
        <v>327</v>
      </c>
      <c r="G142" s="0" t="n">
        <f aca="false">HYPERLINK("http://clipc-services.ceda.ac.uk/dreq/u/827d0f8093c7858a784e5fda140a6e12.html","web")</f>
        <v>0</v>
      </c>
      <c r="H142" s="0" t="s">
        <v>457</v>
      </c>
      <c r="I142" s="0" t="s">
        <v>36</v>
      </c>
      <c r="J142" s="0" t="s">
        <v>493</v>
      </c>
      <c r="K142" s="0" t="s">
        <v>472</v>
      </c>
    </row>
    <row r="143" customFormat="false" ht="15" hidden="false" customHeight="false" outlineLevel="0" collapsed="false">
      <c r="A143" s="0" t="s">
        <v>436</v>
      </c>
      <c r="B143" s="0" t="s">
        <v>355</v>
      </c>
      <c r="C143" s="0" t="s">
        <v>31</v>
      </c>
      <c r="D143" s="0" t="s">
        <v>438</v>
      </c>
      <c r="E143" s="0" t="s">
        <v>356</v>
      </c>
      <c r="F143" s="0" t="s">
        <v>357</v>
      </c>
      <c r="G143" s="0" t="n">
        <f aca="false">HYPERLINK("http://clipc-services.ceda.ac.uk/dreq/u/150d0829eec06aeaf75d22d08d328ffa.html","web")</f>
        <v>0</v>
      </c>
      <c r="H143" s="0" t="s">
        <v>358</v>
      </c>
      <c r="I143" s="0" t="s">
        <v>359</v>
      </c>
      <c r="J143" s="0" t="s">
        <v>360</v>
      </c>
      <c r="K143" s="0" t="s">
        <v>441</v>
      </c>
    </row>
    <row r="144" customFormat="false" ht="15" hidden="false" customHeight="false" outlineLevel="0" collapsed="false">
      <c r="A144" s="0" t="s">
        <v>436</v>
      </c>
      <c r="B144" s="0" t="s">
        <v>361</v>
      </c>
      <c r="C144" s="0" t="s">
        <v>31</v>
      </c>
      <c r="D144" s="0" t="s">
        <v>438</v>
      </c>
      <c r="E144" s="0" t="s">
        <v>362</v>
      </c>
      <c r="F144" s="0" t="s">
        <v>357</v>
      </c>
      <c r="G144" s="0" t="n">
        <f aca="false">HYPERLINK("http://clipc-services.ceda.ac.uk/dreq/u/2c8cb564bae033f641135194947da163.html","web")</f>
        <v>0</v>
      </c>
      <c r="H144" s="0" t="s">
        <v>253</v>
      </c>
      <c r="I144" s="0" t="s">
        <v>359</v>
      </c>
      <c r="J144" s="0" t="s">
        <v>363</v>
      </c>
      <c r="K144" s="0" t="s">
        <v>441</v>
      </c>
    </row>
    <row r="145" customFormat="false" ht="15" hidden="false" customHeight="false" outlineLevel="0" collapsed="false">
      <c r="A145" s="0" t="s">
        <v>436</v>
      </c>
      <c r="B145" s="0" t="s">
        <v>364</v>
      </c>
      <c r="C145" s="0" t="s">
        <v>31</v>
      </c>
      <c r="D145" s="0" t="s">
        <v>438</v>
      </c>
      <c r="E145" s="0" t="s">
        <v>365</v>
      </c>
      <c r="F145" s="0" t="s">
        <v>357</v>
      </c>
      <c r="G145" s="0" t="n">
        <f aca="false">HYPERLINK("http://clipc-services.ceda.ac.uk/dreq/u/9e9e7476986ece18ce380652eaabe342.html","web")</f>
        <v>0</v>
      </c>
      <c r="H145" s="0" t="s">
        <v>366</v>
      </c>
      <c r="I145" s="0" t="s">
        <v>359</v>
      </c>
      <c r="J145" s="0" t="s">
        <v>367</v>
      </c>
      <c r="K145" s="0" t="s">
        <v>441</v>
      </c>
    </row>
    <row r="146" customFormat="false" ht="15" hidden="false" customHeight="false" outlineLevel="0" collapsed="false">
      <c r="A146" s="0" t="s">
        <v>436</v>
      </c>
      <c r="B146" s="0" t="s">
        <v>368</v>
      </c>
      <c r="C146" s="0" t="s">
        <v>31</v>
      </c>
      <c r="D146" s="0" t="s">
        <v>438</v>
      </c>
      <c r="E146" s="0" t="s">
        <v>369</v>
      </c>
      <c r="F146" s="0" t="s">
        <v>370</v>
      </c>
      <c r="G146" s="0" t="n">
        <f aca="false">HYPERLINK("http://clipc-services.ceda.ac.uk/dreq/u/c8b1814845661bcad37910e70a59b285.html","web")</f>
        <v>0</v>
      </c>
      <c r="H146" s="0" t="s">
        <v>371</v>
      </c>
      <c r="I146" s="0" t="s">
        <v>359</v>
      </c>
      <c r="J146" s="0" t="s">
        <v>369</v>
      </c>
      <c r="K146" s="0" t="s">
        <v>441</v>
      </c>
    </row>
    <row r="147" customFormat="false" ht="15" hidden="false" customHeight="false" outlineLevel="0" collapsed="false">
      <c r="A147" s="0" t="s">
        <v>436</v>
      </c>
      <c r="B147" s="0" t="s">
        <v>372</v>
      </c>
      <c r="C147" s="0" t="s">
        <v>31</v>
      </c>
      <c r="D147" s="0" t="s">
        <v>438</v>
      </c>
      <c r="E147" s="0" t="s">
        <v>373</v>
      </c>
      <c r="F147" s="0" t="s">
        <v>370</v>
      </c>
      <c r="G147" s="0" t="n">
        <f aca="false">HYPERLINK("http://clipc-services.ceda.ac.uk/dreq/u/ea55d8afe6bacbfa1029c0048717eaaa.html","web")</f>
        <v>0</v>
      </c>
      <c r="H147" s="0" t="s">
        <v>374</v>
      </c>
      <c r="I147" s="0" t="s">
        <v>359</v>
      </c>
      <c r="J147" s="0" t="s">
        <v>375</v>
      </c>
      <c r="K147" s="0" t="s">
        <v>441</v>
      </c>
    </row>
    <row r="148" customFormat="false" ht="15" hidden="false" customHeight="false" outlineLevel="0" collapsed="false">
      <c r="A148" s="0" t="s">
        <v>436</v>
      </c>
      <c r="B148" s="0" t="s">
        <v>376</v>
      </c>
      <c r="C148" s="0" t="s">
        <v>31</v>
      </c>
      <c r="D148" s="0" t="s">
        <v>438</v>
      </c>
      <c r="E148" s="0" t="s">
        <v>377</v>
      </c>
      <c r="F148" s="0" t="s">
        <v>370</v>
      </c>
      <c r="G148" s="0" t="n">
        <f aca="false">HYPERLINK("http://clipc-services.ceda.ac.uk/dreq/u/621681bc7c376de66228fdde13b97516.html","web")</f>
        <v>0</v>
      </c>
      <c r="H148" s="0" t="s">
        <v>378</v>
      </c>
      <c r="I148" s="0" t="s">
        <v>36</v>
      </c>
      <c r="J148" s="0" t="s">
        <v>379</v>
      </c>
      <c r="K148" s="0" t="s">
        <v>441</v>
      </c>
    </row>
    <row r="149" customFormat="false" ht="15" hidden="false" customHeight="false" outlineLevel="0" collapsed="false">
      <c r="A149" s="0" t="s">
        <v>436</v>
      </c>
      <c r="B149" s="0" t="s">
        <v>380</v>
      </c>
      <c r="C149" s="0" t="s">
        <v>31</v>
      </c>
      <c r="D149" s="0" t="s">
        <v>438</v>
      </c>
      <c r="E149" s="0" t="s">
        <v>381</v>
      </c>
      <c r="F149" s="0" t="s">
        <v>370</v>
      </c>
      <c r="G149" s="0" t="n">
        <f aca="false">HYPERLINK("http://clipc-services.ceda.ac.uk/dreq/u/475dc209e9f9cd51eedee4d26caf9f67.html","web")</f>
        <v>0</v>
      </c>
      <c r="H149" s="0" t="s">
        <v>382</v>
      </c>
      <c r="I149" s="0" t="s">
        <v>359</v>
      </c>
      <c r="J149" s="0" t="s">
        <v>383</v>
      </c>
      <c r="K149" s="0" t="s">
        <v>441</v>
      </c>
    </row>
    <row r="150" customFormat="false" ht="15" hidden="false" customHeight="false" outlineLevel="0" collapsed="false"/>
    <row r="151" customFormat="false" ht="15" hidden="false" customHeight="false" outlineLevel="0" collapsed="false">
      <c r="A151" s="0" t="s">
        <v>494</v>
      </c>
      <c r="B151" s="0" t="s">
        <v>40</v>
      </c>
      <c r="C151" s="0" t="s">
        <v>13</v>
      </c>
      <c r="D151" s="0" t="s">
        <v>41</v>
      </c>
      <c r="E151" s="0" t="s">
        <v>42</v>
      </c>
      <c r="F151" s="0" t="s">
        <v>43</v>
      </c>
      <c r="G151" s="0" t="n">
        <f aca="false">HYPERLINK("http://clipc-services.ceda.ac.uk/dreq/u/a72a0bcf271db9db3a7fb9b7f3e7b93a.html","web")</f>
        <v>0</v>
      </c>
      <c r="H151" s="0" t="s">
        <v>44</v>
      </c>
      <c r="I151" s="0" t="s">
        <v>45</v>
      </c>
      <c r="J151" s="0" t="s">
        <v>46</v>
      </c>
      <c r="K151" s="0" t="s">
        <v>495</v>
      </c>
    </row>
    <row r="152" customFormat="false" ht="15" hidden="false" customHeight="false" outlineLevel="0" collapsed="false">
      <c r="A152" s="0" t="s">
        <v>494</v>
      </c>
      <c r="B152" s="0" t="s">
        <v>48</v>
      </c>
      <c r="C152" s="0" t="s">
        <v>13</v>
      </c>
      <c r="D152" s="0" t="s">
        <v>41</v>
      </c>
      <c r="E152" s="0" t="s">
        <v>50</v>
      </c>
      <c r="F152" s="0" t="s">
        <v>43</v>
      </c>
      <c r="G152" s="0" t="n">
        <f aca="false">HYPERLINK("http://clipc-services.ceda.ac.uk/dreq/u/27ad2512525b0c42b7edd88f1dad5955.html","web")</f>
        <v>0</v>
      </c>
      <c r="H152" s="0" t="s">
        <v>44</v>
      </c>
      <c r="I152" s="0" t="s">
        <v>45</v>
      </c>
      <c r="J152" s="0" t="s">
        <v>51</v>
      </c>
      <c r="K152" s="0" t="s">
        <v>495</v>
      </c>
    </row>
    <row r="153" customFormat="false" ht="15" hidden="false" customHeight="false" outlineLevel="0" collapsed="false">
      <c r="A153" s="0" t="s">
        <v>494</v>
      </c>
      <c r="B153" s="0" t="s">
        <v>79</v>
      </c>
      <c r="C153" s="0" t="s">
        <v>49</v>
      </c>
      <c r="D153" s="0" t="s">
        <v>41</v>
      </c>
      <c r="E153" s="0" t="s">
        <v>80</v>
      </c>
      <c r="F153" s="0" t="s">
        <v>81</v>
      </c>
      <c r="G153" s="0" t="n">
        <f aca="false">HYPERLINK("http://clipc-services.ceda.ac.uk/dreq/u/df96c61c07957da1c4e8212f0553fa98.html","web")</f>
        <v>0</v>
      </c>
      <c r="H153" s="0" t="s">
        <v>82</v>
      </c>
      <c r="I153" s="0" t="s">
        <v>83</v>
      </c>
      <c r="J153" s="0" t="s">
        <v>84</v>
      </c>
      <c r="K153" s="0" t="s">
        <v>496</v>
      </c>
    </row>
    <row r="154" customFormat="false" ht="15" hidden="false" customHeight="false" outlineLevel="0" collapsed="false">
      <c r="A154" s="0" t="s">
        <v>494</v>
      </c>
      <c r="B154" s="0" t="s">
        <v>86</v>
      </c>
      <c r="C154" s="0" t="s">
        <v>49</v>
      </c>
      <c r="D154" s="0" t="s">
        <v>41</v>
      </c>
      <c r="E154" s="0" t="s">
        <v>87</v>
      </c>
      <c r="F154" s="0" t="s">
        <v>81</v>
      </c>
      <c r="G154" s="0" t="n">
        <f aca="false">HYPERLINK("http://clipc-services.ceda.ac.uk/dreq/u/171d617ceca8a4351f53d090c0ead89c.html","web")</f>
        <v>0</v>
      </c>
      <c r="H154" s="0" t="s">
        <v>82</v>
      </c>
      <c r="I154" s="0" t="s">
        <v>83</v>
      </c>
      <c r="J154" s="0" t="s">
        <v>88</v>
      </c>
      <c r="K154" s="0" t="s">
        <v>496</v>
      </c>
    </row>
    <row r="155" customFormat="false" ht="15" hidden="false" customHeight="false" outlineLevel="0" collapsed="false">
      <c r="A155" s="0" t="s">
        <v>494</v>
      </c>
      <c r="B155" s="0" t="s">
        <v>89</v>
      </c>
      <c r="C155" s="0" t="s">
        <v>49</v>
      </c>
      <c r="D155" s="0" t="s">
        <v>41</v>
      </c>
      <c r="E155" s="0" t="s">
        <v>90</v>
      </c>
      <c r="F155" s="0" t="s">
        <v>81</v>
      </c>
      <c r="G155" s="0" t="n">
        <f aca="false">HYPERLINK("http://clipc-services.ceda.ac.uk/dreq/u/edc3d019be9c383abbd82a4d5fad43ca.html","web")</f>
        <v>0</v>
      </c>
      <c r="H155" s="0" t="s">
        <v>82</v>
      </c>
      <c r="I155" s="0" t="s">
        <v>83</v>
      </c>
      <c r="J155" s="0" t="s">
        <v>91</v>
      </c>
      <c r="K155" s="0" t="s">
        <v>496</v>
      </c>
    </row>
    <row r="156" customFormat="false" ht="15" hidden="false" customHeight="false" outlineLevel="0" collapsed="false">
      <c r="A156" s="0" t="s">
        <v>494</v>
      </c>
      <c r="B156" s="0" t="s">
        <v>92</v>
      </c>
      <c r="C156" s="0" t="s">
        <v>13</v>
      </c>
      <c r="D156" s="0" t="s">
        <v>41</v>
      </c>
      <c r="E156" s="0" t="s">
        <v>93</v>
      </c>
      <c r="F156" s="0" t="s">
        <v>43</v>
      </c>
      <c r="G156" s="0" t="n">
        <f aca="false">HYPERLINK("http://clipc-services.ceda.ac.uk/dreq/u/065edaa295c376f0e9bc1985bc3f491c.html","web")</f>
        <v>0</v>
      </c>
      <c r="H156" s="0" t="s">
        <v>44</v>
      </c>
      <c r="I156" s="0" t="s">
        <v>45</v>
      </c>
      <c r="J156" s="0" t="s">
        <v>94</v>
      </c>
      <c r="K156" s="0" t="s">
        <v>495</v>
      </c>
    </row>
    <row r="157" customFormat="false" ht="15" hidden="false" customHeight="false" outlineLevel="0" collapsed="false">
      <c r="A157" s="0" t="s">
        <v>494</v>
      </c>
      <c r="B157" s="0" t="s">
        <v>99</v>
      </c>
      <c r="C157" s="0" t="s">
        <v>49</v>
      </c>
      <c r="D157" s="0" t="s">
        <v>41</v>
      </c>
      <c r="E157" s="0" t="s">
        <v>100</v>
      </c>
      <c r="F157" s="0" t="s">
        <v>43</v>
      </c>
      <c r="G157" s="0" t="n">
        <f aca="false">HYPERLINK("http://clipc-services.ceda.ac.uk/dreq/u/59175660-9e49-11e5-803c-0d0b866b59f3.html","web")</f>
        <v>0</v>
      </c>
      <c r="H157" s="0" t="s">
        <v>101</v>
      </c>
      <c r="I157" s="0" t="s">
        <v>45</v>
      </c>
      <c r="J157" s="0" t="s">
        <v>102</v>
      </c>
      <c r="K157" s="0" t="s">
        <v>497</v>
      </c>
    </row>
    <row r="158" customFormat="false" ht="15" hidden="false" customHeight="false" outlineLevel="0" collapsed="false">
      <c r="A158" s="0" t="s">
        <v>494</v>
      </c>
      <c r="B158" s="0" t="s">
        <v>498</v>
      </c>
      <c r="C158" s="0" t="s">
        <v>13</v>
      </c>
      <c r="D158" s="0" t="s">
        <v>135</v>
      </c>
      <c r="E158" s="0" t="s">
        <v>499</v>
      </c>
      <c r="F158" s="0" t="s">
        <v>43</v>
      </c>
      <c r="G158" s="0" t="n">
        <f aca="false">HYPERLINK("http://clipc-services.ceda.ac.uk/dreq/u/c96c720e-c5f0-11e6-ac20-5404a60d96b5.html","web")</f>
        <v>0</v>
      </c>
      <c r="H158" s="0" t="s">
        <v>101</v>
      </c>
      <c r="I158" s="0" t="s">
        <v>45</v>
      </c>
      <c r="J158" s="0" t="s">
        <v>500</v>
      </c>
      <c r="K158" s="0" t="s">
        <v>501</v>
      </c>
    </row>
    <row r="159" customFormat="false" ht="15" hidden="false" customHeight="false" outlineLevel="0" collapsed="false">
      <c r="A159" s="0" t="s">
        <v>494</v>
      </c>
      <c r="B159" s="0" t="s">
        <v>103</v>
      </c>
      <c r="C159" s="0" t="s">
        <v>49</v>
      </c>
      <c r="D159" s="0" t="s">
        <v>41</v>
      </c>
      <c r="E159" s="0" t="s">
        <v>104</v>
      </c>
      <c r="F159" s="0" t="s">
        <v>43</v>
      </c>
      <c r="G159" s="0" t="n">
        <f aca="false">HYPERLINK("http://clipc-services.ceda.ac.uk/dreq/u/1391b0d99790cec6597b02ce4d7c5a67.html","web")</f>
        <v>0</v>
      </c>
      <c r="H159" s="0" t="s">
        <v>44</v>
      </c>
      <c r="I159" s="0" t="s">
        <v>45</v>
      </c>
      <c r="J159" s="0" t="s">
        <v>105</v>
      </c>
      <c r="K159" s="0" t="s">
        <v>502</v>
      </c>
    </row>
    <row r="160" customFormat="false" ht="15" hidden="false" customHeight="false" outlineLevel="0" collapsed="false">
      <c r="A160" s="0" t="s">
        <v>494</v>
      </c>
      <c r="B160" s="0" t="s">
        <v>503</v>
      </c>
      <c r="C160" s="0" t="s">
        <v>13</v>
      </c>
      <c r="D160" s="0" t="s">
        <v>135</v>
      </c>
      <c r="E160" s="0" t="s">
        <v>504</v>
      </c>
      <c r="F160" s="0" t="s">
        <v>43</v>
      </c>
      <c r="G160" s="0" t="n">
        <f aca="false">HYPERLINK("http://clipc-services.ceda.ac.uk/dreq/u/c96c6390-c5f0-11e6-ac20-5404a60d96b5.html","web")</f>
        <v>0</v>
      </c>
      <c r="H160" s="0" t="s">
        <v>44</v>
      </c>
      <c r="I160" s="0" t="s">
        <v>45</v>
      </c>
      <c r="J160" s="0" t="s">
        <v>105</v>
      </c>
      <c r="K160" s="0" t="s">
        <v>495</v>
      </c>
    </row>
    <row r="161" customFormat="false" ht="15" hidden="false" customHeight="false" outlineLevel="0" collapsed="false">
      <c r="A161" s="0" t="s">
        <v>494</v>
      </c>
      <c r="B161" s="0" t="s">
        <v>106</v>
      </c>
      <c r="C161" s="0" t="s">
        <v>49</v>
      </c>
      <c r="D161" s="0" t="s">
        <v>41</v>
      </c>
      <c r="E161" s="0" t="s">
        <v>107</v>
      </c>
      <c r="F161" s="0" t="s">
        <v>43</v>
      </c>
      <c r="G161" s="0" t="n">
        <f aca="false">HYPERLINK("http://clipc-services.ceda.ac.uk/dreq/u/55febff83b78e06576947e1c0e5b7a7d.html","web")</f>
        <v>0</v>
      </c>
      <c r="H161" s="0" t="s">
        <v>101</v>
      </c>
      <c r="I161" s="0" t="s">
        <v>45</v>
      </c>
      <c r="J161" s="0" t="s">
        <v>108</v>
      </c>
      <c r="K161" s="0" t="s">
        <v>505</v>
      </c>
    </row>
    <row r="162" customFormat="false" ht="15" hidden="false" customHeight="false" outlineLevel="0" collapsed="false">
      <c r="A162" s="0" t="s">
        <v>494</v>
      </c>
      <c r="B162" s="0" t="s">
        <v>506</v>
      </c>
      <c r="C162" s="0" t="s">
        <v>13</v>
      </c>
      <c r="D162" s="0" t="s">
        <v>135</v>
      </c>
      <c r="E162" s="0" t="s">
        <v>507</v>
      </c>
      <c r="F162" s="0" t="s">
        <v>43</v>
      </c>
      <c r="G162" s="0" t="n">
        <f aca="false">HYPERLINK("http://clipc-services.ceda.ac.uk/dreq/u/c96c5576-c5f0-11e6-ac20-5404a60d96b5.html","web")</f>
        <v>0</v>
      </c>
      <c r="H162" s="0" t="s">
        <v>101</v>
      </c>
      <c r="I162" s="0" t="s">
        <v>45</v>
      </c>
      <c r="J162" s="0" t="s">
        <v>108</v>
      </c>
      <c r="K162" s="0" t="s">
        <v>495</v>
      </c>
    </row>
    <row r="163" customFormat="false" ht="15" hidden="false" customHeight="false" outlineLevel="0" collapsed="false">
      <c r="A163" s="0" t="s">
        <v>494</v>
      </c>
      <c r="B163" s="0" t="s">
        <v>109</v>
      </c>
      <c r="C163" s="0" t="s">
        <v>49</v>
      </c>
      <c r="D163" s="0" t="s">
        <v>41</v>
      </c>
      <c r="E163" s="0" t="s">
        <v>110</v>
      </c>
      <c r="F163" s="0" t="s">
        <v>43</v>
      </c>
      <c r="G163" s="0" t="n">
        <f aca="false">HYPERLINK("http://clipc-services.ceda.ac.uk/dreq/u/2fcdf51262cdbc4279810b7a487b149e.html","web")</f>
        <v>0</v>
      </c>
      <c r="H163" s="0" t="s">
        <v>111</v>
      </c>
      <c r="I163" s="0" t="s">
        <v>45</v>
      </c>
      <c r="J163" s="0" t="s">
        <v>112</v>
      </c>
      <c r="K163" s="0" t="s">
        <v>502</v>
      </c>
    </row>
    <row r="164" customFormat="false" ht="15" hidden="false" customHeight="false" outlineLevel="0" collapsed="false">
      <c r="A164" s="0" t="s">
        <v>494</v>
      </c>
      <c r="B164" s="0" t="s">
        <v>113</v>
      </c>
      <c r="C164" s="0" t="s">
        <v>49</v>
      </c>
      <c r="D164" s="0" t="s">
        <v>41</v>
      </c>
      <c r="E164" s="0" t="s">
        <v>114</v>
      </c>
      <c r="F164" s="0" t="s">
        <v>43</v>
      </c>
      <c r="G164" s="0" t="n">
        <f aca="false">HYPERLINK("http://clipc-services.ceda.ac.uk/dreq/u/bdce9878-233e-11e6-a788-5404a60d96b5.html","web")</f>
        <v>0</v>
      </c>
      <c r="H164" s="0" t="s">
        <v>97</v>
      </c>
      <c r="I164" s="0" t="s">
        <v>56</v>
      </c>
      <c r="J164" s="0" t="s">
        <v>115</v>
      </c>
      <c r="K164" s="0" t="s">
        <v>508</v>
      </c>
    </row>
    <row r="165" customFormat="false" ht="15" hidden="false" customHeight="false" outlineLevel="0" collapsed="false">
      <c r="A165" s="0" t="s">
        <v>494</v>
      </c>
      <c r="B165" s="0" t="s">
        <v>509</v>
      </c>
      <c r="C165" s="0" t="s">
        <v>31</v>
      </c>
      <c r="D165" s="0" t="s">
        <v>510</v>
      </c>
      <c r="E165" s="0" t="s">
        <v>117</v>
      </c>
      <c r="F165" s="0" t="s">
        <v>118</v>
      </c>
      <c r="G165" s="0" t="n">
        <f aca="false">HYPERLINK("http://clipc-services.ceda.ac.uk/dreq/u/f43d7527cd48c992f075339b2bbbf9ef.html","web")</f>
        <v>0</v>
      </c>
      <c r="H165" s="0" t="s">
        <v>101</v>
      </c>
      <c r="I165" s="0" t="s">
        <v>45</v>
      </c>
      <c r="J165" s="0" t="s">
        <v>511</v>
      </c>
      <c r="K165" s="0" t="s">
        <v>512</v>
      </c>
    </row>
    <row r="166" customFormat="false" ht="15" hidden="false" customHeight="false" outlineLevel="0" collapsed="false">
      <c r="A166" s="0" t="s">
        <v>494</v>
      </c>
      <c r="B166" s="0" t="s">
        <v>513</v>
      </c>
      <c r="C166" s="0" t="s">
        <v>49</v>
      </c>
      <c r="D166" s="0" t="s">
        <v>510</v>
      </c>
      <c r="E166" s="0" t="s">
        <v>514</v>
      </c>
      <c r="F166" s="0" t="s">
        <v>118</v>
      </c>
      <c r="G166" s="0" t="n">
        <f aca="false">HYPERLINK("http://clipc-services.ceda.ac.uk/dreq/u/5a17eb002c56c129c27f6e2b8e0c06d7.html","web")</f>
        <v>0</v>
      </c>
      <c r="H166" s="0" t="s">
        <v>174</v>
      </c>
      <c r="I166" s="0" t="s">
        <v>83</v>
      </c>
      <c r="J166" s="0" t="s">
        <v>128</v>
      </c>
      <c r="K166" s="0" t="s">
        <v>495</v>
      </c>
    </row>
    <row r="167" customFormat="false" ht="15" hidden="false" customHeight="false" outlineLevel="0" collapsed="false">
      <c r="A167" s="0" t="s">
        <v>494</v>
      </c>
      <c r="B167" s="0" t="s">
        <v>515</v>
      </c>
      <c r="C167" s="0" t="s">
        <v>49</v>
      </c>
      <c r="D167" s="0" t="s">
        <v>510</v>
      </c>
      <c r="E167" s="0" t="s">
        <v>516</v>
      </c>
      <c r="F167" s="0" t="s">
        <v>118</v>
      </c>
      <c r="G167" s="0" t="n">
        <f aca="false">HYPERLINK("http://clipc-services.ceda.ac.uk/dreq/u/600c9692a7eaef4037565fa8846ae6ba.html","web")</f>
        <v>0</v>
      </c>
      <c r="H167" s="0" t="s">
        <v>174</v>
      </c>
      <c r="I167" s="0" t="s">
        <v>83</v>
      </c>
      <c r="J167" s="0" t="s">
        <v>128</v>
      </c>
      <c r="K167" s="0" t="s">
        <v>495</v>
      </c>
    </row>
    <row r="168" customFormat="false" ht="15" hidden="false" customHeight="false" outlineLevel="0" collapsed="false">
      <c r="A168" s="0" t="s">
        <v>494</v>
      </c>
      <c r="B168" s="0" t="s">
        <v>517</v>
      </c>
      <c r="C168" s="0" t="s">
        <v>49</v>
      </c>
      <c r="D168" s="0" t="s">
        <v>518</v>
      </c>
      <c r="E168" s="0" t="s">
        <v>519</v>
      </c>
      <c r="F168" s="0" t="s">
        <v>118</v>
      </c>
      <c r="G168" s="0" t="n">
        <f aca="false">HYPERLINK("http://clipc-services.ceda.ac.uk/dreq/u/d66b7d75af3d1ed4e83b2f15a51ca731.html","web")</f>
        <v>0</v>
      </c>
      <c r="H168" s="0" t="s">
        <v>119</v>
      </c>
      <c r="I168" s="0" t="s">
        <v>120</v>
      </c>
      <c r="J168" s="0" t="s">
        <v>520</v>
      </c>
      <c r="K168" s="0" t="s">
        <v>495</v>
      </c>
    </row>
    <row r="169" customFormat="false" ht="15" hidden="false" customHeight="false" outlineLevel="0" collapsed="false">
      <c r="A169" s="0" t="s">
        <v>494</v>
      </c>
      <c r="B169" s="0" t="s">
        <v>521</v>
      </c>
      <c r="C169" s="0" t="s">
        <v>49</v>
      </c>
      <c r="D169" s="0" t="s">
        <v>518</v>
      </c>
      <c r="E169" s="0" t="s">
        <v>60</v>
      </c>
      <c r="F169" s="0" t="s">
        <v>118</v>
      </c>
      <c r="G169" s="0" t="n">
        <f aca="false">HYPERLINK("http://clipc-services.ceda.ac.uk/dreq/u/0f19e65613afd83f8d9b888d2067ced4.html","web")</f>
        <v>0</v>
      </c>
      <c r="H169" s="0" t="s">
        <v>119</v>
      </c>
      <c r="I169" s="0" t="s">
        <v>120</v>
      </c>
      <c r="J169" s="0" t="s">
        <v>522</v>
      </c>
      <c r="K169" s="0" t="s">
        <v>523</v>
      </c>
    </row>
    <row r="170" customFormat="false" ht="15" hidden="false" customHeight="false" outlineLevel="0" collapsed="false">
      <c r="A170" s="0" t="s">
        <v>494</v>
      </c>
      <c r="B170" s="0" t="s">
        <v>524</v>
      </c>
      <c r="C170" s="0" t="s">
        <v>49</v>
      </c>
      <c r="D170" s="0" t="s">
        <v>518</v>
      </c>
      <c r="E170" s="0" t="s">
        <v>64</v>
      </c>
      <c r="F170" s="0" t="s">
        <v>118</v>
      </c>
      <c r="G170" s="0" t="n">
        <f aca="false">HYPERLINK("http://clipc-services.ceda.ac.uk/dreq/u/52ebeea7464b9fc011a92f21e65d6a7a.html","web")</f>
        <v>0</v>
      </c>
      <c r="H170" s="0" t="s">
        <v>119</v>
      </c>
      <c r="I170" s="0" t="s">
        <v>120</v>
      </c>
      <c r="J170" s="0" t="s">
        <v>525</v>
      </c>
      <c r="K170" s="0" t="s">
        <v>495</v>
      </c>
    </row>
    <row r="171" customFormat="false" ht="15" hidden="false" customHeight="false" outlineLevel="0" collapsed="false">
      <c r="A171" s="0" t="s">
        <v>494</v>
      </c>
      <c r="B171" s="0" t="s">
        <v>526</v>
      </c>
      <c r="C171" s="0" t="s">
        <v>49</v>
      </c>
      <c r="D171" s="0" t="s">
        <v>518</v>
      </c>
      <c r="E171" s="0" t="s">
        <v>527</v>
      </c>
      <c r="F171" s="0" t="s">
        <v>118</v>
      </c>
      <c r="G171" s="0" t="n">
        <f aca="false">HYPERLINK("http://clipc-services.ceda.ac.uk/dreq/u/6c19638a0652fcbc6c6ff8455c536445.html","web")</f>
        <v>0</v>
      </c>
      <c r="H171" s="0" t="s">
        <v>119</v>
      </c>
      <c r="I171" s="0" t="s">
        <v>120</v>
      </c>
      <c r="J171" s="0" t="s">
        <v>528</v>
      </c>
      <c r="K171" s="0" t="s">
        <v>495</v>
      </c>
    </row>
    <row r="172" customFormat="false" ht="15" hidden="false" customHeight="false" outlineLevel="0" collapsed="false">
      <c r="A172" s="0" t="s">
        <v>494</v>
      </c>
      <c r="B172" s="0" t="s">
        <v>529</v>
      </c>
      <c r="C172" s="0" t="s">
        <v>49</v>
      </c>
      <c r="D172" s="0" t="s">
        <v>518</v>
      </c>
      <c r="E172" s="0" t="s">
        <v>530</v>
      </c>
      <c r="F172" s="0" t="s">
        <v>118</v>
      </c>
      <c r="G172" s="0" t="n">
        <f aca="false">HYPERLINK("http://clipc-services.ceda.ac.uk/dreq/u/2f046f30404d6cfcd5286a2a7f12d8fa.html","web")</f>
        <v>0</v>
      </c>
      <c r="H172" s="0" t="s">
        <v>119</v>
      </c>
      <c r="I172" s="0" t="s">
        <v>120</v>
      </c>
      <c r="J172" s="0" t="s">
        <v>531</v>
      </c>
      <c r="K172" s="0" t="s">
        <v>495</v>
      </c>
    </row>
    <row r="173" customFormat="false" ht="15" hidden="false" customHeight="false" outlineLevel="0" collapsed="false">
      <c r="A173" s="0" t="s">
        <v>494</v>
      </c>
      <c r="B173" s="0" t="s">
        <v>532</v>
      </c>
      <c r="C173" s="0" t="s">
        <v>49</v>
      </c>
      <c r="D173" s="0" t="s">
        <v>518</v>
      </c>
      <c r="E173" s="0" t="s">
        <v>533</v>
      </c>
      <c r="F173" s="0" t="s">
        <v>118</v>
      </c>
      <c r="G173" s="0" t="n">
        <f aca="false">HYPERLINK("http://clipc-services.ceda.ac.uk/dreq/u/18060c6741a6b65c90435d19adfbbc98.html","web")</f>
        <v>0</v>
      </c>
      <c r="H173" s="0" t="s">
        <v>119</v>
      </c>
      <c r="I173" s="0" t="s">
        <v>120</v>
      </c>
      <c r="J173" s="0" t="s">
        <v>534</v>
      </c>
      <c r="K173" s="0" t="s">
        <v>495</v>
      </c>
    </row>
    <row r="174" customFormat="false" ht="15" hidden="false" customHeight="false" outlineLevel="0" collapsed="false">
      <c r="A174" s="0" t="s">
        <v>494</v>
      </c>
      <c r="B174" s="0" t="s">
        <v>535</v>
      </c>
      <c r="C174" s="0" t="s">
        <v>49</v>
      </c>
      <c r="D174" s="0" t="s">
        <v>518</v>
      </c>
      <c r="E174" s="0" t="s">
        <v>536</v>
      </c>
      <c r="F174" s="0" t="s">
        <v>118</v>
      </c>
      <c r="G174" s="0" t="n">
        <f aca="false">HYPERLINK("http://clipc-services.ceda.ac.uk/dreq/u/3e0c9853afc682db9a950cc5bc3c1c3a.html","web")</f>
        <v>0</v>
      </c>
      <c r="H174" s="0" t="s">
        <v>124</v>
      </c>
      <c r="I174" s="0" t="s">
        <v>26</v>
      </c>
      <c r="J174" s="0" t="s">
        <v>537</v>
      </c>
      <c r="K174" s="0" t="s">
        <v>523</v>
      </c>
    </row>
    <row r="175" customFormat="false" ht="15" hidden="false" customHeight="false" outlineLevel="0" collapsed="false">
      <c r="A175" s="0" t="s">
        <v>494</v>
      </c>
      <c r="B175" s="0" t="s">
        <v>538</v>
      </c>
      <c r="C175" s="0" t="s">
        <v>49</v>
      </c>
      <c r="D175" s="0" t="s">
        <v>518</v>
      </c>
      <c r="E175" s="0" t="s">
        <v>539</v>
      </c>
      <c r="F175" s="0" t="s">
        <v>118</v>
      </c>
      <c r="G175" s="0" t="n">
        <f aca="false">HYPERLINK("http://clipc-services.ceda.ac.uk/dreq/u/1333394a296e7f8af6c9bad15cb9778d.html","web")</f>
        <v>0</v>
      </c>
      <c r="H175" s="0" t="s">
        <v>124</v>
      </c>
      <c r="I175" s="0" t="s">
        <v>26</v>
      </c>
      <c r="J175" s="0" t="s">
        <v>540</v>
      </c>
      <c r="K175" s="0" t="s">
        <v>523</v>
      </c>
    </row>
    <row r="176" customFormat="false" ht="15" hidden="false" customHeight="false" outlineLevel="0" collapsed="false">
      <c r="A176" s="0" t="s">
        <v>494</v>
      </c>
      <c r="B176" s="0" t="s">
        <v>541</v>
      </c>
      <c r="C176" s="0" t="s">
        <v>49</v>
      </c>
      <c r="D176" s="0" t="s">
        <v>518</v>
      </c>
      <c r="E176" s="0" t="s">
        <v>542</v>
      </c>
      <c r="F176" s="0" t="s">
        <v>118</v>
      </c>
      <c r="G176" s="0" t="n">
        <f aca="false">HYPERLINK("http://clipc-services.ceda.ac.uk/dreq/u/df087f7801b9ca8b671eba159de9b6e7.html","web")</f>
        <v>0</v>
      </c>
      <c r="H176" s="0" t="s">
        <v>124</v>
      </c>
      <c r="I176" s="0" t="s">
        <v>26</v>
      </c>
      <c r="J176" s="0" t="s">
        <v>543</v>
      </c>
      <c r="K176" s="0" t="s">
        <v>495</v>
      </c>
    </row>
    <row r="177" customFormat="false" ht="15" hidden="false" customHeight="false" outlineLevel="0" collapsed="false">
      <c r="A177" s="0" t="s">
        <v>494</v>
      </c>
      <c r="B177" s="0" t="s">
        <v>544</v>
      </c>
      <c r="C177" s="0" t="s">
        <v>49</v>
      </c>
      <c r="D177" s="0" t="s">
        <v>518</v>
      </c>
      <c r="E177" s="0" t="s">
        <v>545</v>
      </c>
      <c r="F177" s="0" t="s">
        <v>118</v>
      </c>
      <c r="G177" s="0" t="n">
        <f aca="false">HYPERLINK("http://clipc-services.ceda.ac.uk/dreq/u/d3e6e20c91db32a83bcf3d8d8d9dafd3.html","web")</f>
        <v>0</v>
      </c>
      <c r="H177" s="0" t="s">
        <v>124</v>
      </c>
      <c r="I177" s="0" t="s">
        <v>26</v>
      </c>
      <c r="J177" s="0" t="s">
        <v>546</v>
      </c>
      <c r="K177" s="0" t="s">
        <v>495</v>
      </c>
    </row>
    <row r="178" customFormat="false" ht="15" hidden="false" customHeight="false" outlineLevel="0" collapsed="false">
      <c r="A178" s="0" t="s">
        <v>494</v>
      </c>
      <c r="B178" s="0" t="s">
        <v>547</v>
      </c>
      <c r="C178" s="0" t="s">
        <v>49</v>
      </c>
      <c r="D178" s="0" t="s">
        <v>518</v>
      </c>
      <c r="E178" s="0" t="s">
        <v>548</v>
      </c>
      <c r="F178" s="0" t="s">
        <v>118</v>
      </c>
      <c r="G178" s="0" t="n">
        <f aca="false">HYPERLINK("http://clipc-services.ceda.ac.uk/dreq/u/80a2832b0619764647393e3815ff399b.html","web")</f>
        <v>0</v>
      </c>
      <c r="H178" s="0" t="s">
        <v>124</v>
      </c>
      <c r="I178" s="0" t="s">
        <v>26</v>
      </c>
      <c r="J178" s="0" t="s">
        <v>549</v>
      </c>
      <c r="K178" s="0" t="s">
        <v>495</v>
      </c>
    </row>
    <row r="179" customFormat="false" ht="15" hidden="false" customHeight="false" outlineLevel="0" collapsed="false">
      <c r="A179" s="0" t="s">
        <v>494</v>
      </c>
      <c r="B179" s="0" t="s">
        <v>550</v>
      </c>
      <c r="C179" s="0" t="s">
        <v>49</v>
      </c>
      <c r="D179" s="0" t="s">
        <v>518</v>
      </c>
      <c r="E179" s="0" t="s">
        <v>551</v>
      </c>
      <c r="F179" s="0" t="s">
        <v>118</v>
      </c>
      <c r="G179" s="0" t="n">
        <f aca="false">HYPERLINK("http://clipc-services.ceda.ac.uk/dreq/u/ee10c562c1164acf3bf03955dd6fc00d.html","web")</f>
        <v>0</v>
      </c>
      <c r="H179" s="0" t="s">
        <v>124</v>
      </c>
      <c r="I179" s="0" t="s">
        <v>26</v>
      </c>
      <c r="J179" s="0" t="s">
        <v>552</v>
      </c>
      <c r="K179" s="0" t="s">
        <v>495</v>
      </c>
    </row>
    <row r="180" customFormat="false" ht="15" hidden="false" customHeight="false" outlineLevel="0" collapsed="false">
      <c r="A180" s="0" t="s">
        <v>494</v>
      </c>
      <c r="B180" s="0" t="s">
        <v>134</v>
      </c>
      <c r="C180" s="0" t="s">
        <v>31</v>
      </c>
      <c r="D180" s="0" t="s">
        <v>553</v>
      </c>
      <c r="E180" s="0" t="s">
        <v>136</v>
      </c>
      <c r="F180" s="0" t="s">
        <v>137</v>
      </c>
      <c r="G180" s="0" t="n">
        <f aca="false">HYPERLINK("http://clipc-services.ceda.ac.uk/dreq/u/590e5b82-9e49-11e5-803c-0d0b866b59f3.html","web")</f>
        <v>0</v>
      </c>
      <c r="H180" s="0" t="s">
        <v>101</v>
      </c>
      <c r="I180" s="0" t="s">
        <v>45</v>
      </c>
      <c r="J180" s="0" t="s">
        <v>138</v>
      </c>
      <c r="K180" s="0" t="s">
        <v>554</v>
      </c>
    </row>
    <row r="181" customFormat="false" ht="15" hidden="false" customHeight="false" outlineLevel="0" collapsed="false">
      <c r="A181" s="0" t="s">
        <v>494</v>
      </c>
      <c r="B181" s="0" t="s">
        <v>139</v>
      </c>
      <c r="C181" s="0" t="s">
        <v>31</v>
      </c>
      <c r="D181" s="0" t="s">
        <v>553</v>
      </c>
      <c r="E181" s="0" t="s">
        <v>140</v>
      </c>
      <c r="F181" s="0" t="s">
        <v>137</v>
      </c>
      <c r="G181" s="0" t="n">
        <f aca="false">HYPERLINK("http://clipc-services.ceda.ac.uk/dreq/u/f36046ab9a8a24ce4d7431e2defd9cf6.html","web")</f>
        <v>0</v>
      </c>
      <c r="H181" s="0" t="s">
        <v>141</v>
      </c>
      <c r="I181" s="0" t="s">
        <v>120</v>
      </c>
      <c r="J181" s="0" t="s">
        <v>142</v>
      </c>
      <c r="K181" s="0" t="s">
        <v>495</v>
      </c>
    </row>
    <row r="182" customFormat="false" ht="15" hidden="false" customHeight="false" outlineLevel="0" collapsed="false">
      <c r="A182" s="0" t="s">
        <v>494</v>
      </c>
      <c r="B182" s="0" t="s">
        <v>143</v>
      </c>
      <c r="C182" s="0" t="s">
        <v>31</v>
      </c>
      <c r="D182" s="0" t="s">
        <v>553</v>
      </c>
      <c r="E182" s="0" t="s">
        <v>144</v>
      </c>
      <c r="F182" s="0" t="s">
        <v>137</v>
      </c>
      <c r="G182" s="0" t="n">
        <f aca="false">HYPERLINK("http://clipc-services.ceda.ac.uk/dreq/u/042e575e61a271e122d317ca7b39dcb4.html","web")</f>
        <v>0</v>
      </c>
      <c r="H182" s="0" t="s">
        <v>119</v>
      </c>
      <c r="I182" s="0" t="s">
        <v>120</v>
      </c>
      <c r="J182" s="0" t="s">
        <v>145</v>
      </c>
      <c r="K182" s="0" t="s">
        <v>495</v>
      </c>
    </row>
    <row r="183" customFormat="false" ht="15" hidden="false" customHeight="false" outlineLevel="0" collapsed="false">
      <c r="A183" s="0" t="s">
        <v>494</v>
      </c>
      <c r="B183" s="0" t="s">
        <v>146</v>
      </c>
      <c r="C183" s="0" t="s">
        <v>31</v>
      </c>
      <c r="D183" s="0" t="s">
        <v>553</v>
      </c>
      <c r="E183" s="0" t="s">
        <v>147</v>
      </c>
      <c r="F183" s="0" t="s">
        <v>137</v>
      </c>
      <c r="G183" s="0" t="n">
        <f aca="false">HYPERLINK("http://clipc-services.ceda.ac.uk/dreq/u/97c037c3357f24c4e06c07123224b400.html","web")</f>
        <v>0</v>
      </c>
      <c r="H183" s="0" t="s">
        <v>148</v>
      </c>
      <c r="I183" s="0" t="s">
        <v>120</v>
      </c>
      <c r="J183" s="0" t="s">
        <v>149</v>
      </c>
      <c r="K183" s="0" t="s">
        <v>495</v>
      </c>
    </row>
    <row r="184" customFormat="false" ht="15" hidden="false" customHeight="false" outlineLevel="0" collapsed="false">
      <c r="A184" s="0" t="s">
        <v>494</v>
      </c>
      <c r="B184" s="0" t="s">
        <v>555</v>
      </c>
      <c r="C184" s="0" t="s">
        <v>49</v>
      </c>
      <c r="D184" s="0" t="s">
        <v>553</v>
      </c>
      <c r="E184" s="0" t="s">
        <v>556</v>
      </c>
      <c r="F184" s="0" t="s">
        <v>118</v>
      </c>
      <c r="G184" s="0" t="n">
        <f aca="false">HYPERLINK("http://clipc-services.ceda.ac.uk/dreq/u/190f38cb06f9a1f3133c3dcf66e0421e.html","web")</f>
        <v>0</v>
      </c>
      <c r="H184" s="0" t="s">
        <v>119</v>
      </c>
      <c r="I184" s="0" t="s">
        <v>120</v>
      </c>
      <c r="J184" s="0" t="s">
        <v>557</v>
      </c>
      <c r="K184" s="0" t="s">
        <v>523</v>
      </c>
    </row>
    <row r="185" customFormat="false" ht="15" hidden="false" customHeight="false" outlineLevel="0" collapsed="false">
      <c r="A185" s="0" t="s">
        <v>494</v>
      </c>
      <c r="B185" s="0" t="s">
        <v>558</v>
      </c>
      <c r="C185" s="0" t="s">
        <v>13</v>
      </c>
      <c r="D185" s="0" t="s">
        <v>41</v>
      </c>
      <c r="E185" s="0" t="s">
        <v>559</v>
      </c>
      <c r="F185" s="0" t="s">
        <v>137</v>
      </c>
      <c r="G185" s="0" t="n">
        <f aca="false">HYPERLINK("http://clipc-services.ceda.ac.uk/dreq/u/0638f32ebcc32d63faad121d5a83e3be.html","web")</f>
        <v>0</v>
      </c>
      <c r="H185" s="0" t="s">
        <v>174</v>
      </c>
      <c r="I185" s="0" t="s">
        <v>83</v>
      </c>
      <c r="J185" s="0" t="s">
        <v>560</v>
      </c>
      <c r="K185" s="0" t="s">
        <v>561</v>
      </c>
    </row>
    <row r="186" customFormat="false" ht="15" hidden="false" customHeight="false" outlineLevel="0" collapsed="false">
      <c r="A186" s="0" t="s">
        <v>494</v>
      </c>
      <c r="B186" s="0" t="s">
        <v>562</v>
      </c>
      <c r="C186" s="0" t="s">
        <v>49</v>
      </c>
      <c r="D186" s="0" t="s">
        <v>135</v>
      </c>
      <c r="E186" s="0" t="s">
        <v>563</v>
      </c>
      <c r="F186" s="0" t="s">
        <v>118</v>
      </c>
      <c r="G186" s="0" t="n">
        <f aca="false">HYPERLINK("http://clipc-services.ceda.ac.uk/dreq/u/ae3a674b4f541f95d2b05da4a84507e7.html","web")</f>
        <v>0</v>
      </c>
      <c r="H186" s="0" t="s">
        <v>174</v>
      </c>
      <c r="I186" s="0" t="s">
        <v>56</v>
      </c>
      <c r="J186" s="0" t="s">
        <v>564</v>
      </c>
      <c r="K186" s="0" t="s">
        <v>523</v>
      </c>
    </row>
    <row r="187" customFormat="false" ht="15" hidden="false" customHeight="false" outlineLevel="0" collapsed="false">
      <c r="A187" s="0" t="s">
        <v>494</v>
      </c>
      <c r="B187" s="0" t="s">
        <v>565</v>
      </c>
      <c r="C187" s="0" t="s">
        <v>31</v>
      </c>
      <c r="D187" s="0" t="s">
        <v>566</v>
      </c>
      <c r="E187" s="0" t="s">
        <v>567</v>
      </c>
      <c r="F187" s="0" t="s">
        <v>568</v>
      </c>
      <c r="G187" s="0" t="n">
        <f aca="false">HYPERLINK("http://clipc-services.ceda.ac.uk/dreq/u/2e3e882a650986c1fdc5df05f5f10263.html","web")</f>
        <v>0</v>
      </c>
      <c r="H187" s="0" t="s">
        <v>569</v>
      </c>
      <c r="I187" s="0" t="s">
        <v>45</v>
      </c>
      <c r="J187" s="0" t="s">
        <v>570</v>
      </c>
      <c r="K187" s="0" t="s">
        <v>571</v>
      </c>
    </row>
    <row r="188" customFormat="false" ht="15" hidden="false" customHeight="false" outlineLevel="0" collapsed="false">
      <c r="A188" s="0" t="s">
        <v>494</v>
      </c>
      <c r="B188" s="0" t="s">
        <v>572</v>
      </c>
      <c r="C188" s="0" t="s">
        <v>31</v>
      </c>
      <c r="D188" s="0" t="s">
        <v>566</v>
      </c>
      <c r="E188" s="0" t="s">
        <v>573</v>
      </c>
      <c r="F188" s="0" t="s">
        <v>568</v>
      </c>
      <c r="G188" s="0" t="n">
        <f aca="false">HYPERLINK("http://clipc-services.ceda.ac.uk/dreq/u/88f1496a06008de969d5913384e6cb17.html","web")</f>
        <v>0</v>
      </c>
      <c r="H188" s="0" t="s">
        <v>574</v>
      </c>
      <c r="I188" s="0" t="s">
        <v>45</v>
      </c>
      <c r="J188" s="0" t="s">
        <v>575</v>
      </c>
      <c r="K188" s="0" t="s">
        <v>571</v>
      </c>
    </row>
    <row r="189" customFormat="false" ht="15" hidden="false" customHeight="false" outlineLevel="0" collapsed="false">
      <c r="A189" s="0" t="s">
        <v>494</v>
      </c>
      <c r="B189" s="0" t="s">
        <v>576</v>
      </c>
      <c r="C189" s="0" t="s">
        <v>31</v>
      </c>
      <c r="D189" s="0" t="s">
        <v>566</v>
      </c>
      <c r="E189" s="0" t="s">
        <v>577</v>
      </c>
      <c r="F189" s="0" t="s">
        <v>568</v>
      </c>
      <c r="G189" s="0" t="n">
        <f aca="false">HYPERLINK("http://clipc-services.ceda.ac.uk/dreq/u/cfc72744e73c1f6116661e251316c04f.html","web")</f>
        <v>0</v>
      </c>
      <c r="H189" s="0" t="s">
        <v>578</v>
      </c>
      <c r="I189" s="0" t="s">
        <v>45</v>
      </c>
      <c r="J189" s="0" t="s">
        <v>579</v>
      </c>
      <c r="K189" s="0" t="s">
        <v>571</v>
      </c>
    </row>
    <row r="190" customFormat="false" ht="15" hidden="false" customHeight="false" outlineLevel="0" collapsed="false">
      <c r="A190" s="0" t="s">
        <v>494</v>
      </c>
      <c r="B190" s="0" t="s">
        <v>580</v>
      </c>
      <c r="C190" s="0" t="s">
        <v>13</v>
      </c>
      <c r="D190" s="0" t="s">
        <v>41</v>
      </c>
      <c r="E190" s="0" t="s">
        <v>581</v>
      </c>
      <c r="F190" s="0" t="s">
        <v>327</v>
      </c>
      <c r="G190" s="0" t="n">
        <f aca="false">HYPERLINK("http://clipc-services.ceda.ac.uk/dreq/u/bd938fec017c18d3eee106db55f924c5.html","web")</f>
        <v>0</v>
      </c>
      <c r="H190" s="0" t="s">
        <v>582</v>
      </c>
      <c r="I190" s="0" t="s">
        <v>309</v>
      </c>
      <c r="J190" s="0" t="s">
        <v>583</v>
      </c>
      <c r="K190" s="0" t="s">
        <v>584</v>
      </c>
    </row>
    <row r="191" customFormat="false" ht="15" hidden="false" customHeight="false" outlineLevel="0" collapsed="false">
      <c r="A191" s="0" t="s">
        <v>494</v>
      </c>
      <c r="B191" s="0" t="s">
        <v>585</v>
      </c>
      <c r="C191" s="0" t="s">
        <v>31</v>
      </c>
      <c r="D191" s="0" t="s">
        <v>41</v>
      </c>
      <c r="E191" s="0" t="s">
        <v>586</v>
      </c>
      <c r="F191" s="0" t="s">
        <v>327</v>
      </c>
      <c r="G191" s="0" t="n">
        <f aca="false">HYPERLINK("http://clipc-services.ceda.ac.uk/dreq/u/1b7e762395c4de9ec5c5c7bda3ce3781.html","web")</f>
        <v>0</v>
      </c>
      <c r="H191" s="0" t="s">
        <v>587</v>
      </c>
      <c r="I191" s="0" t="s">
        <v>45</v>
      </c>
      <c r="J191" s="0" t="s">
        <v>588</v>
      </c>
      <c r="K191" s="0" t="s">
        <v>589</v>
      </c>
    </row>
    <row r="192" customFormat="false" ht="15" hidden="false" customHeight="false" outlineLevel="0" collapsed="false">
      <c r="A192" s="0" t="s">
        <v>494</v>
      </c>
      <c r="B192" s="0" t="s">
        <v>590</v>
      </c>
      <c r="C192" s="0" t="s">
        <v>31</v>
      </c>
      <c r="D192" s="0" t="s">
        <v>135</v>
      </c>
      <c r="E192" s="0" t="s">
        <v>586</v>
      </c>
      <c r="F192" s="0" t="s">
        <v>327</v>
      </c>
      <c r="G192" s="0" t="n">
        <f aca="false">HYPERLINK("http://clipc-services.ceda.ac.uk/dreq/u/1b7e762395c4de9ec5c5c7bda3ce3781.html","web")</f>
        <v>0</v>
      </c>
      <c r="H192" s="0" t="s">
        <v>587</v>
      </c>
      <c r="I192" s="0" t="s">
        <v>45</v>
      </c>
      <c r="J192" s="0" t="s">
        <v>588</v>
      </c>
      <c r="K192" s="0" t="s">
        <v>589</v>
      </c>
    </row>
    <row r="193" customFormat="false" ht="15" hidden="false" customHeight="false" outlineLevel="0" collapsed="false">
      <c r="A193" s="0" t="s">
        <v>494</v>
      </c>
      <c r="B193" s="0" t="s">
        <v>591</v>
      </c>
      <c r="C193" s="0" t="s">
        <v>49</v>
      </c>
      <c r="D193" s="0" t="s">
        <v>135</v>
      </c>
      <c r="E193" s="0" t="s">
        <v>151</v>
      </c>
      <c r="F193" s="0" t="s">
        <v>118</v>
      </c>
      <c r="G193" s="0" t="n">
        <f aca="false">HYPERLINK("http://clipc-services.ceda.ac.uk/dreq/u/baf651d5dbd448df196faedae8a97b22.html","web")</f>
        <v>0</v>
      </c>
      <c r="H193" s="0" t="s">
        <v>592</v>
      </c>
      <c r="I193" s="0" t="s">
        <v>56</v>
      </c>
      <c r="J193" s="0" t="s">
        <v>593</v>
      </c>
      <c r="K193" s="0" t="s">
        <v>523</v>
      </c>
    </row>
    <row r="194" customFormat="false" ht="15" hidden="false" customHeight="false" outlineLevel="0" collapsed="false">
      <c r="A194" s="0" t="s">
        <v>494</v>
      </c>
      <c r="B194" s="0" t="s">
        <v>594</v>
      </c>
      <c r="C194" s="0" t="s">
        <v>49</v>
      </c>
      <c r="D194" s="0" t="s">
        <v>135</v>
      </c>
      <c r="E194" s="0" t="s">
        <v>189</v>
      </c>
      <c r="F194" s="0" t="s">
        <v>118</v>
      </c>
      <c r="G194" s="0" t="n">
        <f aca="false">HYPERLINK("http://clipc-services.ceda.ac.uk/dreq/u/e52807e8-dd83-11e5-9194-ac72891c3257.html","web")</f>
        <v>0</v>
      </c>
      <c r="H194" s="0" t="s">
        <v>595</v>
      </c>
      <c r="I194" s="0" t="s">
        <v>596</v>
      </c>
      <c r="J194" s="0" t="s">
        <v>597</v>
      </c>
      <c r="K194" s="0" t="s">
        <v>523</v>
      </c>
    </row>
    <row r="195" customFormat="false" ht="15" hidden="false" customHeight="false" outlineLevel="0" collapsed="false">
      <c r="A195" s="0" t="s">
        <v>494</v>
      </c>
      <c r="B195" s="0" t="s">
        <v>598</v>
      </c>
      <c r="C195" s="0" t="s">
        <v>49</v>
      </c>
      <c r="D195" s="0" t="s">
        <v>135</v>
      </c>
      <c r="E195" s="0" t="s">
        <v>195</v>
      </c>
      <c r="F195" s="0" t="s">
        <v>118</v>
      </c>
      <c r="G195" s="0" t="n">
        <f aca="false">HYPERLINK("http://clipc-services.ceda.ac.uk/dreq/u/e5287110-dd83-11e5-9194-ac72891c3257.html","web")</f>
        <v>0</v>
      </c>
      <c r="H195" s="0" t="s">
        <v>44</v>
      </c>
      <c r="I195" s="0" t="s">
        <v>45</v>
      </c>
      <c r="J195" s="0" t="s">
        <v>599</v>
      </c>
      <c r="K195" s="0" t="s">
        <v>523</v>
      </c>
    </row>
    <row r="196" customFormat="false" ht="15" hidden="false" customHeight="false" outlineLevel="0" collapsed="false">
      <c r="A196" s="0" t="s">
        <v>494</v>
      </c>
      <c r="B196" s="0" t="s">
        <v>600</v>
      </c>
      <c r="C196" s="0" t="s">
        <v>13</v>
      </c>
      <c r="D196" s="0" t="s">
        <v>601</v>
      </c>
      <c r="E196" s="0" t="s">
        <v>602</v>
      </c>
      <c r="F196" s="0" t="s">
        <v>261</v>
      </c>
      <c r="G196" s="0" t="n">
        <f aca="false">HYPERLINK("http://clipc-services.ceda.ac.uk/dreq/u/91d62d57f0a58495fdf4358dc3ba1165.html","web")</f>
        <v>0</v>
      </c>
      <c r="H196" s="0" t="s">
        <v>174</v>
      </c>
      <c r="I196" s="0" t="s">
        <v>83</v>
      </c>
      <c r="J196" s="0" t="s">
        <v>603</v>
      </c>
      <c r="K196" s="0" t="s">
        <v>604</v>
      </c>
    </row>
    <row r="197" customFormat="false" ht="15" hidden="false" customHeight="false" outlineLevel="0" collapsed="false">
      <c r="A197" s="0" t="s">
        <v>494</v>
      </c>
      <c r="B197" s="0" t="s">
        <v>605</v>
      </c>
      <c r="C197" s="0" t="s">
        <v>31</v>
      </c>
      <c r="D197" s="0" t="s">
        <v>606</v>
      </c>
      <c r="E197" s="0" t="s">
        <v>607</v>
      </c>
      <c r="F197" s="0" t="s">
        <v>261</v>
      </c>
      <c r="G197" s="0" t="n">
        <f aca="false">HYPERLINK("http://clipc-services.ceda.ac.uk/dreq/u/faeffb2438794e8400143533d61d1623.html","web")</f>
        <v>0</v>
      </c>
      <c r="H197" s="0" t="s">
        <v>608</v>
      </c>
      <c r="I197" s="0" t="s">
        <v>45</v>
      </c>
      <c r="J197" s="0" t="s">
        <v>609</v>
      </c>
      <c r="K197" s="0" t="s">
        <v>589</v>
      </c>
    </row>
    <row r="198" customFormat="false" ht="15" hidden="false" customHeight="false" outlineLevel="0" collapsed="false">
      <c r="A198" s="0" t="s">
        <v>494</v>
      </c>
      <c r="B198" s="0" t="s">
        <v>610</v>
      </c>
      <c r="C198" s="0" t="s">
        <v>31</v>
      </c>
      <c r="D198" s="0" t="s">
        <v>606</v>
      </c>
      <c r="E198" s="0" t="s">
        <v>611</v>
      </c>
      <c r="F198" s="0" t="s">
        <v>261</v>
      </c>
      <c r="G198" s="0" t="n">
        <f aca="false">HYPERLINK("http://clipc-services.ceda.ac.uk/dreq/u/54bc1fc90fca4b22cd73cc18e3f6ec07.html","web")</f>
        <v>0</v>
      </c>
      <c r="H198" s="0" t="s">
        <v>612</v>
      </c>
      <c r="I198" s="0" t="s">
        <v>45</v>
      </c>
      <c r="J198" s="0" t="s">
        <v>613</v>
      </c>
      <c r="K198" s="0" t="s">
        <v>571</v>
      </c>
    </row>
    <row r="199" customFormat="false" ht="15" hidden="false" customHeight="false" outlineLevel="0" collapsed="false">
      <c r="A199" s="0" t="s">
        <v>494</v>
      </c>
      <c r="B199" s="0" t="s">
        <v>614</v>
      </c>
      <c r="C199" s="0" t="s">
        <v>31</v>
      </c>
      <c r="D199" s="0" t="s">
        <v>615</v>
      </c>
      <c r="E199" s="0" t="s">
        <v>607</v>
      </c>
      <c r="F199" s="0" t="s">
        <v>261</v>
      </c>
      <c r="G199" s="0" t="n">
        <f aca="false">HYPERLINK("http://clipc-services.ceda.ac.uk/dreq/u/fe8d7416c92bdae56503590599286800.html","web")</f>
        <v>0</v>
      </c>
      <c r="H199" s="0" t="s">
        <v>616</v>
      </c>
      <c r="I199" s="0" t="s">
        <v>617</v>
      </c>
      <c r="J199" s="0" t="s">
        <v>609</v>
      </c>
      <c r="K199" s="0" t="s">
        <v>618</v>
      </c>
    </row>
    <row r="200" customFormat="false" ht="15" hidden="false" customHeight="false" outlineLevel="0" collapsed="false">
      <c r="A200" s="0" t="s">
        <v>494</v>
      </c>
      <c r="B200" s="0" t="s">
        <v>619</v>
      </c>
      <c r="C200" s="0" t="s">
        <v>31</v>
      </c>
      <c r="D200" s="0" t="s">
        <v>615</v>
      </c>
      <c r="E200" s="0" t="s">
        <v>611</v>
      </c>
      <c r="F200" s="0" t="s">
        <v>261</v>
      </c>
      <c r="G200" s="0" t="n">
        <f aca="false">HYPERLINK("http://clipc-services.ceda.ac.uk/dreq/u/bd75f065fbaddd5d92f4767c6d6baaff.html","web")</f>
        <v>0</v>
      </c>
      <c r="H200" s="0" t="s">
        <v>612</v>
      </c>
      <c r="I200" s="0" t="s">
        <v>45</v>
      </c>
      <c r="J200" s="0" t="s">
        <v>613</v>
      </c>
      <c r="K200" s="0" t="s">
        <v>620</v>
      </c>
    </row>
    <row r="201" customFormat="false" ht="15" hidden="false" customHeight="false" outlineLevel="0" collapsed="false">
      <c r="A201" s="0" t="s">
        <v>494</v>
      </c>
      <c r="B201" s="0" t="s">
        <v>621</v>
      </c>
      <c r="C201" s="0" t="s">
        <v>31</v>
      </c>
      <c r="D201" s="0" t="s">
        <v>615</v>
      </c>
      <c r="E201" s="0" t="s">
        <v>622</v>
      </c>
      <c r="F201" s="0" t="s">
        <v>261</v>
      </c>
      <c r="G201" s="0" t="n">
        <f aca="false">HYPERLINK("http://clipc-services.ceda.ac.uk/dreq/u/136d81b44d45d8f7c549469ff69a74a7.html","web")</f>
        <v>0</v>
      </c>
      <c r="H201" s="0" t="s">
        <v>578</v>
      </c>
      <c r="I201" s="0" t="s">
        <v>45</v>
      </c>
      <c r="J201" s="0" t="s">
        <v>623</v>
      </c>
      <c r="K201" s="0" t="s">
        <v>571</v>
      </c>
    </row>
    <row r="202" customFormat="false" ht="15" hidden="false" customHeight="false" outlineLevel="0" collapsed="false">
      <c r="A202" s="0" t="s">
        <v>494</v>
      </c>
      <c r="B202" s="0" t="s">
        <v>624</v>
      </c>
      <c r="C202" s="0" t="s">
        <v>31</v>
      </c>
      <c r="D202" s="0" t="s">
        <v>625</v>
      </c>
      <c r="E202" s="0" t="s">
        <v>626</v>
      </c>
      <c r="F202" s="0" t="s">
        <v>261</v>
      </c>
      <c r="G202" s="0" t="n">
        <f aca="false">HYPERLINK("http://clipc-services.ceda.ac.uk/dreq/u/29a3aaf848070fb8ff4ecb7aa2dfa2eb.html","web")</f>
        <v>0</v>
      </c>
      <c r="H202" s="0" t="s">
        <v>627</v>
      </c>
      <c r="I202" s="0" t="s">
        <v>45</v>
      </c>
      <c r="J202" s="0" t="s">
        <v>609</v>
      </c>
      <c r="K202" s="0" t="s">
        <v>571</v>
      </c>
    </row>
    <row r="203" customFormat="false" ht="15" hidden="false" customHeight="false" outlineLevel="0" collapsed="false">
      <c r="A203" s="0" t="s">
        <v>494</v>
      </c>
      <c r="B203" s="0" t="s">
        <v>628</v>
      </c>
      <c r="C203" s="0" t="s">
        <v>31</v>
      </c>
      <c r="D203" s="0" t="s">
        <v>625</v>
      </c>
      <c r="E203" s="0" t="s">
        <v>629</v>
      </c>
      <c r="F203" s="0" t="s">
        <v>261</v>
      </c>
      <c r="G203" s="0" t="n">
        <f aca="false">HYPERLINK("http://clipc-services.ceda.ac.uk/dreq/u/66a6e45b205b239932b72fa67a6500ed.html","web")</f>
        <v>0</v>
      </c>
      <c r="H203" s="0" t="s">
        <v>612</v>
      </c>
      <c r="I203" s="0" t="s">
        <v>45</v>
      </c>
      <c r="J203" s="0" t="s">
        <v>613</v>
      </c>
      <c r="K203" s="0" t="s">
        <v>589</v>
      </c>
    </row>
    <row r="204" customFormat="false" ht="15" hidden="false" customHeight="false" outlineLevel="0" collapsed="false">
      <c r="A204" s="0" t="s">
        <v>494</v>
      </c>
      <c r="B204" s="0" t="s">
        <v>630</v>
      </c>
      <c r="C204" s="0" t="s">
        <v>31</v>
      </c>
      <c r="D204" s="0" t="s">
        <v>631</v>
      </c>
      <c r="E204" s="0" t="s">
        <v>629</v>
      </c>
      <c r="F204" s="0" t="s">
        <v>261</v>
      </c>
      <c r="G204" s="0" t="n">
        <f aca="false">HYPERLINK("http://clipc-services.ceda.ac.uk/dreq/u/481469b8223841a5382d43e7c6ae204e.html","web")</f>
        <v>0</v>
      </c>
      <c r="H204" s="0" t="s">
        <v>612</v>
      </c>
      <c r="I204" s="0" t="s">
        <v>45</v>
      </c>
      <c r="J204" s="0" t="s">
        <v>613</v>
      </c>
      <c r="K204" s="0" t="s">
        <v>571</v>
      </c>
    </row>
    <row r="205" customFormat="false" ht="15" hidden="false" customHeight="false" outlineLevel="0" collapsed="false">
      <c r="A205" s="0" t="s">
        <v>494</v>
      </c>
      <c r="B205" s="0" t="s">
        <v>632</v>
      </c>
      <c r="C205" s="0" t="s">
        <v>31</v>
      </c>
      <c r="D205" s="0" t="s">
        <v>615</v>
      </c>
      <c r="E205" s="0" t="s">
        <v>633</v>
      </c>
      <c r="F205" s="0" t="s">
        <v>261</v>
      </c>
      <c r="G205" s="0" t="n">
        <f aca="false">HYPERLINK("http://clipc-services.ceda.ac.uk/dreq/u/2ac2d8645abddc0eb9fe53a7ea680465.html","web")</f>
        <v>0</v>
      </c>
      <c r="H205" s="0" t="s">
        <v>634</v>
      </c>
      <c r="I205" s="0" t="s">
        <v>45</v>
      </c>
      <c r="J205" s="0" t="s">
        <v>623</v>
      </c>
      <c r="K205" s="0" t="s">
        <v>571</v>
      </c>
    </row>
    <row r="206" customFormat="false" ht="15" hidden="false" customHeight="false" outlineLevel="0" collapsed="false">
      <c r="A206" s="0" t="s">
        <v>494</v>
      </c>
      <c r="B206" s="0" t="s">
        <v>635</v>
      </c>
      <c r="C206" s="0" t="s">
        <v>13</v>
      </c>
      <c r="D206" s="0" t="s">
        <v>135</v>
      </c>
      <c r="E206" s="0" t="s">
        <v>636</v>
      </c>
      <c r="F206" s="0" t="s">
        <v>43</v>
      </c>
      <c r="G206" s="0" t="n">
        <f aca="false">HYPERLINK("http://clipc-services.ceda.ac.uk/dreq/u/c96daba6-c5f0-11e6-ac20-5404a60d96b5.html","web")</f>
        <v>0</v>
      </c>
      <c r="H206" s="0" t="s">
        <v>101</v>
      </c>
      <c r="I206" s="0" t="s">
        <v>45</v>
      </c>
      <c r="J206" s="0" t="s">
        <v>637</v>
      </c>
      <c r="K206" s="0" t="s">
        <v>495</v>
      </c>
    </row>
    <row r="207" customFormat="false" ht="15" hidden="false" customHeight="false" outlineLevel="0" collapsed="false">
      <c r="A207" s="0" t="s">
        <v>494</v>
      </c>
      <c r="B207" s="0" t="s">
        <v>153</v>
      </c>
      <c r="C207" s="0" t="s">
        <v>49</v>
      </c>
      <c r="D207" s="0" t="s">
        <v>41</v>
      </c>
      <c r="E207" s="0" t="s">
        <v>154</v>
      </c>
      <c r="F207" s="0" t="s">
        <v>31</v>
      </c>
      <c r="G207" s="0" t="n">
        <f aca="false">HYPERLINK("http://clipc-services.ceda.ac.uk/dreq/u/c977c2da-c5f0-11e6-ac20-5404a60d96b5.html","web")</f>
        <v>0</v>
      </c>
      <c r="H207" s="0" t="s">
        <v>101</v>
      </c>
      <c r="I207" s="0" t="s">
        <v>45</v>
      </c>
      <c r="J207" s="0" t="s">
        <v>155</v>
      </c>
      <c r="K207" s="0" t="s">
        <v>496</v>
      </c>
    </row>
    <row r="208" customFormat="false" ht="15" hidden="false" customHeight="false" outlineLevel="0" collapsed="false">
      <c r="A208" s="0" t="s">
        <v>494</v>
      </c>
      <c r="B208" s="0" t="s">
        <v>156</v>
      </c>
      <c r="C208" s="0" t="s">
        <v>49</v>
      </c>
      <c r="D208" s="0" t="s">
        <v>41</v>
      </c>
      <c r="E208" s="0" t="s">
        <v>157</v>
      </c>
      <c r="F208" s="0" t="s">
        <v>31</v>
      </c>
      <c r="G208" s="0" t="n">
        <f aca="false">HYPERLINK("http://clipc-services.ceda.ac.uk/dreq/u/c97004d2-c5f0-11e6-ac20-5404a60d96b5.html","web")</f>
        <v>0</v>
      </c>
      <c r="H208" s="0" t="s">
        <v>158</v>
      </c>
      <c r="I208" s="0" t="s">
        <v>45</v>
      </c>
      <c r="J208" s="0" t="s">
        <v>159</v>
      </c>
      <c r="K208" s="0" t="s">
        <v>496</v>
      </c>
    </row>
    <row r="209" customFormat="false" ht="15" hidden="false" customHeight="false" outlineLevel="0" collapsed="false">
      <c r="A209" s="0" t="s">
        <v>494</v>
      </c>
      <c r="B209" s="0" t="s">
        <v>160</v>
      </c>
      <c r="C209" s="0" t="s">
        <v>13</v>
      </c>
      <c r="D209" s="0" t="s">
        <v>41</v>
      </c>
      <c r="E209" s="0" t="s">
        <v>161</v>
      </c>
      <c r="F209" s="0" t="s">
        <v>43</v>
      </c>
      <c r="G209" s="0" t="n">
        <f aca="false">HYPERLINK("http://clipc-services.ceda.ac.uk/dreq/u/38c7aa97ad0f74e33dfd3f115124d04f.html","web")</f>
        <v>0</v>
      </c>
      <c r="H209" s="0" t="s">
        <v>44</v>
      </c>
      <c r="I209" s="0" t="s">
        <v>45</v>
      </c>
      <c r="J209" s="0" t="s">
        <v>162</v>
      </c>
      <c r="K209" s="0" t="s">
        <v>495</v>
      </c>
    </row>
    <row r="210" customFormat="false" ht="15" hidden="false" customHeight="false" outlineLevel="0" collapsed="false">
      <c r="A210" s="0" t="s">
        <v>494</v>
      </c>
      <c r="B210" s="0" t="s">
        <v>163</v>
      </c>
      <c r="C210" s="0" t="s">
        <v>13</v>
      </c>
      <c r="D210" s="0" t="s">
        <v>41</v>
      </c>
      <c r="E210" s="0" t="s">
        <v>164</v>
      </c>
      <c r="F210" s="0" t="s">
        <v>43</v>
      </c>
      <c r="G210" s="0" t="n">
        <f aca="false">HYPERLINK("http://clipc-services.ceda.ac.uk/dreq/u/ad7df7199759ad25164da83e37a6da17.html","web")</f>
        <v>0</v>
      </c>
      <c r="H210" s="0" t="s">
        <v>44</v>
      </c>
      <c r="I210" s="0" t="s">
        <v>45</v>
      </c>
      <c r="J210" s="0" t="s">
        <v>165</v>
      </c>
      <c r="K210" s="0" t="s">
        <v>495</v>
      </c>
    </row>
    <row r="211" customFormat="false" ht="15" hidden="false" customHeight="false" outlineLevel="0" collapsed="false">
      <c r="A211" s="0" t="s">
        <v>494</v>
      </c>
      <c r="B211" s="0" t="s">
        <v>166</v>
      </c>
      <c r="C211" s="0" t="s">
        <v>49</v>
      </c>
      <c r="D211" s="0" t="s">
        <v>41</v>
      </c>
      <c r="E211" s="0" t="s">
        <v>167</v>
      </c>
      <c r="F211" s="0" t="s">
        <v>43</v>
      </c>
      <c r="G211" s="0" t="n">
        <f aca="false">HYPERLINK("http://clipc-services.ceda.ac.uk/dreq/u/80f337469efdd0d5392ad995a90fd15c.html","web")</f>
        <v>0</v>
      </c>
      <c r="H211" s="0" t="s">
        <v>82</v>
      </c>
      <c r="I211" s="0" t="s">
        <v>83</v>
      </c>
      <c r="J211" s="0" t="s">
        <v>168</v>
      </c>
      <c r="K211" s="0" t="s">
        <v>496</v>
      </c>
    </row>
    <row r="212" customFormat="false" ht="15" hidden="false" customHeight="false" outlineLevel="0" collapsed="false">
      <c r="A212" s="0" t="s">
        <v>494</v>
      </c>
      <c r="B212" s="0" t="s">
        <v>169</v>
      </c>
      <c r="C212" s="0" t="s">
        <v>49</v>
      </c>
      <c r="D212" s="0" t="s">
        <v>41</v>
      </c>
      <c r="E212" s="0" t="s">
        <v>170</v>
      </c>
      <c r="F212" s="0" t="s">
        <v>43</v>
      </c>
      <c r="G212" s="0" t="n">
        <f aca="false">HYPERLINK("http://clipc-services.ceda.ac.uk/dreq/u/1ae710e405acc14b368f55d9205be258.html","web")</f>
        <v>0</v>
      </c>
      <c r="H212" s="0" t="s">
        <v>82</v>
      </c>
      <c r="I212" s="0" t="s">
        <v>83</v>
      </c>
      <c r="J212" s="0" t="s">
        <v>171</v>
      </c>
      <c r="K212" s="0" t="s">
        <v>496</v>
      </c>
    </row>
    <row r="213" customFormat="false" ht="15" hidden="false" customHeight="false" outlineLevel="0" collapsed="false">
      <c r="A213" s="0" t="s">
        <v>494</v>
      </c>
      <c r="B213" s="0" t="s">
        <v>172</v>
      </c>
      <c r="C213" s="0" t="s">
        <v>13</v>
      </c>
      <c r="D213" s="0" t="s">
        <v>41</v>
      </c>
      <c r="E213" s="0" t="s">
        <v>173</v>
      </c>
      <c r="F213" s="0" t="s">
        <v>43</v>
      </c>
      <c r="G213" s="0" t="n">
        <f aca="false">HYPERLINK("http://clipc-services.ceda.ac.uk/dreq/u/3aa265a13ddf4caa82a8e1e3d4482f42.html","web")</f>
        <v>0</v>
      </c>
      <c r="H213" s="0" t="s">
        <v>174</v>
      </c>
      <c r="I213" s="0" t="s">
        <v>56</v>
      </c>
      <c r="J213" s="0" t="s">
        <v>175</v>
      </c>
      <c r="K213" s="0" t="s">
        <v>523</v>
      </c>
    </row>
    <row r="214" customFormat="false" ht="15" hidden="false" customHeight="false" outlineLevel="0" collapsed="false">
      <c r="A214" s="0" t="s">
        <v>494</v>
      </c>
      <c r="B214" s="0" t="s">
        <v>176</v>
      </c>
      <c r="C214" s="0" t="s">
        <v>49</v>
      </c>
      <c r="D214" s="0" t="s">
        <v>41</v>
      </c>
      <c r="E214" s="0" t="s">
        <v>177</v>
      </c>
      <c r="F214" s="0" t="s">
        <v>43</v>
      </c>
      <c r="G214" s="0" t="n">
        <f aca="false">HYPERLINK("http://clipc-services.ceda.ac.uk/dreq/u/14e5a31ac93e26c50f8c01ed9a032168.html","web")</f>
        <v>0</v>
      </c>
      <c r="H214" s="0" t="s">
        <v>82</v>
      </c>
      <c r="I214" s="0" t="s">
        <v>83</v>
      </c>
      <c r="J214" s="0" t="s">
        <v>178</v>
      </c>
      <c r="K214" s="0" t="s">
        <v>496</v>
      </c>
    </row>
    <row r="215" customFormat="false" ht="15" hidden="false" customHeight="false" outlineLevel="0" collapsed="false">
      <c r="A215" s="0" t="s">
        <v>494</v>
      </c>
      <c r="B215" s="0" t="s">
        <v>179</v>
      </c>
      <c r="C215" s="0" t="s">
        <v>49</v>
      </c>
      <c r="D215" s="0" t="s">
        <v>41</v>
      </c>
      <c r="E215" s="0" t="s">
        <v>180</v>
      </c>
      <c r="F215" s="0" t="s">
        <v>43</v>
      </c>
      <c r="G215" s="0" t="n">
        <f aca="false">HYPERLINK("http://clipc-services.ceda.ac.uk/dreq/u/562c99ff069851867df730ed9531c796.html","web")</f>
        <v>0</v>
      </c>
      <c r="H215" s="0" t="s">
        <v>82</v>
      </c>
      <c r="I215" s="0" t="s">
        <v>83</v>
      </c>
      <c r="J215" s="0" t="s">
        <v>181</v>
      </c>
      <c r="K215" s="0" t="s">
        <v>496</v>
      </c>
    </row>
    <row r="216" customFormat="false" ht="15" hidden="false" customHeight="false" outlineLevel="0" collapsed="false">
      <c r="A216" s="0" t="s">
        <v>494</v>
      </c>
      <c r="B216" s="0" t="s">
        <v>638</v>
      </c>
      <c r="C216" s="0" t="s">
        <v>31</v>
      </c>
      <c r="D216" s="0" t="s">
        <v>135</v>
      </c>
      <c r="E216" s="0" t="s">
        <v>639</v>
      </c>
      <c r="F216" s="0" t="s">
        <v>137</v>
      </c>
      <c r="G216" s="0" t="n">
        <f aca="false">HYPERLINK("http://clipc-services.ceda.ac.uk/dreq/u/ced45b8b1f2797c54425755202dce533.html","web")</f>
        <v>0</v>
      </c>
      <c r="H216" s="0" t="s">
        <v>640</v>
      </c>
      <c r="I216" s="0" t="s">
        <v>45</v>
      </c>
      <c r="J216" s="0" t="s">
        <v>641</v>
      </c>
      <c r="K216" s="0" t="s">
        <v>512</v>
      </c>
    </row>
    <row r="217" customFormat="false" ht="15" hidden="false" customHeight="false" outlineLevel="0" collapsed="false">
      <c r="A217" s="0" t="s">
        <v>494</v>
      </c>
      <c r="B217" s="0" t="s">
        <v>642</v>
      </c>
      <c r="C217" s="0" t="s">
        <v>31</v>
      </c>
      <c r="D217" s="0" t="s">
        <v>553</v>
      </c>
      <c r="E217" s="0" t="s">
        <v>643</v>
      </c>
      <c r="F217" s="0" t="s">
        <v>219</v>
      </c>
      <c r="G217" s="0" t="n">
        <f aca="false">HYPERLINK("http://clipc-services.ceda.ac.uk/dreq/u/c972ffd4-c5f0-11e6-ac20-5404a60d96b5.html","web")</f>
        <v>0</v>
      </c>
      <c r="H217" s="0" t="s">
        <v>101</v>
      </c>
      <c r="I217" s="0" t="s">
        <v>45</v>
      </c>
      <c r="J217" s="0" t="s">
        <v>644</v>
      </c>
      <c r="K217" s="0" t="s">
        <v>495</v>
      </c>
    </row>
    <row r="218" customFormat="false" ht="15" hidden="false" customHeight="false" outlineLevel="0" collapsed="false">
      <c r="A218" s="0" t="s">
        <v>494</v>
      </c>
      <c r="B218" s="0" t="s">
        <v>645</v>
      </c>
      <c r="C218" s="0" t="s">
        <v>31</v>
      </c>
      <c r="D218" s="0" t="s">
        <v>553</v>
      </c>
      <c r="E218" s="0" t="s">
        <v>646</v>
      </c>
      <c r="F218" s="0" t="s">
        <v>219</v>
      </c>
      <c r="G218" s="0" t="n">
        <f aca="false">HYPERLINK("http://clipc-services.ceda.ac.uk/dreq/u/c972f264-c5f0-11e6-ac20-5404a60d96b5.html","web")</f>
        <v>0</v>
      </c>
      <c r="H218" s="0" t="s">
        <v>647</v>
      </c>
      <c r="I218" s="0" t="s">
        <v>45</v>
      </c>
      <c r="J218" s="0" t="s">
        <v>648</v>
      </c>
      <c r="K218" s="0" t="s">
        <v>495</v>
      </c>
    </row>
    <row r="219" customFormat="false" ht="15" hidden="false" customHeight="false" outlineLevel="0" collapsed="false">
      <c r="A219" s="0" t="s">
        <v>494</v>
      </c>
      <c r="B219" s="0" t="s">
        <v>197</v>
      </c>
      <c r="C219" s="0" t="s">
        <v>49</v>
      </c>
      <c r="D219" s="0" t="s">
        <v>41</v>
      </c>
      <c r="E219" s="0" t="s">
        <v>198</v>
      </c>
      <c r="F219" s="0" t="s">
        <v>43</v>
      </c>
      <c r="G219" s="0" t="n">
        <f aca="false">HYPERLINK("http://clipc-services.ceda.ac.uk/dreq/u/ba20ea537eb672813c5a364655855b38.html","web")</f>
        <v>0</v>
      </c>
      <c r="H219" s="0" t="s">
        <v>174</v>
      </c>
      <c r="I219" s="0" t="s">
        <v>83</v>
      </c>
      <c r="J219" s="0" t="s">
        <v>199</v>
      </c>
      <c r="K219" s="0" t="s">
        <v>505</v>
      </c>
    </row>
    <row r="220" customFormat="false" ht="15" hidden="false" customHeight="false" outlineLevel="0" collapsed="false">
      <c r="A220" s="0" t="s">
        <v>494</v>
      </c>
      <c r="B220" s="0" t="s">
        <v>649</v>
      </c>
      <c r="C220" s="0" t="s">
        <v>31</v>
      </c>
      <c r="D220" s="0" t="s">
        <v>135</v>
      </c>
      <c r="E220" s="0" t="s">
        <v>650</v>
      </c>
      <c r="F220" s="0" t="s">
        <v>651</v>
      </c>
      <c r="G220" s="0" t="n">
        <f aca="false">HYPERLINK("http://clipc-services.ceda.ac.uk/dreq/u/06942529e05aac1e9a39ca1f5737af2f.html","web")</f>
        <v>0</v>
      </c>
      <c r="H220" s="0" t="s">
        <v>203</v>
      </c>
      <c r="I220" s="0" t="s">
        <v>45</v>
      </c>
      <c r="J220" s="0" t="s">
        <v>652</v>
      </c>
      <c r="K220" s="0" t="s">
        <v>523</v>
      </c>
    </row>
    <row r="221" customFormat="false" ht="15" hidden="false" customHeight="false" outlineLevel="0" collapsed="false">
      <c r="A221" s="0" t="s">
        <v>494</v>
      </c>
      <c r="B221" s="0" t="s">
        <v>653</v>
      </c>
      <c r="C221" s="0" t="s">
        <v>31</v>
      </c>
      <c r="D221" s="0" t="s">
        <v>135</v>
      </c>
      <c r="E221" s="0" t="s">
        <v>654</v>
      </c>
      <c r="F221" s="0" t="s">
        <v>651</v>
      </c>
      <c r="G221" s="0" t="n">
        <f aca="false">HYPERLINK("http://clipc-services.ceda.ac.uk/dreq/u/ab495084beb82a29c24bf6c226fd0e57.html","web")</f>
        <v>0</v>
      </c>
      <c r="H221" s="0" t="s">
        <v>203</v>
      </c>
      <c r="I221" s="0" t="s">
        <v>45</v>
      </c>
      <c r="J221" s="0" t="s">
        <v>652</v>
      </c>
      <c r="K221" s="0" t="s">
        <v>523</v>
      </c>
    </row>
    <row r="222" customFormat="false" ht="15" hidden="false" customHeight="false" outlineLevel="0" collapsed="false">
      <c r="A222" s="0" t="s">
        <v>494</v>
      </c>
      <c r="B222" s="0" t="s">
        <v>200</v>
      </c>
      <c r="C222" s="0" t="s">
        <v>31</v>
      </c>
      <c r="D222" s="0" t="s">
        <v>41</v>
      </c>
      <c r="E222" s="0" t="s">
        <v>201</v>
      </c>
      <c r="F222" s="0" t="s">
        <v>202</v>
      </c>
      <c r="G222" s="0" t="n">
        <f aca="false">HYPERLINK("http://clipc-services.ceda.ac.uk/dreq/u/4c69515bfc84c5cb5624e94228f58351.html","web")</f>
        <v>0</v>
      </c>
      <c r="H222" s="0" t="s">
        <v>203</v>
      </c>
      <c r="I222" s="0" t="s">
        <v>45</v>
      </c>
      <c r="J222" s="0" t="s">
        <v>204</v>
      </c>
      <c r="K222" s="0" t="s">
        <v>655</v>
      </c>
    </row>
    <row r="223" customFormat="false" ht="15" hidden="false" customHeight="false" outlineLevel="0" collapsed="false">
      <c r="A223" s="0" t="s">
        <v>494</v>
      </c>
      <c r="B223" s="0" t="s">
        <v>656</v>
      </c>
      <c r="C223" s="0" t="s">
        <v>13</v>
      </c>
      <c r="D223" s="0" t="s">
        <v>135</v>
      </c>
      <c r="E223" s="0" t="s">
        <v>657</v>
      </c>
      <c r="F223" s="0" t="s">
        <v>137</v>
      </c>
      <c r="G223" s="0" t="n">
        <f aca="false">HYPERLINK("http://clipc-services.ceda.ac.uk/dreq/u/f45dc6b68a774051705e099da83e79cf.html","web")</f>
        <v>0</v>
      </c>
      <c r="H223" s="0" t="s">
        <v>174</v>
      </c>
      <c r="I223" s="0" t="s">
        <v>83</v>
      </c>
      <c r="J223" s="0" t="s">
        <v>658</v>
      </c>
      <c r="K223" s="0" t="s">
        <v>659</v>
      </c>
    </row>
    <row r="224" customFormat="false" ht="15" hidden="false" customHeight="false" outlineLevel="0" collapsed="false">
      <c r="A224" s="0" t="s">
        <v>494</v>
      </c>
      <c r="B224" s="0" t="s">
        <v>660</v>
      </c>
      <c r="C224" s="0" t="s">
        <v>13</v>
      </c>
      <c r="D224" s="0" t="s">
        <v>135</v>
      </c>
      <c r="E224" s="0" t="s">
        <v>661</v>
      </c>
      <c r="F224" s="0" t="s">
        <v>137</v>
      </c>
      <c r="G224" s="0" t="n">
        <f aca="false">HYPERLINK("http://clipc-services.ceda.ac.uk/dreq/u/87fbc4126ce4daecf084edf9ad1f4aaf.html","web")</f>
        <v>0</v>
      </c>
      <c r="H224" s="0" t="s">
        <v>44</v>
      </c>
      <c r="I224" s="0" t="s">
        <v>45</v>
      </c>
      <c r="J224" s="0" t="s">
        <v>658</v>
      </c>
      <c r="K224" s="0" t="s">
        <v>523</v>
      </c>
    </row>
    <row r="225" customFormat="false" ht="15" hidden="false" customHeight="false" outlineLevel="0" collapsed="false">
      <c r="A225" s="0" t="s">
        <v>494</v>
      </c>
      <c r="B225" s="0" t="s">
        <v>662</v>
      </c>
      <c r="C225" s="0" t="s">
        <v>13</v>
      </c>
      <c r="D225" s="0" t="s">
        <v>135</v>
      </c>
      <c r="E225" s="0" t="s">
        <v>663</v>
      </c>
      <c r="F225" s="0" t="s">
        <v>137</v>
      </c>
      <c r="G225" s="0" t="n">
        <f aca="false">HYPERLINK("http://clipc-services.ceda.ac.uk/dreq/u/b76d616f8f03bb60a0dffa023dfd0525.html","web")</f>
        <v>0</v>
      </c>
      <c r="H225" s="0" t="s">
        <v>174</v>
      </c>
      <c r="I225" s="0" t="s">
        <v>83</v>
      </c>
      <c r="J225" s="0" t="s">
        <v>664</v>
      </c>
      <c r="K225" s="0" t="s">
        <v>523</v>
      </c>
    </row>
    <row r="226" customFormat="false" ht="15" hidden="false" customHeight="false" outlineLevel="0" collapsed="false">
      <c r="A226" s="0" t="s">
        <v>494</v>
      </c>
      <c r="B226" s="0" t="s">
        <v>665</v>
      </c>
      <c r="C226" s="0" t="s">
        <v>13</v>
      </c>
      <c r="D226" s="0" t="s">
        <v>135</v>
      </c>
      <c r="E226" s="0" t="s">
        <v>666</v>
      </c>
      <c r="F226" s="0" t="s">
        <v>137</v>
      </c>
      <c r="G226" s="0" t="n">
        <f aca="false">HYPERLINK("http://clipc-services.ceda.ac.uk/dreq/u/7002f5a3bc5218f16a39f3dfabf42244.html","web")</f>
        <v>0</v>
      </c>
      <c r="H226" s="0" t="s">
        <v>174</v>
      </c>
      <c r="I226" s="0" t="s">
        <v>83</v>
      </c>
      <c r="J226" s="0" t="s">
        <v>664</v>
      </c>
      <c r="K226" s="0" t="s">
        <v>523</v>
      </c>
    </row>
    <row r="227" customFormat="false" ht="15" hidden="false" customHeight="false" outlineLevel="0" collapsed="false">
      <c r="A227" s="0" t="s">
        <v>494</v>
      </c>
      <c r="B227" s="0" t="s">
        <v>667</v>
      </c>
      <c r="C227" s="0" t="s">
        <v>13</v>
      </c>
      <c r="D227" s="0" t="s">
        <v>135</v>
      </c>
      <c r="E227" s="0" t="s">
        <v>668</v>
      </c>
      <c r="F227" s="0" t="s">
        <v>137</v>
      </c>
      <c r="G227" s="0" t="n">
        <f aca="false">HYPERLINK("http://clipc-services.ceda.ac.uk/dreq/u/86e9eba62a2d7875705086a75ba7f78c.html","web")</f>
        <v>0</v>
      </c>
      <c r="H227" s="0" t="s">
        <v>174</v>
      </c>
      <c r="I227" s="0" t="s">
        <v>83</v>
      </c>
      <c r="J227" s="0" t="s">
        <v>664</v>
      </c>
      <c r="K227" s="0" t="s">
        <v>523</v>
      </c>
    </row>
    <row r="228" customFormat="false" ht="15" hidden="false" customHeight="false" outlineLevel="0" collapsed="false">
      <c r="A228" s="0" t="s">
        <v>494</v>
      </c>
      <c r="B228" s="0" t="s">
        <v>244</v>
      </c>
      <c r="C228" s="0" t="s">
        <v>31</v>
      </c>
      <c r="D228" s="0" t="s">
        <v>41</v>
      </c>
      <c r="E228" s="0" t="s">
        <v>245</v>
      </c>
      <c r="F228" s="0" t="s">
        <v>24</v>
      </c>
      <c r="G228" s="0" t="n">
        <f aca="false">HYPERLINK("http://clipc-services.ceda.ac.uk/dreq/u/44471dd9799293cef70ac63fcdd2476e.html","web")</f>
        <v>0</v>
      </c>
      <c r="I228" s="0" t="s">
        <v>26</v>
      </c>
      <c r="J228" s="0" t="s">
        <v>246</v>
      </c>
      <c r="K228" s="0" t="s">
        <v>669</v>
      </c>
    </row>
    <row r="229" customFormat="false" ht="15" hidden="false" customHeight="false" outlineLevel="0" collapsed="false">
      <c r="A229" s="0" t="s">
        <v>494</v>
      </c>
      <c r="B229" s="0" t="s">
        <v>205</v>
      </c>
      <c r="C229" s="0" t="s">
        <v>13</v>
      </c>
      <c r="D229" s="0" t="s">
        <v>41</v>
      </c>
      <c r="E229" s="0" t="s">
        <v>206</v>
      </c>
      <c r="F229" s="0" t="s">
        <v>43</v>
      </c>
      <c r="G229" s="0" t="n">
        <f aca="false">HYPERLINK("http://clipc-services.ceda.ac.uk/dreq/u/c9776970-c5f0-11e6-ac20-5404a60d96b5.html","web")</f>
        <v>0</v>
      </c>
      <c r="H229" s="0" t="s">
        <v>44</v>
      </c>
      <c r="I229" s="0" t="s">
        <v>45</v>
      </c>
      <c r="J229" s="0" t="s">
        <v>207</v>
      </c>
      <c r="K229" s="0" t="s">
        <v>495</v>
      </c>
    </row>
    <row r="230" customFormat="false" ht="15" hidden="false" customHeight="false" outlineLevel="0" collapsed="false">
      <c r="A230" s="0" t="s">
        <v>494</v>
      </c>
      <c r="B230" s="0" t="s">
        <v>670</v>
      </c>
      <c r="C230" s="0" t="s">
        <v>49</v>
      </c>
      <c r="D230" s="0" t="s">
        <v>135</v>
      </c>
      <c r="E230" s="0" t="s">
        <v>671</v>
      </c>
      <c r="F230" s="0" t="s">
        <v>24</v>
      </c>
      <c r="G230" s="0" t="n">
        <f aca="false">HYPERLINK("http://clipc-services.ceda.ac.uk/dreq/u/f4b0302d898785a6003754fe9b097690.html","web")</f>
        <v>0</v>
      </c>
      <c r="H230" s="0" t="s">
        <v>174</v>
      </c>
      <c r="I230" s="0" t="s">
        <v>56</v>
      </c>
      <c r="J230" s="0" t="s">
        <v>672</v>
      </c>
      <c r="K230" s="0" t="s">
        <v>673</v>
      </c>
    </row>
    <row r="231" customFormat="false" ht="15" hidden="false" customHeight="false" outlineLevel="0" collapsed="false">
      <c r="A231" s="0" t="s">
        <v>494</v>
      </c>
      <c r="B231" s="0" t="s">
        <v>674</v>
      </c>
      <c r="C231" s="0" t="s">
        <v>49</v>
      </c>
      <c r="D231" s="0" t="s">
        <v>135</v>
      </c>
      <c r="E231" s="0" t="s">
        <v>675</v>
      </c>
      <c r="F231" s="0" t="s">
        <v>24</v>
      </c>
      <c r="G231" s="0" t="n">
        <f aca="false">HYPERLINK("http://clipc-services.ceda.ac.uk/dreq/u/7324bbd4b756759ef380f305fe5856b2.html","web")</f>
        <v>0</v>
      </c>
      <c r="H231" s="0" t="s">
        <v>174</v>
      </c>
      <c r="I231" s="0" t="s">
        <v>56</v>
      </c>
      <c r="J231" s="0" t="s">
        <v>676</v>
      </c>
      <c r="K231" s="0" t="s">
        <v>673</v>
      </c>
    </row>
    <row r="232" customFormat="false" ht="15" hidden="false" customHeight="false" outlineLevel="0" collapsed="false"/>
    <row r="233" customFormat="false" ht="15" hidden="false" customHeight="false" outlineLevel="0" collapsed="false">
      <c r="A233" s="0" t="s">
        <v>677</v>
      </c>
      <c r="B233" s="0" t="s">
        <v>249</v>
      </c>
      <c r="C233" s="0" t="s">
        <v>13</v>
      </c>
      <c r="D233" s="0" t="s">
        <v>250</v>
      </c>
      <c r="E233" s="0" t="s">
        <v>251</v>
      </c>
      <c r="F233" s="0" t="s">
        <v>252</v>
      </c>
      <c r="G233" s="0" t="n">
        <f aca="false">HYPERLINK("http://clipc-services.ceda.ac.uk/dreq/u/9522ca96d0b066ebe8defd5541de0582.html","web")</f>
        <v>0</v>
      </c>
      <c r="H233" s="0" t="s">
        <v>253</v>
      </c>
      <c r="I233" s="0" t="s">
        <v>36</v>
      </c>
      <c r="J233" s="0" t="s">
        <v>254</v>
      </c>
      <c r="K233" s="0" t="s">
        <v>678</v>
      </c>
    </row>
    <row r="234" customFormat="false" ht="15" hidden="false" customHeight="false" outlineLevel="0" collapsed="false">
      <c r="A234" s="0" t="s">
        <v>677</v>
      </c>
      <c r="B234" s="0" t="s">
        <v>256</v>
      </c>
      <c r="C234" s="0" t="s">
        <v>31</v>
      </c>
      <c r="D234" s="0" t="s">
        <v>250</v>
      </c>
      <c r="E234" s="0" t="s">
        <v>257</v>
      </c>
      <c r="F234" s="0" t="s">
        <v>252</v>
      </c>
      <c r="G234" s="0" t="n">
        <f aca="false">HYPERLINK("http://clipc-services.ceda.ac.uk/dreq/u/85631e0f7a8fdcb10737a525f4134181.html","web")</f>
        <v>0</v>
      </c>
      <c r="H234" s="0" t="s">
        <v>253</v>
      </c>
      <c r="I234" s="0" t="s">
        <v>36</v>
      </c>
      <c r="J234" s="0" t="s">
        <v>258</v>
      </c>
      <c r="K234" s="0" t="s">
        <v>678</v>
      </c>
    </row>
    <row r="235" customFormat="false" ht="15" hidden="false" customHeight="false" outlineLevel="0" collapsed="false">
      <c r="A235" s="0" t="s">
        <v>677</v>
      </c>
      <c r="B235" s="0" t="s">
        <v>679</v>
      </c>
      <c r="C235" s="0" t="s">
        <v>31</v>
      </c>
      <c r="D235" s="0" t="s">
        <v>250</v>
      </c>
      <c r="E235" s="0" t="s">
        <v>680</v>
      </c>
      <c r="F235" s="0" t="s">
        <v>357</v>
      </c>
      <c r="G235" s="0" t="n">
        <f aca="false">HYPERLINK("http://clipc-services.ceda.ac.uk/dreq/u/59137d56-9e49-11e5-803c-0d0b866b59f3.html","web")</f>
        <v>0</v>
      </c>
      <c r="H235" s="0" t="s">
        <v>681</v>
      </c>
      <c r="I235" s="0" t="s">
        <v>36</v>
      </c>
      <c r="J235" s="0" t="s">
        <v>682</v>
      </c>
      <c r="K235" s="0" t="s">
        <v>683</v>
      </c>
    </row>
    <row r="236" customFormat="false" ht="15" hidden="false" customHeight="false" outlineLevel="0" collapsed="false">
      <c r="A236" s="0" t="s">
        <v>677</v>
      </c>
      <c r="B236" s="0" t="s">
        <v>684</v>
      </c>
      <c r="C236" s="0" t="s">
        <v>31</v>
      </c>
      <c r="D236" s="0" t="s">
        <v>250</v>
      </c>
      <c r="E236" s="0" t="s">
        <v>685</v>
      </c>
      <c r="F236" s="0" t="s">
        <v>357</v>
      </c>
      <c r="G236" s="0" t="n">
        <f aca="false">HYPERLINK("http://clipc-services.ceda.ac.uk/dreq/u/59137fd6-9e49-11e5-803c-0d0b866b59f3.html","web")</f>
        <v>0</v>
      </c>
      <c r="H236" s="0" t="s">
        <v>686</v>
      </c>
      <c r="I236" s="0" t="s">
        <v>36</v>
      </c>
      <c r="J236" s="0" t="s">
        <v>687</v>
      </c>
      <c r="K236" s="0" t="s">
        <v>683</v>
      </c>
    </row>
    <row r="237" customFormat="false" ht="15" hidden="false" customHeight="false" outlineLevel="0" collapsed="false">
      <c r="A237" s="0" t="s">
        <v>677</v>
      </c>
      <c r="B237" s="0" t="s">
        <v>688</v>
      </c>
      <c r="C237" s="0" t="s">
        <v>31</v>
      </c>
      <c r="D237" s="0" t="s">
        <v>250</v>
      </c>
      <c r="E237" s="0" t="s">
        <v>689</v>
      </c>
      <c r="F237" s="0" t="s">
        <v>54</v>
      </c>
      <c r="G237" s="0" t="n">
        <f aca="false">HYPERLINK("http://clipc-services.ceda.ac.uk/dreq/u/590db8c6-9e49-11e5-803c-0d0b866b59f3.html","web")</f>
        <v>0</v>
      </c>
      <c r="H237" s="0" t="s">
        <v>681</v>
      </c>
      <c r="I237" s="0" t="s">
        <v>36</v>
      </c>
      <c r="J237" s="0" t="s">
        <v>690</v>
      </c>
      <c r="K237" s="0" t="s">
        <v>683</v>
      </c>
    </row>
    <row r="238" customFormat="false" ht="15" hidden="false" customHeight="false" outlineLevel="0" collapsed="false">
      <c r="A238" s="0" t="s">
        <v>677</v>
      </c>
      <c r="B238" s="0" t="s">
        <v>691</v>
      </c>
      <c r="C238" s="0" t="s">
        <v>31</v>
      </c>
      <c r="D238" s="0" t="s">
        <v>250</v>
      </c>
      <c r="E238" s="0" t="s">
        <v>692</v>
      </c>
      <c r="F238" s="0" t="s">
        <v>54</v>
      </c>
      <c r="G238" s="0" t="n">
        <f aca="false">HYPERLINK("http://clipc-services.ceda.ac.uk/dreq/u/5917ff52-9e49-11e5-803c-0d0b866b59f3.html","web")</f>
        <v>0</v>
      </c>
      <c r="H238" s="0" t="s">
        <v>681</v>
      </c>
      <c r="I238" s="0" t="s">
        <v>36</v>
      </c>
      <c r="J238" s="0" t="s">
        <v>693</v>
      </c>
      <c r="K238" s="0" t="s">
        <v>683</v>
      </c>
    </row>
    <row r="239" customFormat="false" ht="15" hidden="false" customHeight="false" outlineLevel="0" collapsed="false">
      <c r="A239" s="0" t="s">
        <v>677</v>
      </c>
      <c r="B239" s="0" t="s">
        <v>376</v>
      </c>
      <c r="C239" s="0" t="s">
        <v>31</v>
      </c>
      <c r="D239" s="0" t="s">
        <v>250</v>
      </c>
      <c r="E239" s="0" t="s">
        <v>377</v>
      </c>
      <c r="F239" s="0" t="s">
        <v>370</v>
      </c>
      <c r="G239" s="0" t="n">
        <f aca="false">HYPERLINK("http://clipc-services.ceda.ac.uk/dreq/u/621681bc7c376de66228fdde13b97516.html","web")</f>
        <v>0</v>
      </c>
      <c r="H239" s="0" t="s">
        <v>378</v>
      </c>
      <c r="I239" s="0" t="s">
        <v>36</v>
      </c>
      <c r="J239" s="0" t="s">
        <v>379</v>
      </c>
      <c r="K239" s="0" t="s">
        <v>694</v>
      </c>
    </row>
    <row r="240" customFormat="false" ht="15" hidden="false" customHeight="false" outlineLevel="0" collapsed="false">
      <c r="A240" s="0" t="s">
        <v>677</v>
      </c>
      <c r="B240" s="0" t="s">
        <v>695</v>
      </c>
      <c r="C240" s="0" t="s">
        <v>49</v>
      </c>
      <c r="D240" s="0" t="s">
        <v>250</v>
      </c>
      <c r="E240" s="0" t="s">
        <v>696</v>
      </c>
      <c r="F240" s="0" t="s">
        <v>370</v>
      </c>
      <c r="G240" s="0" t="n">
        <f aca="false">HYPERLINK("http://clipc-services.ceda.ac.uk/dreq/u/5917483c-9e49-11e5-803c-0d0b866b59f3.html","web")</f>
        <v>0</v>
      </c>
      <c r="H240" s="0" t="s">
        <v>697</v>
      </c>
      <c r="I240" s="0" t="s">
        <v>36</v>
      </c>
      <c r="J240" s="0" t="s">
        <v>698</v>
      </c>
      <c r="K240" s="0" t="s">
        <v>694</v>
      </c>
    </row>
    <row r="241" customFormat="false" ht="15" hidden="false" customHeight="false" outlineLevel="0" collapsed="false">
      <c r="A241" s="0" t="s">
        <v>677</v>
      </c>
      <c r="B241" s="0" t="s">
        <v>699</v>
      </c>
      <c r="C241" s="0" t="s">
        <v>31</v>
      </c>
      <c r="D241" s="0" t="s">
        <v>250</v>
      </c>
      <c r="E241" s="0" t="s">
        <v>700</v>
      </c>
      <c r="F241" s="0" t="s">
        <v>370</v>
      </c>
      <c r="G241" s="0" t="n">
        <f aca="false">HYPERLINK("http://clipc-services.ceda.ac.uk/dreq/u/59170a02-9e49-11e5-803c-0d0b866b59f3.html","web")</f>
        <v>0</v>
      </c>
      <c r="H241" s="0" t="s">
        <v>253</v>
      </c>
      <c r="I241" s="0" t="s">
        <v>226</v>
      </c>
      <c r="J241" s="0" t="s">
        <v>701</v>
      </c>
      <c r="K241" s="0" t="s">
        <v>694</v>
      </c>
    </row>
    <row r="242" customFormat="false" ht="15" hidden="false" customHeight="false" outlineLevel="0" collapsed="false">
      <c r="A242" s="0" t="s">
        <v>677</v>
      </c>
      <c r="B242" s="0" t="s">
        <v>702</v>
      </c>
      <c r="C242" s="0" t="s">
        <v>49</v>
      </c>
      <c r="D242" s="0" t="s">
        <v>250</v>
      </c>
      <c r="E242" s="0" t="s">
        <v>703</v>
      </c>
      <c r="F242" s="0" t="s">
        <v>370</v>
      </c>
      <c r="G242" s="0" t="n">
        <f aca="false">HYPERLINK("http://clipc-services.ceda.ac.uk/dreq/u/59173c0c-9e49-11e5-803c-0d0b866b59f3.html","web")</f>
        <v>0</v>
      </c>
      <c r="H242" s="0" t="s">
        <v>697</v>
      </c>
      <c r="I242" s="0" t="s">
        <v>36</v>
      </c>
      <c r="J242" s="0" t="s">
        <v>704</v>
      </c>
      <c r="K242" s="0" t="s">
        <v>694</v>
      </c>
    </row>
    <row r="243" customFormat="false" ht="15" hidden="false" customHeight="false" outlineLevel="0" collapsed="false">
      <c r="A243" s="0" t="s">
        <v>677</v>
      </c>
      <c r="B243" s="0" t="s">
        <v>705</v>
      </c>
      <c r="C243" s="0" t="s">
        <v>31</v>
      </c>
      <c r="D243" s="0" t="s">
        <v>250</v>
      </c>
      <c r="E243" s="0" t="s">
        <v>706</v>
      </c>
      <c r="F243" s="0" t="s">
        <v>370</v>
      </c>
      <c r="G243" s="0" t="n">
        <f aca="false">HYPERLINK("http://clipc-services.ceda.ac.uk/dreq/u/5913d86e-9e49-11e5-803c-0d0b866b59f3.html","web")</f>
        <v>0</v>
      </c>
      <c r="H243" s="0" t="s">
        <v>253</v>
      </c>
      <c r="I243" s="0" t="s">
        <v>226</v>
      </c>
      <c r="J243" s="0" t="s">
        <v>707</v>
      </c>
      <c r="K243" s="0" t="s">
        <v>694</v>
      </c>
    </row>
    <row r="244" customFormat="false" ht="15" hidden="false" customHeight="false" outlineLevel="0" collapsed="false">
      <c r="A244" s="0" t="s">
        <v>677</v>
      </c>
      <c r="B244" s="0" t="s">
        <v>708</v>
      </c>
      <c r="C244" s="0" t="s">
        <v>31</v>
      </c>
      <c r="D244" s="0" t="s">
        <v>250</v>
      </c>
      <c r="E244" s="0" t="s">
        <v>709</v>
      </c>
      <c r="F244" s="0" t="s">
        <v>370</v>
      </c>
      <c r="G244" s="0" t="n">
        <f aca="false">HYPERLINK("http://clipc-services.ceda.ac.uk/dreq/u/5913d602-9e49-11e5-803c-0d0b866b59f3.html","web")</f>
        <v>0</v>
      </c>
      <c r="H244" s="0" t="s">
        <v>253</v>
      </c>
      <c r="I244" s="0" t="s">
        <v>226</v>
      </c>
      <c r="J244" s="0" t="s">
        <v>710</v>
      </c>
      <c r="K244" s="0" t="s">
        <v>694</v>
      </c>
    </row>
    <row r="245" customFormat="false" ht="15" hidden="false" customHeight="false" outlineLevel="0" collapsed="false">
      <c r="A245" s="0" t="s">
        <v>677</v>
      </c>
      <c r="B245" s="0" t="s">
        <v>263</v>
      </c>
      <c r="C245" s="0" t="s">
        <v>13</v>
      </c>
      <c r="D245" s="0" t="s">
        <v>250</v>
      </c>
      <c r="E245" s="0" t="s">
        <v>264</v>
      </c>
      <c r="F245" s="0" t="s">
        <v>265</v>
      </c>
      <c r="G245" s="0" t="n">
        <f aca="false">HYPERLINK("http://clipc-services.ceda.ac.uk/dreq/u/590fa2bc-9e49-11e5-803c-0d0b866b59f3.html","web")</f>
        <v>0</v>
      </c>
      <c r="H245" s="0" t="s">
        <v>253</v>
      </c>
      <c r="I245" s="0" t="s">
        <v>36</v>
      </c>
      <c r="J245" s="0" t="s">
        <v>266</v>
      </c>
      <c r="K245" s="0" t="s">
        <v>678</v>
      </c>
    </row>
    <row r="246" customFormat="false" ht="15" hidden="false" customHeight="false" outlineLevel="0" collapsed="false">
      <c r="A246" s="0" t="s">
        <v>677</v>
      </c>
      <c r="B246" s="0" t="s">
        <v>267</v>
      </c>
      <c r="C246" s="0" t="s">
        <v>13</v>
      </c>
      <c r="D246" s="0" t="s">
        <v>250</v>
      </c>
      <c r="E246" s="0" t="s">
        <v>268</v>
      </c>
      <c r="F246" s="0" t="s">
        <v>265</v>
      </c>
      <c r="G246" s="0" t="n">
        <f aca="false">HYPERLINK("http://clipc-services.ceda.ac.uk/dreq/u/590e85a8-9e49-11e5-803c-0d0b866b59f3.html","web")</f>
        <v>0</v>
      </c>
      <c r="H246" s="0" t="s">
        <v>269</v>
      </c>
      <c r="I246" s="0" t="s">
        <v>36</v>
      </c>
      <c r="J246" s="0" t="s">
        <v>270</v>
      </c>
      <c r="K246" s="0" t="s">
        <v>711</v>
      </c>
    </row>
    <row r="247" customFormat="false" ht="15" hidden="false" customHeight="false" outlineLevel="0" collapsed="false">
      <c r="A247" s="0" t="s">
        <v>677</v>
      </c>
      <c r="B247" s="0" t="s">
        <v>712</v>
      </c>
      <c r="C247" s="0" t="s">
        <v>31</v>
      </c>
      <c r="D247" s="0" t="s">
        <v>250</v>
      </c>
      <c r="E247" s="0" t="s">
        <v>713</v>
      </c>
      <c r="F247" s="0" t="s">
        <v>714</v>
      </c>
      <c r="G247" s="0" t="n">
        <f aca="false">HYPERLINK("http://clipc-services.ceda.ac.uk/dreq/u/e51c1fc2-00a7-11e6-a8a4-5404a60d96b5.html","web")</f>
        <v>0</v>
      </c>
      <c r="H247" s="0" t="s">
        <v>681</v>
      </c>
      <c r="I247" s="0" t="s">
        <v>36</v>
      </c>
      <c r="J247" s="0" t="s">
        <v>715</v>
      </c>
      <c r="K247" s="0" t="s">
        <v>683</v>
      </c>
    </row>
    <row r="248" customFormat="false" ht="15" hidden="false" customHeight="false" outlineLevel="0" collapsed="false">
      <c r="A248" s="0" t="s">
        <v>677</v>
      </c>
      <c r="B248" s="0" t="s">
        <v>281</v>
      </c>
      <c r="C248" s="0" t="s">
        <v>13</v>
      </c>
      <c r="D248" s="0" t="s">
        <v>250</v>
      </c>
      <c r="E248" s="0" t="s">
        <v>282</v>
      </c>
      <c r="F248" s="0" t="s">
        <v>283</v>
      </c>
      <c r="G248" s="0" t="n">
        <f aca="false">HYPERLINK("http://clipc-services.ceda.ac.uk/dreq/u/ba7be4134a9cf4838434bf204d80b903.html","web")</f>
        <v>0</v>
      </c>
      <c r="H248" s="0" t="s">
        <v>253</v>
      </c>
      <c r="I248" s="0" t="s">
        <v>36</v>
      </c>
      <c r="J248" s="0" t="s">
        <v>284</v>
      </c>
      <c r="K248" s="0" t="s">
        <v>678</v>
      </c>
    </row>
    <row r="249" customFormat="false" ht="15" hidden="false" customHeight="false" outlineLevel="0" collapsed="false">
      <c r="A249" s="0" t="s">
        <v>677</v>
      </c>
      <c r="B249" s="0" t="s">
        <v>285</v>
      </c>
      <c r="C249" s="0" t="s">
        <v>13</v>
      </c>
      <c r="D249" s="0" t="s">
        <v>250</v>
      </c>
      <c r="E249" s="0" t="s">
        <v>286</v>
      </c>
      <c r="F249" s="0" t="s">
        <v>283</v>
      </c>
      <c r="G249" s="0" t="n">
        <f aca="false">HYPERLINK("http://clipc-services.ceda.ac.uk/dreq/u/c64364df884a3cebaa7aebb664260776.html","web")</f>
        <v>0</v>
      </c>
      <c r="H249" s="0" t="s">
        <v>253</v>
      </c>
      <c r="I249" s="0" t="s">
        <v>36</v>
      </c>
      <c r="J249" s="0" t="s">
        <v>287</v>
      </c>
      <c r="K249" s="0" t="s">
        <v>678</v>
      </c>
    </row>
    <row r="250" customFormat="false" ht="15" hidden="false" customHeight="false" outlineLevel="0" collapsed="false">
      <c r="A250" s="0" t="s">
        <v>677</v>
      </c>
      <c r="B250" s="0" t="s">
        <v>716</v>
      </c>
      <c r="C250" s="0" t="s">
        <v>31</v>
      </c>
      <c r="D250" s="0" t="s">
        <v>250</v>
      </c>
      <c r="E250" s="0" t="s">
        <v>717</v>
      </c>
      <c r="F250" s="0" t="s">
        <v>370</v>
      </c>
      <c r="G250" s="0" t="n">
        <f aca="false">HYPERLINK("http://clipc-services.ceda.ac.uk/dreq/u/00efa75221917486576896481325ce2f.html","web")</f>
        <v>0</v>
      </c>
      <c r="H250" s="0" t="s">
        <v>718</v>
      </c>
      <c r="I250" s="0" t="s">
        <v>36</v>
      </c>
      <c r="J250" s="0" t="s">
        <v>719</v>
      </c>
      <c r="K250" s="0" t="s">
        <v>683</v>
      </c>
    </row>
    <row r="251" customFormat="false" ht="15" hidden="false" customHeight="false" outlineLevel="0" collapsed="false"/>
    <row r="252" customFormat="false" ht="15" hidden="false" customHeight="false" outlineLevel="0" collapsed="false">
      <c r="A252" s="0" t="s">
        <v>720</v>
      </c>
      <c r="B252" s="0" t="s">
        <v>217</v>
      </c>
      <c r="C252" s="0" t="s">
        <v>31</v>
      </c>
      <c r="D252" s="0" t="s">
        <v>135</v>
      </c>
      <c r="E252" s="0" t="s">
        <v>218</v>
      </c>
      <c r="F252" s="0" t="s">
        <v>219</v>
      </c>
      <c r="G252" s="0" t="n">
        <f aca="false">HYPERLINK("http://clipc-services.ceda.ac.uk/dreq/u/13484743dd3369c69df93379e6dafbb5.html","web")</f>
        <v>0</v>
      </c>
      <c r="H252" s="0" t="s">
        <v>220</v>
      </c>
      <c r="J252" s="0" t="s">
        <v>221</v>
      </c>
      <c r="K252" s="0" t="s">
        <v>721</v>
      </c>
    </row>
    <row r="253" customFormat="false" ht="15" hidden="false" customHeight="false" outlineLevel="0" collapsed="false">
      <c r="A253" s="0" t="s">
        <v>720</v>
      </c>
      <c r="B253" s="0" t="s">
        <v>223</v>
      </c>
      <c r="C253" s="0" t="s">
        <v>31</v>
      </c>
      <c r="D253" s="0" t="s">
        <v>135</v>
      </c>
      <c r="E253" s="0" t="s">
        <v>224</v>
      </c>
      <c r="F253" s="0" t="s">
        <v>219</v>
      </c>
      <c r="G253" s="0" t="n">
        <f aca="false">HYPERLINK("http://clipc-services.ceda.ac.uk/dreq/u/0062272a6a4176b8c32af87642b062c5.html","web")</f>
        <v>0</v>
      </c>
      <c r="H253" s="0" t="s">
        <v>225</v>
      </c>
      <c r="I253" s="0" t="s">
        <v>226</v>
      </c>
      <c r="J253" s="0" t="s">
        <v>227</v>
      </c>
      <c r="K253" s="0" t="s">
        <v>721</v>
      </c>
    </row>
    <row r="254" customFormat="false" ht="15" hidden="false" customHeight="false" outlineLevel="0" collapsed="false">
      <c r="A254" s="0" t="s">
        <v>720</v>
      </c>
      <c r="B254" s="0" t="s">
        <v>306</v>
      </c>
      <c r="C254" s="0" t="s">
        <v>31</v>
      </c>
      <c r="D254" s="0" t="s">
        <v>135</v>
      </c>
      <c r="E254" s="0" t="s">
        <v>307</v>
      </c>
      <c r="F254" s="0" t="s">
        <v>31</v>
      </c>
      <c r="G254" s="0" t="n">
        <f aca="false">HYPERLINK("http://clipc-services.ceda.ac.uk/dreq/u/29fae9ea0f236a3eb144026e1bafde28.html","web")</f>
        <v>0</v>
      </c>
      <c r="H254" s="0" t="s">
        <v>308</v>
      </c>
      <c r="I254" s="0" t="s">
        <v>309</v>
      </c>
      <c r="J254" s="0" t="s">
        <v>310</v>
      </c>
      <c r="K254" s="0" t="s">
        <v>722</v>
      </c>
    </row>
    <row r="255" customFormat="false" ht="15" hidden="false" customHeight="false" outlineLevel="0" collapsed="false">
      <c r="A255" s="0" t="s">
        <v>720</v>
      </c>
      <c r="B255" s="0" t="s">
        <v>723</v>
      </c>
      <c r="C255" s="0" t="s">
        <v>31</v>
      </c>
      <c r="D255" s="0" t="s">
        <v>724</v>
      </c>
      <c r="E255" s="0" t="s">
        <v>725</v>
      </c>
      <c r="F255" s="0" t="s">
        <v>714</v>
      </c>
      <c r="G255" s="0" t="n">
        <f aca="false">HYPERLINK("http://clipc-services.ceda.ac.uk/dreq/u/9bb9a503065dfbd30c9bbe5c3c6abf99.html","web")</f>
        <v>0</v>
      </c>
      <c r="H255" s="0" t="s">
        <v>726</v>
      </c>
      <c r="I255" s="0" t="s">
        <v>322</v>
      </c>
      <c r="J255" s="0" t="s">
        <v>727</v>
      </c>
      <c r="K255" s="0" t="s">
        <v>728</v>
      </c>
    </row>
    <row r="256" customFormat="false" ht="15" hidden="false" customHeight="false" outlineLevel="0" collapsed="false">
      <c r="A256" s="0" t="s">
        <v>720</v>
      </c>
      <c r="B256" s="0" t="s">
        <v>729</v>
      </c>
      <c r="C256" s="0" t="s">
        <v>31</v>
      </c>
      <c r="D256" s="0" t="s">
        <v>730</v>
      </c>
      <c r="E256" s="0" t="s">
        <v>725</v>
      </c>
      <c r="F256" s="0" t="s">
        <v>714</v>
      </c>
      <c r="G256" s="0" t="n">
        <f aca="false">HYPERLINK("http://clipc-services.ceda.ac.uk/dreq/u/9bb9a503065dfbd30c9bbe5c3c6abf99.html","web")</f>
        <v>0</v>
      </c>
      <c r="H256" s="0" t="s">
        <v>731</v>
      </c>
      <c r="I256" s="0" t="s">
        <v>309</v>
      </c>
      <c r="J256" s="0" t="s">
        <v>727</v>
      </c>
      <c r="K256" s="0" t="s">
        <v>728</v>
      </c>
    </row>
    <row r="257" customFormat="false" ht="15" hidden="false" customHeight="false" outlineLevel="0" collapsed="false">
      <c r="A257" s="0" t="s">
        <v>720</v>
      </c>
      <c r="B257" s="0" t="s">
        <v>732</v>
      </c>
      <c r="C257" s="0" t="s">
        <v>31</v>
      </c>
      <c r="D257" s="0" t="s">
        <v>733</v>
      </c>
      <c r="E257" s="0" t="s">
        <v>734</v>
      </c>
      <c r="F257" s="0" t="s">
        <v>735</v>
      </c>
      <c r="G257" s="0" t="n">
        <f aca="false">HYPERLINK("http://clipc-services.ceda.ac.uk/dreq/u/ddf060894b16cf89e906ecfedbba4ffb.html","web")</f>
        <v>0</v>
      </c>
      <c r="H257" s="0" t="s">
        <v>321</v>
      </c>
      <c r="I257" s="0" t="s">
        <v>322</v>
      </c>
      <c r="J257" s="0" t="s">
        <v>736</v>
      </c>
      <c r="K257" s="0" t="s">
        <v>737</v>
      </c>
    </row>
    <row r="258" customFormat="false" ht="15" hidden="false" customHeight="false" outlineLevel="0" collapsed="false">
      <c r="A258" s="0" t="s">
        <v>720</v>
      </c>
      <c r="B258" s="0" t="s">
        <v>738</v>
      </c>
      <c r="C258" s="0" t="s">
        <v>31</v>
      </c>
      <c r="D258" s="0" t="s">
        <v>739</v>
      </c>
      <c r="E258" s="0" t="s">
        <v>734</v>
      </c>
      <c r="F258" s="0" t="s">
        <v>735</v>
      </c>
      <c r="G258" s="0" t="n">
        <f aca="false">HYPERLINK("http://clipc-services.ceda.ac.uk/dreq/u/ddf060894b16cf89e906ecfedbba4ffb.html","web")</f>
        <v>0</v>
      </c>
      <c r="H258" s="0" t="s">
        <v>731</v>
      </c>
      <c r="I258" s="0" t="s">
        <v>309</v>
      </c>
      <c r="J258" s="0" t="s">
        <v>736</v>
      </c>
      <c r="K258" s="0" t="s">
        <v>728</v>
      </c>
    </row>
    <row r="259" customFormat="false" ht="15" hidden="false" customHeight="false" outlineLevel="0" collapsed="false">
      <c r="A259" s="0" t="s">
        <v>720</v>
      </c>
      <c r="B259" s="0" t="s">
        <v>319</v>
      </c>
      <c r="C259" s="0" t="s">
        <v>31</v>
      </c>
      <c r="D259" s="0" t="s">
        <v>135</v>
      </c>
      <c r="E259" s="0" t="s">
        <v>320</v>
      </c>
      <c r="F259" s="0" t="s">
        <v>137</v>
      </c>
      <c r="G259" s="0" t="n">
        <f aca="false">HYPERLINK("http://clipc-services.ceda.ac.uk/dreq/u/5e49c0b73ac161d5e5dd05173416c400.html","web")</f>
        <v>0</v>
      </c>
      <c r="H259" s="0" t="s">
        <v>321</v>
      </c>
      <c r="I259" s="0" t="s">
        <v>322</v>
      </c>
      <c r="J259" s="0" t="s">
        <v>323</v>
      </c>
      <c r="K259" s="0" t="s">
        <v>740</v>
      </c>
    </row>
    <row r="260" customFormat="false" ht="15" hidden="false" customHeight="false" outlineLevel="0" collapsed="false">
      <c r="A260" s="0" t="s">
        <v>720</v>
      </c>
      <c r="B260" s="0" t="s">
        <v>238</v>
      </c>
      <c r="C260" s="0" t="s">
        <v>31</v>
      </c>
      <c r="D260" s="0" t="s">
        <v>239</v>
      </c>
      <c r="E260" s="0" t="s">
        <v>240</v>
      </c>
      <c r="F260" s="0" t="s">
        <v>137</v>
      </c>
      <c r="G260" s="0" t="n">
        <f aca="false">HYPERLINK("http://clipc-services.ceda.ac.uk/dreq/u/6d790fe4caa7feff46a41ae7b3811e52.html","web")</f>
        <v>0</v>
      </c>
      <c r="H260" s="0" t="s">
        <v>241</v>
      </c>
      <c r="J260" s="0" t="s">
        <v>242</v>
      </c>
      <c r="K260" s="0" t="s">
        <v>741</v>
      </c>
    </row>
    <row r="261" customFormat="false" ht="15" hidden="false" customHeight="false" outlineLevel="0" collapsed="false">
      <c r="A261" s="0" t="s">
        <v>720</v>
      </c>
      <c r="B261" s="0" t="s">
        <v>742</v>
      </c>
      <c r="C261" s="0" t="s">
        <v>31</v>
      </c>
      <c r="D261" s="0" t="s">
        <v>724</v>
      </c>
      <c r="E261" s="0" t="s">
        <v>743</v>
      </c>
      <c r="F261" s="0" t="s">
        <v>714</v>
      </c>
      <c r="G261" s="0" t="n">
        <f aca="false">HYPERLINK("http://clipc-services.ceda.ac.uk/dreq/u/942125e5a461fef57b1477b9a2bd5fa0.html","web")</f>
        <v>0</v>
      </c>
      <c r="H261" s="0" t="s">
        <v>744</v>
      </c>
      <c r="I261" s="0" t="s">
        <v>745</v>
      </c>
      <c r="J261" s="0" t="s">
        <v>746</v>
      </c>
      <c r="K261" s="0" t="s">
        <v>728</v>
      </c>
    </row>
    <row r="262" customFormat="false" ht="15" hidden="false" customHeight="false" outlineLevel="0" collapsed="false">
      <c r="A262" s="0" t="s">
        <v>720</v>
      </c>
      <c r="B262" s="0" t="s">
        <v>747</v>
      </c>
      <c r="C262" s="0" t="s">
        <v>31</v>
      </c>
      <c r="D262" s="0" t="s">
        <v>730</v>
      </c>
      <c r="E262" s="0" t="s">
        <v>743</v>
      </c>
      <c r="F262" s="0" t="s">
        <v>714</v>
      </c>
      <c r="G262" s="0" t="n">
        <f aca="false">HYPERLINK("http://clipc-services.ceda.ac.uk/dreq/u/942125e5a461fef57b1477b9a2bd5fa0.html","web")</f>
        <v>0</v>
      </c>
      <c r="H262" s="0" t="s">
        <v>748</v>
      </c>
      <c r="I262" s="0" t="s">
        <v>749</v>
      </c>
      <c r="J262" s="0" t="s">
        <v>746</v>
      </c>
      <c r="K262" s="0" t="s">
        <v>728</v>
      </c>
    </row>
    <row r="263" customFormat="false" ht="15" hidden="false" customHeight="false" outlineLevel="0" collapsed="false">
      <c r="A263" s="0" t="s">
        <v>720</v>
      </c>
      <c r="B263" s="0" t="s">
        <v>750</v>
      </c>
      <c r="C263" s="0" t="s">
        <v>31</v>
      </c>
      <c r="D263" s="0" t="s">
        <v>733</v>
      </c>
      <c r="E263" s="0" t="s">
        <v>751</v>
      </c>
      <c r="F263" s="0" t="s">
        <v>752</v>
      </c>
      <c r="G263" s="0" t="n">
        <f aca="false">HYPERLINK("http://clipc-services.ceda.ac.uk/dreq/u/09c328529f2fac58c1b016da33ba394c.html","web")</f>
        <v>0</v>
      </c>
      <c r="H263" s="0" t="s">
        <v>748</v>
      </c>
      <c r="I263" s="0" t="s">
        <v>749</v>
      </c>
      <c r="J263" s="0" t="s">
        <v>753</v>
      </c>
      <c r="K263" s="0" t="s">
        <v>728</v>
      </c>
    </row>
    <row r="264" customFormat="false" ht="15" hidden="false" customHeight="false" outlineLevel="0" collapsed="false">
      <c r="A264" s="0" t="s">
        <v>720</v>
      </c>
      <c r="B264" s="0" t="s">
        <v>754</v>
      </c>
      <c r="C264" s="0" t="s">
        <v>31</v>
      </c>
      <c r="D264" s="0" t="s">
        <v>739</v>
      </c>
      <c r="E264" s="0" t="s">
        <v>751</v>
      </c>
      <c r="F264" s="0" t="s">
        <v>752</v>
      </c>
      <c r="G264" s="0" t="n">
        <f aca="false">HYPERLINK("http://clipc-services.ceda.ac.uk/dreq/u/09c328529f2fac58c1b016da33ba394c.html","web")</f>
        <v>0</v>
      </c>
      <c r="H264" s="0" t="s">
        <v>748</v>
      </c>
      <c r="I264" s="0" t="s">
        <v>749</v>
      </c>
      <c r="J264" s="0" t="s">
        <v>753</v>
      </c>
      <c r="K264" s="0" t="s">
        <v>728</v>
      </c>
    </row>
    <row r="265" customFormat="false" ht="15" hidden="false" customHeight="false" outlineLevel="0" collapsed="false">
      <c r="A265" s="0" t="s">
        <v>720</v>
      </c>
      <c r="B265" s="0" t="s">
        <v>352</v>
      </c>
      <c r="C265" s="0" t="s">
        <v>31</v>
      </c>
      <c r="D265" s="0" t="s">
        <v>135</v>
      </c>
      <c r="E265" s="0" t="s">
        <v>353</v>
      </c>
      <c r="F265" s="0" t="s">
        <v>31</v>
      </c>
      <c r="G265" s="0" t="n">
        <f aca="false">HYPERLINK("http://clipc-services.ceda.ac.uk/dreq/u/8de0f30b91b15720398fc10fd712a182.html","web")</f>
        <v>0</v>
      </c>
      <c r="H265" s="0" t="s">
        <v>308</v>
      </c>
      <c r="I265" s="0" t="s">
        <v>226</v>
      </c>
      <c r="J265" s="0" t="s">
        <v>354</v>
      </c>
      <c r="K265" s="0" t="s">
        <v>755</v>
      </c>
    </row>
    <row r="266" customFormat="false" ht="15" hidden="false" customHeight="false" outlineLevel="0" collapsed="false"/>
    <row r="267" customFormat="false" ht="15" hidden="false" customHeight="false" outlineLevel="0" collapsed="false">
      <c r="A267" s="0" t="s">
        <v>756</v>
      </c>
      <c r="B267" s="0" t="s">
        <v>757</v>
      </c>
      <c r="C267" s="0" t="s">
        <v>49</v>
      </c>
      <c r="D267" s="0" t="s">
        <v>135</v>
      </c>
      <c r="E267" s="0" t="s">
        <v>758</v>
      </c>
      <c r="F267" s="0" t="s">
        <v>137</v>
      </c>
      <c r="G267" s="0" t="n">
        <f aca="false">HYPERLINK("http://clipc-services.ceda.ac.uk/dreq/u/7553003ead183dd3276108b6311a337f.html","web")</f>
        <v>0</v>
      </c>
      <c r="H267" s="0" t="s">
        <v>253</v>
      </c>
      <c r="I267" s="0" t="s">
        <v>226</v>
      </c>
      <c r="J267" s="0" t="s">
        <v>759</v>
      </c>
      <c r="K267" s="0" t="s">
        <v>760</v>
      </c>
    </row>
    <row r="268" customFormat="false" ht="15" hidden="false" customHeight="false" outlineLevel="0" collapsed="false">
      <c r="A268" s="0" t="s">
        <v>756</v>
      </c>
      <c r="B268" s="0" t="s">
        <v>761</v>
      </c>
      <c r="C268" s="0" t="s">
        <v>31</v>
      </c>
      <c r="D268" s="0" t="s">
        <v>762</v>
      </c>
      <c r="E268" s="0" t="s">
        <v>763</v>
      </c>
      <c r="F268" s="0" t="s">
        <v>283</v>
      </c>
      <c r="G268" s="0" t="n">
        <f aca="false">HYPERLINK("http://clipc-services.ceda.ac.uk/dreq/u/e4b039da-b621-11e6-bbe2-ac72891c3257.html","web")</f>
        <v>0</v>
      </c>
      <c r="H268" s="0" t="s">
        <v>253</v>
      </c>
      <c r="I268" s="0" t="s">
        <v>226</v>
      </c>
      <c r="J268" s="0" t="s">
        <v>764</v>
      </c>
      <c r="K268" s="0" t="s">
        <v>765</v>
      </c>
    </row>
    <row r="269" customFormat="false" ht="15" hidden="false" customHeight="false" outlineLevel="0" collapsed="false"/>
    <row r="270" customFormat="false" ht="15" hidden="false" customHeight="false" outlineLevel="0" collapsed="false">
      <c r="A270" s="0" t="s">
        <v>766</v>
      </c>
      <c r="B270" s="0" t="s">
        <v>767</v>
      </c>
      <c r="C270" s="0" t="s">
        <v>31</v>
      </c>
      <c r="D270" s="0" t="s">
        <v>438</v>
      </c>
      <c r="E270" s="0" t="s">
        <v>768</v>
      </c>
      <c r="F270" s="0" t="s">
        <v>769</v>
      </c>
      <c r="G270" s="0" t="n">
        <f aca="false">HYPERLINK("http://clipc-services.ceda.ac.uk/dreq/u/98114e26-b896-11e6-a189-5404a60d96b5.html","web")</f>
        <v>0</v>
      </c>
      <c r="H270" s="0" t="s">
        <v>770</v>
      </c>
      <c r="I270" s="0" t="s">
        <v>745</v>
      </c>
      <c r="J270" s="0" t="s">
        <v>771</v>
      </c>
      <c r="K270" s="0" t="s">
        <v>772</v>
      </c>
    </row>
    <row r="271" customFormat="false" ht="15" hidden="false" customHeight="false" outlineLevel="0" collapsed="false">
      <c r="A271" s="0" t="s">
        <v>766</v>
      </c>
      <c r="B271" s="0" t="s">
        <v>773</v>
      </c>
      <c r="C271" s="0" t="s">
        <v>31</v>
      </c>
      <c r="D271" s="0" t="s">
        <v>438</v>
      </c>
      <c r="E271" s="0" t="s">
        <v>774</v>
      </c>
      <c r="F271" s="0" t="s">
        <v>714</v>
      </c>
      <c r="G271" s="0" t="n">
        <f aca="false">HYPERLINK("http://clipc-services.ceda.ac.uk/dreq/u/e8d5bdfd24b275f0530646361967483d.html","web")</f>
        <v>0</v>
      </c>
      <c r="H271" s="0" t="s">
        <v>770</v>
      </c>
      <c r="I271" s="0" t="s">
        <v>745</v>
      </c>
      <c r="J271" s="0" t="s">
        <v>727</v>
      </c>
      <c r="K271" s="0" t="s">
        <v>772</v>
      </c>
    </row>
    <row r="272" customFormat="false" ht="15" hidden="false" customHeight="false" outlineLevel="0" collapsed="false">
      <c r="A272" s="0" t="s">
        <v>766</v>
      </c>
      <c r="B272" s="0" t="s">
        <v>775</v>
      </c>
      <c r="C272" s="0" t="s">
        <v>31</v>
      </c>
      <c r="D272" s="0" t="s">
        <v>135</v>
      </c>
      <c r="E272" s="0" t="s">
        <v>776</v>
      </c>
      <c r="F272" s="0" t="s">
        <v>777</v>
      </c>
      <c r="G272" s="0" t="n">
        <f aca="false">HYPERLINK("http://clipc-services.ceda.ac.uk/dreq/u/5fb2c6633cdd98673b7b12d257575460.html","web")</f>
        <v>0</v>
      </c>
      <c r="H272" s="0" t="s">
        <v>778</v>
      </c>
      <c r="I272" s="0" t="s">
        <v>779</v>
      </c>
      <c r="J272" s="0" t="s">
        <v>780</v>
      </c>
      <c r="K272" s="0" t="s">
        <v>781</v>
      </c>
    </row>
    <row r="273" customFormat="false" ht="15" hidden="false" customHeight="false" outlineLevel="0" collapsed="false">
      <c r="A273" s="0" t="s">
        <v>766</v>
      </c>
      <c r="B273" s="0" t="s">
        <v>782</v>
      </c>
      <c r="C273" s="0" t="s">
        <v>31</v>
      </c>
      <c r="D273" s="0" t="s">
        <v>135</v>
      </c>
      <c r="E273" s="0" t="s">
        <v>783</v>
      </c>
      <c r="F273" s="0" t="s">
        <v>137</v>
      </c>
      <c r="G273" s="0" t="n">
        <f aca="false">HYPERLINK("http://clipc-services.ceda.ac.uk/dreq/u/4ffc1f50b844980dbbae006dbcfca869.html","web")</f>
        <v>0</v>
      </c>
      <c r="H273" s="0" t="s">
        <v>770</v>
      </c>
      <c r="I273" s="0" t="s">
        <v>745</v>
      </c>
      <c r="J273" s="0" t="s">
        <v>784</v>
      </c>
      <c r="K273" s="0" t="s">
        <v>781</v>
      </c>
    </row>
    <row r="274" customFormat="false" ht="15" hidden="false" customHeight="false" outlineLevel="0" collapsed="false">
      <c r="A274" s="0" t="s">
        <v>766</v>
      </c>
      <c r="B274" s="0" t="s">
        <v>723</v>
      </c>
      <c r="C274" s="0" t="s">
        <v>31</v>
      </c>
      <c r="D274" s="0" t="s">
        <v>438</v>
      </c>
      <c r="E274" s="0" t="s">
        <v>725</v>
      </c>
      <c r="F274" s="0" t="s">
        <v>714</v>
      </c>
      <c r="G274" s="0" t="n">
        <f aca="false">HYPERLINK("http://clipc-services.ceda.ac.uk/dreq/u/9bb9a503065dfbd30c9bbe5c3c6abf99.html","web")</f>
        <v>0</v>
      </c>
      <c r="H274" s="0" t="s">
        <v>726</v>
      </c>
      <c r="I274" s="0" t="s">
        <v>322</v>
      </c>
      <c r="J274" s="0" t="s">
        <v>727</v>
      </c>
      <c r="K274" s="0" t="s">
        <v>772</v>
      </c>
    </row>
    <row r="275" customFormat="false" ht="15" hidden="false" customHeight="false" outlineLevel="0" collapsed="false">
      <c r="A275" s="0" t="s">
        <v>766</v>
      </c>
      <c r="B275" s="0" t="s">
        <v>785</v>
      </c>
      <c r="C275" s="0" t="s">
        <v>31</v>
      </c>
      <c r="D275" s="0" t="s">
        <v>135</v>
      </c>
      <c r="E275" s="0" t="s">
        <v>786</v>
      </c>
      <c r="F275" s="0" t="s">
        <v>31</v>
      </c>
      <c r="G275" s="0" t="n">
        <f aca="false">HYPERLINK("http://clipc-services.ceda.ac.uk/dreq/u/db3d77eebc6dc2fbcab4e0f894e46037.html","web")</f>
        <v>0</v>
      </c>
      <c r="H275" s="0" t="s">
        <v>253</v>
      </c>
      <c r="I275" s="0" t="s">
        <v>787</v>
      </c>
      <c r="J275" s="0" t="s">
        <v>788</v>
      </c>
      <c r="K275" s="0" t="s">
        <v>781</v>
      </c>
    </row>
    <row r="276" customFormat="false" ht="15" hidden="false" customHeight="false" outlineLevel="0" collapsed="false">
      <c r="A276" s="0" t="s">
        <v>766</v>
      </c>
      <c r="B276" s="0" t="s">
        <v>789</v>
      </c>
      <c r="C276" s="0" t="s">
        <v>31</v>
      </c>
      <c r="D276" s="0" t="s">
        <v>135</v>
      </c>
      <c r="E276" s="0" t="s">
        <v>790</v>
      </c>
      <c r="F276" s="0" t="s">
        <v>137</v>
      </c>
      <c r="G276" s="0" t="n">
        <f aca="false">HYPERLINK("http://clipc-services.ceda.ac.uk/dreq/u/ea546e38aa8fc0e021f03e746e1adb10.html","web")</f>
        <v>0</v>
      </c>
      <c r="H276" s="0" t="s">
        <v>770</v>
      </c>
      <c r="I276" s="0" t="s">
        <v>745</v>
      </c>
      <c r="J276" s="0" t="s">
        <v>791</v>
      </c>
      <c r="K276" s="0" t="s">
        <v>781</v>
      </c>
    </row>
    <row r="277" customFormat="false" ht="15" hidden="false" customHeight="false" outlineLevel="0" collapsed="false">
      <c r="A277" s="0" t="s">
        <v>766</v>
      </c>
      <c r="B277" s="0" t="s">
        <v>792</v>
      </c>
      <c r="C277" s="0" t="s">
        <v>31</v>
      </c>
      <c r="D277" s="0" t="s">
        <v>135</v>
      </c>
      <c r="E277" s="0" t="s">
        <v>793</v>
      </c>
      <c r="F277" s="0" t="s">
        <v>137</v>
      </c>
      <c r="G277" s="0" t="n">
        <f aca="false">HYPERLINK("http://clipc-services.ceda.ac.uk/dreq/u/691673a210102ac652eed2b784dd2ab4.html","web")</f>
        <v>0</v>
      </c>
      <c r="H277" s="0" t="s">
        <v>770</v>
      </c>
      <c r="I277" s="0" t="s">
        <v>745</v>
      </c>
      <c r="J277" s="0" t="s">
        <v>794</v>
      </c>
      <c r="K277" s="0" t="s">
        <v>781</v>
      </c>
    </row>
    <row r="278" customFormat="false" ht="15" hidden="false" customHeight="false" outlineLevel="0" collapsed="false">
      <c r="A278" s="0" t="s">
        <v>766</v>
      </c>
      <c r="B278" s="0" t="s">
        <v>795</v>
      </c>
      <c r="C278" s="0" t="s">
        <v>31</v>
      </c>
      <c r="D278" s="0" t="s">
        <v>135</v>
      </c>
      <c r="E278" s="0" t="s">
        <v>796</v>
      </c>
      <c r="F278" s="0" t="s">
        <v>137</v>
      </c>
      <c r="G278" s="0" t="n">
        <f aca="false">HYPERLINK("http://clipc-services.ceda.ac.uk/dreq/u/a4e52f0f3833b395c09c73f1b6f3f748.html","web")</f>
        <v>0</v>
      </c>
      <c r="H278" s="0" t="s">
        <v>770</v>
      </c>
      <c r="I278" s="0" t="s">
        <v>745</v>
      </c>
      <c r="J278" s="0" t="s">
        <v>797</v>
      </c>
      <c r="K278" s="0" t="s">
        <v>781</v>
      </c>
    </row>
    <row r="279" customFormat="false" ht="15" hidden="false" customHeight="false" outlineLevel="0" collapsed="false">
      <c r="A279" s="0" t="s">
        <v>766</v>
      </c>
      <c r="B279" s="0" t="s">
        <v>798</v>
      </c>
      <c r="C279" s="0" t="s">
        <v>31</v>
      </c>
      <c r="D279" s="0" t="s">
        <v>438</v>
      </c>
      <c r="E279" s="0" t="s">
        <v>799</v>
      </c>
      <c r="F279" s="0" t="s">
        <v>31</v>
      </c>
      <c r="G279" s="0" t="n">
        <f aca="false">HYPERLINK("http://clipc-services.ceda.ac.uk/dreq/u/a7cf325e9bf994ade073a1297378a57c.html","web")</f>
        <v>0</v>
      </c>
      <c r="H279" s="0" t="s">
        <v>800</v>
      </c>
      <c r="I279" s="0" t="s">
        <v>322</v>
      </c>
      <c r="J279" s="0" t="s">
        <v>801</v>
      </c>
      <c r="K279" s="0" t="s">
        <v>772</v>
      </c>
    </row>
    <row r="280" customFormat="false" ht="15" hidden="false" customHeight="false" outlineLevel="0" collapsed="false">
      <c r="A280" s="0" t="s">
        <v>766</v>
      </c>
      <c r="B280" s="0" t="s">
        <v>802</v>
      </c>
      <c r="C280" s="0" t="s">
        <v>31</v>
      </c>
      <c r="D280" s="0" t="s">
        <v>438</v>
      </c>
      <c r="E280" s="0" t="s">
        <v>803</v>
      </c>
      <c r="F280" s="0" t="s">
        <v>714</v>
      </c>
      <c r="G280" s="0" t="n">
        <f aca="false">HYPERLINK("http://clipc-services.ceda.ac.uk/dreq/u/cc8f92a2635774d636748ec8007c4bab.html","web")</f>
        <v>0</v>
      </c>
      <c r="H280" s="0" t="s">
        <v>770</v>
      </c>
      <c r="I280" s="0" t="s">
        <v>745</v>
      </c>
      <c r="J280" s="0" t="s">
        <v>804</v>
      </c>
      <c r="K280" s="0" t="s">
        <v>772</v>
      </c>
    </row>
    <row r="281" customFormat="false" ht="15" hidden="false" customHeight="false" outlineLevel="0" collapsed="false">
      <c r="A281" s="0" t="s">
        <v>766</v>
      </c>
      <c r="B281" s="0" t="s">
        <v>805</v>
      </c>
      <c r="C281" s="0" t="s">
        <v>31</v>
      </c>
      <c r="D281" s="0" t="s">
        <v>438</v>
      </c>
      <c r="E281" s="0" t="s">
        <v>806</v>
      </c>
      <c r="F281" s="0" t="s">
        <v>54</v>
      </c>
      <c r="G281" s="0" t="n">
        <f aca="false">HYPERLINK("http://clipc-services.ceda.ac.uk/dreq/u/2b133ea2-1b42-11e6-a696-35cd2d8034df.html","web")</f>
        <v>0</v>
      </c>
      <c r="H281" s="0" t="s">
        <v>770</v>
      </c>
      <c r="I281" s="0" t="s">
        <v>745</v>
      </c>
      <c r="J281" s="0" t="s">
        <v>807</v>
      </c>
      <c r="K281" s="0" t="s">
        <v>772</v>
      </c>
    </row>
    <row r="282" customFormat="false" ht="15" hidden="false" customHeight="false" outlineLevel="0" collapsed="false">
      <c r="A282" s="0" t="s">
        <v>766</v>
      </c>
      <c r="B282" s="0" t="s">
        <v>742</v>
      </c>
      <c r="C282" s="0" t="s">
        <v>31</v>
      </c>
      <c r="D282" s="0" t="s">
        <v>438</v>
      </c>
      <c r="E282" s="0" t="s">
        <v>743</v>
      </c>
      <c r="F282" s="0" t="s">
        <v>714</v>
      </c>
      <c r="G282" s="0" t="n">
        <f aca="false">HYPERLINK("http://clipc-services.ceda.ac.uk/dreq/u/942125e5a461fef57b1477b9a2bd5fa0.html","web")</f>
        <v>0</v>
      </c>
      <c r="H282" s="0" t="s">
        <v>744</v>
      </c>
      <c r="I282" s="0" t="s">
        <v>745</v>
      </c>
      <c r="J282" s="0" t="s">
        <v>746</v>
      </c>
      <c r="K282" s="0" t="s">
        <v>772</v>
      </c>
    </row>
    <row r="283" customFormat="false" ht="15" hidden="false" customHeight="false" outlineLevel="0" collapsed="false">
      <c r="A283" s="0" t="s">
        <v>766</v>
      </c>
      <c r="B283" s="0" t="s">
        <v>808</v>
      </c>
      <c r="C283" s="0" t="s">
        <v>31</v>
      </c>
      <c r="D283" s="0" t="s">
        <v>438</v>
      </c>
      <c r="E283" s="0" t="s">
        <v>809</v>
      </c>
      <c r="F283" s="0" t="s">
        <v>714</v>
      </c>
      <c r="G283" s="0" t="n">
        <f aca="false">HYPERLINK("http://clipc-services.ceda.ac.uk/dreq/u/97bf948c-b896-11e6-a189-5404a60d96b5.html","web")</f>
        <v>0</v>
      </c>
      <c r="H283" s="0" t="s">
        <v>321</v>
      </c>
      <c r="I283" s="0" t="s">
        <v>322</v>
      </c>
      <c r="J283" s="0" t="s">
        <v>810</v>
      </c>
      <c r="K283" s="0" t="s">
        <v>772</v>
      </c>
    </row>
    <row r="284" customFormat="false" ht="15" hidden="false" customHeight="false" outlineLevel="0" collapsed="false">
      <c r="A284" s="0" t="s">
        <v>766</v>
      </c>
      <c r="B284" s="0" t="s">
        <v>811</v>
      </c>
      <c r="C284" s="0" t="s">
        <v>31</v>
      </c>
      <c r="D284" s="0" t="s">
        <v>812</v>
      </c>
      <c r="E284" s="0" t="s">
        <v>813</v>
      </c>
      <c r="F284" s="0" t="s">
        <v>31</v>
      </c>
      <c r="G284" s="0" t="n">
        <f aca="false">HYPERLINK("http://clipc-services.ceda.ac.uk/dreq/u/a0c10a4b65d3b79db581a649058a08b1.html","web")</f>
        <v>0</v>
      </c>
      <c r="H284" s="0" t="s">
        <v>770</v>
      </c>
      <c r="I284" s="0" t="s">
        <v>745</v>
      </c>
      <c r="J284" s="0" t="s">
        <v>814</v>
      </c>
      <c r="K284" s="0" t="s">
        <v>815</v>
      </c>
    </row>
    <row r="285" customFormat="false" ht="15" hidden="false" customHeight="false" outlineLevel="0" collapsed="false">
      <c r="A285" s="0" t="s">
        <v>766</v>
      </c>
      <c r="B285" s="0" t="s">
        <v>816</v>
      </c>
      <c r="C285" s="0" t="s">
        <v>31</v>
      </c>
      <c r="D285" s="0" t="s">
        <v>812</v>
      </c>
      <c r="E285" s="0" t="s">
        <v>817</v>
      </c>
      <c r="F285" s="0" t="s">
        <v>31</v>
      </c>
      <c r="G285" s="0" t="n">
        <f aca="false">HYPERLINK("http://clipc-services.ceda.ac.uk/dreq/u/c9a72dd6-c5f0-11e6-ac20-5404a60d96b5.html","web")</f>
        <v>0</v>
      </c>
      <c r="H285" s="0" t="s">
        <v>321</v>
      </c>
      <c r="I285" s="0" t="s">
        <v>322</v>
      </c>
      <c r="J285" s="0" t="s">
        <v>818</v>
      </c>
      <c r="K285" s="0" t="s">
        <v>781</v>
      </c>
    </row>
    <row r="286" customFormat="false" ht="15" hidden="false" customHeight="false" outlineLevel="0" collapsed="false">
      <c r="A286" s="0" t="s">
        <v>766</v>
      </c>
      <c r="B286" s="0" t="s">
        <v>819</v>
      </c>
      <c r="C286" s="0" t="s">
        <v>31</v>
      </c>
      <c r="D286" s="0" t="s">
        <v>438</v>
      </c>
      <c r="E286" s="0" t="s">
        <v>820</v>
      </c>
      <c r="F286" s="0" t="s">
        <v>357</v>
      </c>
      <c r="G286" s="0" t="n">
        <f aca="false">HYPERLINK("http://clipc-services.ceda.ac.uk/dreq/u/a2609abee6ecd5d535a48e29ae70e852.html","web")</f>
        <v>0</v>
      </c>
      <c r="H286" s="0" t="s">
        <v>770</v>
      </c>
      <c r="I286" s="0" t="s">
        <v>745</v>
      </c>
      <c r="J286" s="0" t="s">
        <v>821</v>
      </c>
      <c r="K286" s="0" t="s">
        <v>772</v>
      </c>
    </row>
    <row r="287" customFormat="false" ht="15" hidden="false" customHeight="false" outlineLevel="0" collapsed="false">
      <c r="A287" s="0" t="s">
        <v>766</v>
      </c>
      <c r="B287" s="0" t="s">
        <v>822</v>
      </c>
      <c r="C287" s="0" t="s">
        <v>31</v>
      </c>
      <c r="D287" s="0" t="s">
        <v>135</v>
      </c>
      <c r="E287" s="0" t="s">
        <v>823</v>
      </c>
      <c r="F287" s="0" t="s">
        <v>824</v>
      </c>
      <c r="G287" s="0" t="n">
        <f aca="false">HYPERLINK("http://clipc-services.ceda.ac.uk/dreq/u/c9a5b6b8-c5f0-11e6-ac20-5404a60d96b5.html","web")</f>
        <v>0</v>
      </c>
      <c r="H287" s="0" t="s">
        <v>321</v>
      </c>
      <c r="I287" s="0" t="s">
        <v>825</v>
      </c>
      <c r="J287" s="0" t="s">
        <v>826</v>
      </c>
      <c r="K287" s="0" t="s">
        <v>781</v>
      </c>
    </row>
    <row r="288" customFormat="false" ht="15" hidden="false" customHeight="false" outlineLevel="0" collapsed="false">
      <c r="A288" s="0" t="s">
        <v>766</v>
      </c>
      <c r="B288" s="0" t="s">
        <v>827</v>
      </c>
      <c r="C288" s="0" t="s">
        <v>31</v>
      </c>
      <c r="D288" s="0" t="s">
        <v>135</v>
      </c>
      <c r="E288" s="0" t="s">
        <v>828</v>
      </c>
      <c r="F288" s="0" t="s">
        <v>24</v>
      </c>
      <c r="G288" s="0" t="n">
        <f aca="false">HYPERLINK("http://clipc-services.ceda.ac.uk/dreq/u/83d1d066c3325c7402b6265eee068056.html","web")</f>
        <v>0</v>
      </c>
      <c r="H288" s="0" t="s">
        <v>829</v>
      </c>
      <c r="I288" s="0" t="s">
        <v>779</v>
      </c>
      <c r="J288" s="0" t="s">
        <v>830</v>
      </c>
      <c r="K288" s="0" t="s">
        <v>831</v>
      </c>
    </row>
    <row r="289" customFormat="false" ht="15" hidden="false" customHeight="false" outlineLevel="0" collapsed="false">
      <c r="A289" s="0" t="s">
        <v>766</v>
      </c>
      <c r="B289" s="0" t="s">
        <v>832</v>
      </c>
      <c r="C289" s="0" t="s">
        <v>31</v>
      </c>
      <c r="D289" s="0" t="s">
        <v>135</v>
      </c>
      <c r="E289" s="0" t="s">
        <v>833</v>
      </c>
      <c r="F289" s="0" t="s">
        <v>327</v>
      </c>
      <c r="G289" s="0" t="n">
        <f aca="false">HYPERLINK("http://clipc-services.ceda.ac.uk/dreq/u/c9a70b4e-c5f0-11e6-ac20-5404a60d96b5.html","web")</f>
        <v>0</v>
      </c>
      <c r="H289" s="0" t="s">
        <v>834</v>
      </c>
      <c r="I289" s="0" t="s">
        <v>36</v>
      </c>
      <c r="J289" s="0" t="s">
        <v>835</v>
      </c>
      <c r="K289" s="0" t="s">
        <v>836</v>
      </c>
    </row>
    <row r="290" customFormat="false" ht="15" hidden="false" customHeight="false" outlineLevel="0" collapsed="false">
      <c r="A290" s="0" t="s">
        <v>766</v>
      </c>
      <c r="B290" s="0" t="s">
        <v>695</v>
      </c>
      <c r="C290" s="0" t="s">
        <v>31</v>
      </c>
      <c r="D290" s="0" t="s">
        <v>438</v>
      </c>
      <c r="E290" s="0" t="s">
        <v>696</v>
      </c>
      <c r="F290" s="0" t="s">
        <v>370</v>
      </c>
      <c r="G290" s="0" t="n">
        <f aca="false">HYPERLINK("http://clipc-services.ceda.ac.uk/dreq/u/5917483c-9e49-11e5-803c-0d0b866b59f3.html","web")</f>
        <v>0</v>
      </c>
      <c r="H290" s="0" t="s">
        <v>697</v>
      </c>
      <c r="I290" s="0" t="s">
        <v>36</v>
      </c>
      <c r="J290" s="0" t="s">
        <v>698</v>
      </c>
      <c r="K290" s="0" t="s">
        <v>837</v>
      </c>
    </row>
    <row r="291" customFormat="false" ht="15" hidden="false" customHeight="false" outlineLevel="0" collapsed="false">
      <c r="A291" s="0" t="s">
        <v>766</v>
      </c>
      <c r="B291" s="0" t="s">
        <v>702</v>
      </c>
      <c r="C291" s="0" t="s">
        <v>31</v>
      </c>
      <c r="D291" s="0" t="s">
        <v>438</v>
      </c>
      <c r="E291" s="0" t="s">
        <v>703</v>
      </c>
      <c r="F291" s="0" t="s">
        <v>370</v>
      </c>
      <c r="G291" s="0" t="n">
        <f aca="false">HYPERLINK("http://clipc-services.ceda.ac.uk/dreq/u/59173c0c-9e49-11e5-803c-0d0b866b59f3.html","web")</f>
        <v>0</v>
      </c>
      <c r="H291" s="0" t="s">
        <v>697</v>
      </c>
      <c r="I291" s="0" t="s">
        <v>36</v>
      </c>
      <c r="J291" s="0" t="s">
        <v>704</v>
      </c>
      <c r="K291" s="0" t="s">
        <v>838</v>
      </c>
    </row>
    <row r="292" customFormat="false" ht="15" hidden="false" customHeight="false" outlineLevel="0" collapsed="false">
      <c r="A292" s="0" t="s">
        <v>766</v>
      </c>
      <c r="B292" s="0" t="s">
        <v>839</v>
      </c>
      <c r="C292" s="0" t="s">
        <v>31</v>
      </c>
      <c r="D292" s="0" t="s">
        <v>135</v>
      </c>
      <c r="E292" s="0" t="s">
        <v>840</v>
      </c>
      <c r="F292" s="0" t="s">
        <v>841</v>
      </c>
      <c r="G292" s="0" t="n">
        <f aca="false">HYPERLINK("http://clipc-services.ceda.ac.uk/dreq/u/c26eed24b27782de78cfab86e3d3b2d2.html","web")</f>
        <v>0</v>
      </c>
      <c r="H292" s="0" t="s">
        <v>842</v>
      </c>
      <c r="I292" s="0" t="s">
        <v>843</v>
      </c>
      <c r="J292" s="0" t="s">
        <v>844</v>
      </c>
      <c r="K292" s="0" t="s">
        <v>781</v>
      </c>
    </row>
    <row r="293" customFormat="false" ht="15" hidden="false" customHeight="false" outlineLevel="0" collapsed="false"/>
    <row r="294" customFormat="false" ht="15" hidden="false" customHeight="false" outlineLevel="0" collapsed="false">
      <c r="A294" s="0" t="s">
        <v>845</v>
      </c>
      <c r="B294" s="0" t="s">
        <v>846</v>
      </c>
      <c r="C294" s="0" t="s">
        <v>31</v>
      </c>
      <c r="D294" s="0" t="s">
        <v>847</v>
      </c>
      <c r="E294" s="0" t="s">
        <v>848</v>
      </c>
      <c r="F294" s="0" t="s">
        <v>31</v>
      </c>
      <c r="G294" s="0" t="n">
        <f aca="false">HYPERLINK("http://clipc-services.ceda.ac.uk/dreq/u/b089240c-a0da-11e6-bc63-ac72891c3257.html","web")</f>
        <v>0</v>
      </c>
      <c r="H294" s="0" t="s">
        <v>849</v>
      </c>
      <c r="I294" s="0" t="s">
        <v>36</v>
      </c>
      <c r="J294" s="0" t="s">
        <v>850</v>
      </c>
      <c r="K294" s="0" t="s">
        <v>851</v>
      </c>
    </row>
    <row r="295" customFormat="false" ht="15" hidden="false" customHeight="false" outlineLevel="0" collapsed="false">
      <c r="A295" s="0" t="s">
        <v>845</v>
      </c>
      <c r="B295" s="0" t="s">
        <v>852</v>
      </c>
      <c r="C295" s="0" t="s">
        <v>31</v>
      </c>
      <c r="D295" s="0" t="s">
        <v>847</v>
      </c>
      <c r="E295" s="0" t="s">
        <v>853</v>
      </c>
      <c r="F295" s="0" t="s">
        <v>31</v>
      </c>
      <c r="G295" s="0" t="n">
        <f aca="false">HYPERLINK("http://clipc-services.ceda.ac.uk/dreq/u/afd8ba4a-a0da-11e6-bc63-ac72891c3257.html","web")</f>
        <v>0</v>
      </c>
      <c r="H295" s="0" t="s">
        <v>849</v>
      </c>
      <c r="I295" s="0" t="s">
        <v>36</v>
      </c>
      <c r="J295" s="0" t="s">
        <v>854</v>
      </c>
      <c r="K295" s="0" t="s">
        <v>851</v>
      </c>
    </row>
    <row r="296" customFormat="false" ht="15" hidden="false" customHeight="false" outlineLevel="0" collapsed="false">
      <c r="A296" s="0" t="s">
        <v>845</v>
      </c>
      <c r="B296" s="0" t="s">
        <v>855</v>
      </c>
      <c r="C296" s="0" t="s">
        <v>31</v>
      </c>
      <c r="D296" s="0" t="s">
        <v>847</v>
      </c>
      <c r="E296" s="0" t="s">
        <v>856</v>
      </c>
      <c r="F296" s="0" t="s">
        <v>31</v>
      </c>
      <c r="G296" s="0" t="n">
        <f aca="false">HYPERLINK("http://clipc-services.ceda.ac.uk/dreq/u/b02eb8b4-a0da-11e6-bc63-ac72891c3257.html","web")</f>
        <v>0</v>
      </c>
      <c r="H296" s="0" t="s">
        <v>849</v>
      </c>
      <c r="I296" s="0" t="s">
        <v>36</v>
      </c>
      <c r="J296" s="0" t="s">
        <v>857</v>
      </c>
      <c r="K296" s="0" t="s">
        <v>851</v>
      </c>
    </row>
    <row r="297" customFormat="false" ht="15" hidden="false" customHeight="false" outlineLevel="0" collapsed="false">
      <c r="A297" s="0" t="s">
        <v>845</v>
      </c>
      <c r="B297" s="0" t="s">
        <v>858</v>
      </c>
      <c r="C297" s="0" t="s">
        <v>31</v>
      </c>
      <c r="D297" s="0" t="s">
        <v>859</v>
      </c>
      <c r="E297" s="0" t="s">
        <v>860</v>
      </c>
      <c r="F297" s="0" t="s">
        <v>31</v>
      </c>
      <c r="G297" s="0" t="n">
        <f aca="false">HYPERLINK("http://clipc-services.ceda.ac.uk/dreq/u/59139cfa-9e49-11e5-803c-0d0b866b59f3.html","web")</f>
        <v>0</v>
      </c>
      <c r="H297" s="0" t="s">
        <v>849</v>
      </c>
      <c r="I297" s="0" t="s">
        <v>36</v>
      </c>
      <c r="J297" s="0" t="s">
        <v>861</v>
      </c>
      <c r="K297" s="0" t="s">
        <v>851</v>
      </c>
    </row>
    <row r="298" customFormat="false" ht="15" hidden="false" customHeight="false" outlineLevel="0" collapsed="false">
      <c r="A298" s="0" t="s">
        <v>845</v>
      </c>
      <c r="B298" s="0" t="s">
        <v>862</v>
      </c>
      <c r="C298" s="0" t="s">
        <v>31</v>
      </c>
      <c r="D298" s="0" t="s">
        <v>859</v>
      </c>
      <c r="E298" s="0" t="s">
        <v>863</v>
      </c>
      <c r="F298" s="0" t="s">
        <v>31</v>
      </c>
      <c r="G298" s="0" t="n">
        <f aca="false">HYPERLINK("http://clipc-services.ceda.ac.uk/dreq/u/590f3f16-9e49-11e5-803c-0d0b866b59f3.html","web")</f>
        <v>0</v>
      </c>
      <c r="H298" s="0" t="s">
        <v>849</v>
      </c>
      <c r="I298" s="0" t="s">
        <v>36</v>
      </c>
      <c r="J298" s="0" t="s">
        <v>864</v>
      </c>
      <c r="K298" s="0" t="s">
        <v>851</v>
      </c>
    </row>
    <row r="299" customFormat="false" ht="15" hidden="false" customHeight="false" outlineLevel="0" collapsed="false">
      <c r="A299" s="0" t="s">
        <v>845</v>
      </c>
      <c r="B299" s="0" t="s">
        <v>228</v>
      </c>
      <c r="C299" s="0" t="s">
        <v>31</v>
      </c>
      <c r="D299" s="0" t="s">
        <v>865</v>
      </c>
      <c r="E299" s="0" t="s">
        <v>230</v>
      </c>
      <c r="F299" s="0" t="s">
        <v>16</v>
      </c>
      <c r="G299" s="0" t="n">
        <f aca="false">HYPERLINK("http://clipc-services.ceda.ac.uk/dreq/u/400e5707b65c01e31f2ec6a59dd3983b.html","web")</f>
        <v>0</v>
      </c>
      <c r="H299" s="0" t="s">
        <v>231</v>
      </c>
      <c r="I299" s="0" t="s">
        <v>232</v>
      </c>
      <c r="J299" s="0" t="s">
        <v>233</v>
      </c>
      <c r="K299" s="0" t="s">
        <v>866</v>
      </c>
    </row>
    <row r="300" customFormat="false" ht="15" hidden="false" customHeight="false" outlineLevel="0" collapsed="false">
      <c r="A300" s="0" t="s">
        <v>845</v>
      </c>
      <c r="B300" s="0" t="s">
        <v>234</v>
      </c>
      <c r="C300" s="0" t="s">
        <v>13</v>
      </c>
      <c r="D300" s="0" t="s">
        <v>867</v>
      </c>
      <c r="E300" s="0" t="s">
        <v>236</v>
      </c>
      <c r="F300" s="0" t="s">
        <v>16</v>
      </c>
      <c r="G300" s="0" t="n">
        <f aca="false">HYPERLINK("http://clipc-services.ceda.ac.uk/dreq/u/fa7666d61b92de5bad1ad76561b8b850.html","web")</f>
        <v>0</v>
      </c>
      <c r="H300" s="0" t="s">
        <v>231</v>
      </c>
      <c r="I300" s="0" t="s">
        <v>232</v>
      </c>
      <c r="J300" s="0" t="s">
        <v>237</v>
      </c>
      <c r="K300" s="0" t="s">
        <v>222</v>
      </c>
    </row>
    <row r="301" customFormat="false" ht="15" hidden="false" customHeight="false" outlineLevel="0" collapsed="false">
      <c r="A301" s="0" t="s">
        <v>845</v>
      </c>
      <c r="B301" s="0" t="s">
        <v>723</v>
      </c>
      <c r="C301" s="0" t="s">
        <v>31</v>
      </c>
      <c r="D301" s="0" t="s">
        <v>868</v>
      </c>
      <c r="E301" s="0" t="s">
        <v>725</v>
      </c>
      <c r="F301" s="0" t="s">
        <v>714</v>
      </c>
      <c r="G301" s="0" t="n">
        <f aca="false">HYPERLINK("http://clipc-services.ceda.ac.uk/dreq/u/9bb9a503065dfbd30c9bbe5c3c6abf99.html","web")</f>
        <v>0</v>
      </c>
      <c r="H301" s="0" t="s">
        <v>726</v>
      </c>
      <c r="I301" s="0" t="s">
        <v>322</v>
      </c>
      <c r="J301" s="0" t="s">
        <v>727</v>
      </c>
      <c r="K301" s="0" t="s">
        <v>851</v>
      </c>
    </row>
    <row r="302" customFormat="false" ht="15" hidden="false" customHeight="false" outlineLevel="0" collapsed="false">
      <c r="A302" s="0" t="s">
        <v>845</v>
      </c>
      <c r="B302" s="0" t="s">
        <v>742</v>
      </c>
      <c r="C302" s="0" t="s">
        <v>31</v>
      </c>
      <c r="D302" s="0" t="s">
        <v>868</v>
      </c>
      <c r="E302" s="0" t="s">
        <v>743</v>
      </c>
      <c r="F302" s="0" t="s">
        <v>714</v>
      </c>
      <c r="G302" s="0" t="n">
        <f aca="false">HYPERLINK("http://clipc-services.ceda.ac.uk/dreq/u/942125e5a461fef57b1477b9a2bd5fa0.html","web")</f>
        <v>0</v>
      </c>
      <c r="H302" s="0" t="s">
        <v>744</v>
      </c>
      <c r="I302" s="0" t="s">
        <v>745</v>
      </c>
      <c r="J302" s="0" t="s">
        <v>746</v>
      </c>
      <c r="K302" s="0" t="s">
        <v>851</v>
      </c>
    </row>
    <row r="303" customFormat="false" ht="15" hidden="false" customHeight="false" outlineLevel="0" collapsed="false">
      <c r="A303" s="0" t="s">
        <v>845</v>
      </c>
      <c r="B303" s="0" t="s">
        <v>869</v>
      </c>
      <c r="C303" s="0" t="s">
        <v>31</v>
      </c>
      <c r="D303" s="0" t="s">
        <v>870</v>
      </c>
      <c r="E303" s="0" t="s">
        <v>871</v>
      </c>
      <c r="F303" s="0" t="s">
        <v>31</v>
      </c>
      <c r="G303" s="0" t="n">
        <f aca="false">HYPERLINK("http://clipc-services.ceda.ac.uk/dreq/u/a06b8e83250b870d9f39dc1f6534efcb.html","web")</f>
        <v>0</v>
      </c>
      <c r="H303" s="0" t="s">
        <v>872</v>
      </c>
      <c r="I303" s="0" t="s">
        <v>232</v>
      </c>
      <c r="J303" s="0" t="s">
        <v>873</v>
      </c>
      <c r="K303" s="0" t="s">
        <v>866</v>
      </c>
    </row>
    <row r="304" customFormat="false" ht="15" hidden="false" customHeight="false" outlineLevel="0" collapsed="false">
      <c r="A304" s="0" t="s">
        <v>845</v>
      </c>
      <c r="B304" s="0" t="s">
        <v>342</v>
      </c>
      <c r="C304" s="0" t="s">
        <v>31</v>
      </c>
      <c r="D304" s="0" t="s">
        <v>874</v>
      </c>
      <c r="E304" s="0" t="s">
        <v>343</v>
      </c>
      <c r="F304" s="0" t="s">
        <v>327</v>
      </c>
      <c r="G304" s="0" t="n">
        <f aca="false">HYPERLINK("http://clipc-services.ceda.ac.uk/dreq/u/38806cec3ba894d7745fada80c9f6fe6.html","web")</f>
        <v>0</v>
      </c>
      <c r="H304" s="0" t="s">
        <v>344</v>
      </c>
      <c r="I304" s="0" t="s">
        <v>36</v>
      </c>
      <c r="J304" s="0" t="s">
        <v>345</v>
      </c>
      <c r="K304" s="0" t="s">
        <v>851</v>
      </c>
    </row>
    <row r="305" customFormat="false" ht="15" hidden="false" customHeight="false" outlineLevel="0" collapsed="false">
      <c r="A305" s="0" t="s">
        <v>845</v>
      </c>
      <c r="B305" s="0" t="s">
        <v>875</v>
      </c>
      <c r="C305" s="0" t="s">
        <v>31</v>
      </c>
      <c r="D305" s="0" t="s">
        <v>874</v>
      </c>
      <c r="E305" s="0" t="s">
        <v>876</v>
      </c>
      <c r="F305" s="0" t="s">
        <v>327</v>
      </c>
      <c r="G305" s="0" t="n">
        <f aca="false">HYPERLINK("http://clipc-services.ceda.ac.uk/dreq/u/ea83846e-a0de-11e6-bc63-ac72891c3257.html","web")</f>
        <v>0</v>
      </c>
      <c r="H305" s="0" t="s">
        <v>344</v>
      </c>
      <c r="I305" s="0" t="s">
        <v>36</v>
      </c>
      <c r="J305" s="0" t="s">
        <v>877</v>
      </c>
      <c r="K305" s="0" t="s">
        <v>851</v>
      </c>
    </row>
    <row r="306" customFormat="false" ht="15" hidden="false" customHeight="false" outlineLevel="0" collapsed="false">
      <c r="A306" s="0" t="s">
        <v>845</v>
      </c>
      <c r="B306" s="0" t="s">
        <v>878</v>
      </c>
      <c r="C306" s="0" t="s">
        <v>31</v>
      </c>
      <c r="D306" s="0" t="s">
        <v>879</v>
      </c>
      <c r="E306" s="0" t="s">
        <v>880</v>
      </c>
      <c r="F306" s="0" t="s">
        <v>327</v>
      </c>
      <c r="G306" s="0" t="n">
        <f aca="false">HYPERLINK("http://clipc-services.ceda.ac.uk/dreq/u/eb28c564-a0de-11e6-bc63-ac72891c3257.html","web")</f>
        <v>0</v>
      </c>
      <c r="H306" s="0" t="s">
        <v>849</v>
      </c>
      <c r="I306" s="0" t="s">
        <v>36</v>
      </c>
      <c r="J306" s="0" t="s">
        <v>877</v>
      </c>
      <c r="K306" s="0" t="s">
        <v>851</v>
      </c>
    </row>
    <row r="307" customFormat="false" ht="15" hidden="false" customHeight="false" outlineLevel="0" collapsed="false">
      <c r="A307" s="0" t="s">
        <v>845</v>
      </c>
      <c r="B307" s="0" t="s">
        <v>881</v>
      </c>
      <c r="C307" s="0" t="s">
        <v>31</v>
      </c>
      <c r="D307" s="0" t="s">
        <v>879</v>
      </c>
      <c r="E307" s="0" t="s">
        <v>882</v>
      </c>
      <c r="F307" s="0" t="s">
        <v>327</v>
      </c>
      <c r="G307" s="0" t="n">
        <f aca="false">HYPERLINK("http://clipc-services.ceda.ac.uk/dreq/u/ebd63780-a0de-11e6-bc63-ac72891c3257.html","web")</f>
        <v>0</v>
      </c>
      <c r="H307" s="0" t="s">
        <v>849</v>
      </c>
      <c r="I307" s="0" t="s">
        <v>36</v>
      </c>
      <c r="J307" s="0" t="s">
        <v>883</v>
      </c>
      <c r="K307" s="0" t="s">
        <v>851</v>
      </c>
    </row>
    <row r="308" customFormat="false" ht="15" hidden="false" customHeight="false" outlineLevel="0" collapsed="false">
      <c r="A308" s="0" t="s">
        <v>845</v>
      </c>
      <c r="B308" s="0" t="s">
        <v>884</v>
      </c>
      <c r="C308" s="0" t="s">
        <v>31</v>
      </c>
      <c r="D308" s="0" t="s">
        <v>885</v>
      </c>
      <c r="E308" s="0" t="s">
        <v>886</v>
      </c>
      <c r="F308" s="0" t="s">
        <v>327</v>
      </c>
      <c r="G308" s="0" t="n">
        <f aca="false">HYPERLINK("http://clipc-services.ceda.ac.uk/dreq/u/590daf66-9e49-11e5-803c-0d0b866b59f3.html","web")</f>
        <v>0</v>
      </c>
      <c r="H308" s="0" t="s">
        <v>887</v>
      </c>
      <c r="I308" s="0" t="s">
        <v>36</v>
      </c>
      <c r="J308" s="0" t="s">
        <v>888</v>
      </c>
      <c r="K308" s="0" t="s">
        <v>851</v>
      </c>
    </row>
    <row r="309" customFormat="false" ht="15" hidden="false" customHeight="false" outlineLevel="0" collapsed="false">
      <c r="A309" s="0" t="s">
        <v>845</v>
      </c>
      <c r="B309" s="0" t="s">
        <v>889</v>
      </c>
      <c r="C309" s="0" t="s">
        <v>31</v>
      </c>
      <c r="D309" s="0" t="s">
        <v>859</v>
      </c>
      <c r="E309" s="0" t="s">
        <v>890</v>
      </c>
      <c r="F309" s="0" t="s">
        <v>327</v>
      </c>
      <c r="G309" s="0" t="n">
        <f aca="false">HYPERLINK("http://clipc-services.ceda.ac.uk/dreq/u/386fb33a-a0dc-11e6-bc63-ac72891c3257.html","web")</f>
        <v>0</v>
      </c>
      <c r="H309" s="0" t="s">
        <v>849</v>
      </c>
      <c r="I309" s="0" t="s">
        <v>36</v>
      </c>
      <c r="J309" s="0" t="s">
        <v>891</v>
      </c>
      <c r="K309" s="0" t="s">
        <v>851</v>
      </c>
    </row>
    <row r="310" customFormat="false" ht="15" hidden="false" customHeight="false" outlineLevel="0" collapsed="false">
      <c r="A310" s="0" t="s">
        <v>845</v>
      </c>
      <c r="B310" s="0" t="s">
        <v>892</v>
      </c>
      <c r="C310" s="0" t="s">
        <v>31</v>
      </c>
      <c r="D310" s="0" t="s">
        <v>859</v>
      </c>
      <c r="E310" s="0" t="s">
        <v>893</v>
      </c>
      <c r="F310" s="0" t="s">
        <v>327</v>
      </c>
      <c r="G310" s="0" t="n">
        <f aca="false">HYPERLINK("http://clipc-services.ceda.ac.uk/dreq/u/398683d4-a0dc-11e6-bc63-ac72891c3257.html","web")</f>
        <v>0</v>
      </c>
      <c r="H310" s="0" t="s">
        <v>849</v>
      </c>
      <c r="I310" s="0" t="s">
        <v>36</v>
      </c>
      <c r="J310" s="0" t="s">
        <v>883</v>
      </c>
      <c r="K310" s="0" t="s">
        <v>851</v>
      </c>
    </row>
    <row r="311" customFormat="false" ht="15" hidden="false" customHeight="false" outlineLevel="0" collapsed="false">
      <c r="A311" s="0" t="s">
        <v>845</v>
      </c>
      <c r="B311" s="0" t="s">
        <v>349</v>
      </c>
      <c r="C311" s="0" t="s">
        <v>31</v>
      </c>
      <c r="D311" s="0" t="s">
        <v>874</v>
      </c>
      <c r="E311" s="0" t="s">
        <v>350</v>
      </c>
      <c r="F311" s="0" t="s">
        <v>327</v>
      </c>
      <c r="G311" s="0" t="n">
        <f aca="false">HYPERLINK("http://clipc-services.ceda.ac.uk/dreq/u/eb72b66b6365daed79aefeda9d3d30b5.html","web")</f>
        <v>0</v>
      </c>
      <c r="H311" s="0" t="s">
        <v>344</v>
      </c>
      <c r="I311" s="0" t="s">
        <v>36</v>
      </c>
      <c r="J311" s="0" t="s">
        <v>351</v>
      </c>
      <c r="K311" s="0" t="s">
        <v>851</v>
      </c>
    </row>
    <row r="312" customFormat="false" ht="15" hidden="false" customHeight="false" outlineLevel="0" collapsed="false">
      <c r="A312" s="0" t="s">
        <v>845</v>
      </c>
      <c r="B312" s="0" t="s">
        <v>894</v>
      </c>
      <c r="C312" s="0" t="s">
        <v>31</v>
      </c>
      <c r="D312" s="0" t="s">
        <v>874</v>
      </c>
      <c r="E312" s="0" t="s">
        <v>895</v>
      </c>
      <c r="F312" s="0" t="s">
        <v>327</v>
      </c>
      <c r="G312" s="0" t="n">
        <f aca="false">HYPERLINK("http://clipc-services.ceda.ac.uk/dreq/u/ea313ee8-a0de-11e6-bc63-ac72891c3257.html","web")</f>
        <v>0</v>
      </c>
      <c r="H312" s="0" t="s">
        <v>344</v>
      </c>
      <c r="I312" s="0" t="s">
        <v>36</v>
      </c>
      <c r="J312" s="0" t="s">
        <v>877</v>
      </c>
      <c r="K312" s="0" t="s">
        <v>851</v>
      </c>
    </row>
    <row r="313" customFormat="false" ht="15" hidden="false" customHeight="false" outlineLevel="0" collapsed="false">
      <c r="A313" s="0" t="s">
        <v>845</v>
      </c>
      <c r="B313" s="0" t="s">
        <v>896</v>
      </c>
      <c r="C313" s="0" t="s">
        <v>31</v>
      </c>
      <c r="D313" s="0" t="s">
        <v>879</v>
      </c>
      <c r="E313" s="0" t="s">
        <v>897</v>
      </c>
      <c r="F313" s="0" t="s">
        <v>327</v>
      </c>
      <c r="G313" s="0" t="n">
        <f aca="false">HYPERLINK("http://clipc-services.ceda.ac.uk/dreq/u/ead5a730-a0de-11e6-bc63-ac72891c3257.html","web")</f>
        <v>0</v>
      </c>
      <c r="H313" s="0" t="s">
        <v>849</v>
      </c>
      <c r="I313" s="0" t="s">
        <v>36</v>
      </c>
      <c r="J313" s="0" t="s">
        <v>877</v>
      </c>
      <c r="K313" s="0" t="s">
        <v>851</v>
      </c>
    </row>
    <row r="314" customFormat="false" ht="15" hidden="false" customHeight="false" outlineLevel="0" collapsed="false">
      <c r="A314" s="0" t="s">
        <v>845</v>
      </c>
      <c r="B314" s="0" t="s">
        <v>898</v>
      </c>
      <c r="C314" s="0" t="s">
        <v>31</v>
      </c>
      <c r="D314" s="0" t="s">
        <v>879</v>
      </c>
      <c r="E314" s="0" t="s">
        <v>899</v>
      </c>
      <c r="F314" s="0" t="s">
        <v>327</v>
      </c>
      <c r="G314" s="0" t="n">
        <f aca="false">HYPERLINK("http://clipc-services.ceda.ac.uk/dreq/u/eb85339e-a0de-11e6-bc63-ac72891c3257.html","web")</f>
        <v>0</v>
      </c>
      <c r="H314" s="0" t="s">
        <v>849</v>
      </c>
      <c r="I314" s="0" t="s">
        <v>36</v>
      </c>
      <c r="J314" s="0" t="s">
        <v>883</v>
      </c>
      <c r="K314" s="0" t="s">
        <v>851</v>
      </c>
    </row>
    <row r="315" customFormat="false" ht="15" hidden="false" customHeight="false" outlineLevel="0" collapsed="false">
      <c r="A315" s="0" t="s">
        <v>845</v>
      </c>
      <c r="B315" s="0" t="s">
        <v>900</v>
      </c>
      <c r="C315" s="0" t="s">
        <v>31</v>
      </c>
      <c r="D315" s="0" t="s">
        <v>885</v>
      </c>
      <c r="E315" s="0" t="s">
        <v>901</v>
      </c>
      <c r="F315" s="0" t="s">
        <v>327</v>
      </c>
      <c r="G315" s="0" t="n">
        <f aca="false">HYPERLINK("http://clipc-services.ceda.ac.uk/dreq/u/90df05fe3dcd9fe0c9b48aaa74b5e9e.html","web")</f>
        <v>0</v>
      </c>
      <c r="H315" s="0" t="s">
        <v>887</v>
      </c>
      <c r="I315" s="0" t="s">
        <v>36</v>
      </c>
      <c r="J315" s="0" t="s">
        <v>902</v>
      </c>
      <c r="K315" s="0" t="s">
        <v>851</v>
      </c>
    </row>
    <row r="316" customFormat="false" ht="15" hidden="false" customHeight="false" outlineLevel="0" collapsed="false">
      <c r="A316" s="0" t="s">
        <v>845</v>
      </c>
      <c r="B316" s="0" t="s">
        <v>903</v>
      </c>
      <c r="C316" s="0" t="s">
        <v>31</v>
      </c>
      <c r="D316" s="0" t="s">
        <v>859</v>
      </c>
      <c r="E316" s="0" t="s">
        <v>904</v>
      </c>
      <c r="F316" s="0" t="s">
        <v>327</v>
      </c>
      <c r="G316" s="0" t="n">
        <f aca="false">HYPERLINK("http://clipc-services.ceda.ac.uk/dreq/u/38bd2912-a0dc-11e6-bc63-ac72891c3257.html","web")</f>
        <v>0</v>
      </c>
      <c r="H316" s="0" t="s">
        <v>849</v>
      </c>
      <c r="I316" s="0" t="s">
        <v>36</v>
      </c>
      <c r="J316" s="0" t="s">
        <v>905</v>
      </c>
      <c r="K316" s="0" t="s">
        <v>851</v>
      </c>
    </row>
    <row r="317" customFormat="false" ht="15" hidden="false" customHeight="false" outlineLevel="0" collapsed="false">
      <c r="A317" s="0" t="s">
        <v>845</v>
      </c>
      <c r="B317" s="0" t="s">
        <v>906</v>
      </c>
      <c r="C317" s="0" t="s">
        <v>31</v>
      </c>
      <c r="D317" s="0" t="s">
        <v>859</v>
      </c>
      <c r="E317" s="0" t="s">
        <v>907</v>
      </c>
      <c r="F317" s="0" t="s">
        <v>327</v>
      </c>
      <c r="G317" s="0" t="n">
        <f aca="false">HYPERLINK("http://clipc-services.ceda.ac.uk/dreq/u/39d8c78e-a0dc-11e6-bc63-ac72891c3257.html","web")</f>
        <v>0</v>
      </c>
      <c r="H317" s="0" t="s">
        <v>849</v>
      </c>
      <c r="I317" s="0" t="s">
        <v>36</v>
      </c>
      <c r="J317" s="0" t="s">
        <v>883</v>
      </c>
      <c r="K317" s="0" t="s">
        <v>851</v>
      </c>
    </row>
    <row r="318" customFormat="false" ht="15" hidden="false" customHeight="false" outlineLevel="0" collapsed="false">
      <c r="A318" s="0" t="s">
        <v>845</v>
      </c>
      <c r="B318" s="0" t="s">
        <v>832</v>
      </c>
      <c r="C318" s="0" t="s">
        <v>31</v>
      </c>
      <c r="D318" s="0" t="s">
        <v>885</v>
      </c>
      <c r="E318" s="0" t="s">
        <v>833</v>
      </c>
      <c r="F318" s="0" t="s">
        <v>327</v>
      </c>
      <c r="G318" s="0" t="n">
        <f aca="false">HYPERLINK("http://clipc-services.ceda.ac.uk/dreq/u/c9a70b4e-c5f0-11e6-ac20-5404a60d96b5.html","web")</f>
        <v>0</v>
      </c>
      <c r="H318" s="0" t="s">
        <v>834</v>
      </c>
      <c r="I318" s="0" t="s">
        <v>36</v>
      </c>
      <c r="J318" s="0" t="s">
        <v>835</v>
      </c>
      <c r="K318" s="0" t="s">
        <v>851</v>
      </c>
    </row>
    <row r="319" customFormat="false" ht="15" hidden="false" customHeight="false" outlineLevel="0" collapsed="false">
      <c r="A319" s="0" t="s">
        <v>845</v>
      </c>
      <c r="B319" s="0" t="s">
        <v>908</v>
      </c>
      <c r="C319" s="0" t="s">
        <v>31</v>
      </c>
      <c r="D319" s="0" t="s">
        <v>859</v>
      </c>
      <c r="E319" s="0" t="s">
        <v>909</v>
      </c>
      <c r="F319" s="0" t="s">
        <v>327</v>
      </c>
      <c r="G319" s="0" t="n">
        <f aca="false">HYPERLINK("http://clipc-services.ceda.ac.uk/dreq/u/3819950e-a0dc-11e6-bc63-ac72891c3257.html","web")</f>
        <v>0</v>
      </c>
      <c r="H319" s="0" t="s">
        <v>849</v>
      </c>
      <c r="I319" s="0" t="s">
        <v>36</v>
      </c>
      <c r="J319" s="0" t="s">
        <v>891</v>
      </c>
      <c r="K319" s="0" t="s">
        <v>851</v>
      </c>
    </row>
    <row r="320" customFormat="false" ht="15" hidden="false" customHeight="false" outlineLevel="0" collapsed="false">
      <c r="A320" s="0" t="s">
        <v>845</v>
      </c>
      <c r="B320" s="0" t="s">
        <v>910</v>
      </c>
      <c r="C320" s="0" t="s">
        <v>31</v>
      </c>
      <c r="D320" s="0" t="s">
        <v>859</v>
      </c>
      <c r="E320" s="0" t="s">
        <v>911</v>
      </c>
      <c r="F320" s="0" t="s">
        <v>327</v>
      </c>
      <c r="G320" s="0" t="n">
        <f aca="false">HYPERLINK("http://clipc-services.ceda.ac.uk/dreq/u/3912bdc8-a0dc-11e6-bc63-ac72891c3257.html","web")</f>
        <v>0</v>
      </c>
      <c r="H320" s="0" t="s">
        <v>849</v>
      </c>
      <c r="I320" s="0" t="s">
        <v>36</v>
      </c>
      <c r="J320" s="0" t="s">
        <v>883</v>
      </c>
      <c r="K320" s="0" t="s">
        <v>851</v>
      </c>
    </row>
    <row r="321" customFormat="false" ht="15" hidden="false" customHeight="false" outlineLevel="0" collapsed="false">
      <c r="A321" s="0" t="s">
        <v>845</v>
      </c>
      <c r="B321" s="0" t="s">
        <v>912</v>
      </c>
      <c r="C321" s="0" t="s">
        <v>31</v>
      </c>
      <c r="D321" s="0" t="s">
        <v>859</v>
      </c>
      <c r="E321" s="0" t="s">
        <v>913</v>
      </c>
      <c r="F321" s="0" t="s">
        <v>327</v>
      </c>
      <c r="G321" s="0" t="n">
        <f aca="false">HYPERLINK("http://clipc-services.ceda.ac.uk/dreq/u/af7306dc-a0da-11e6-bc63-ac72891c3257.html","web")</f>
        <v>0</v>
      </c>
      <c r="H321" s="0" t="s">
        <v>849</v>
      </c>
      <c r="I321" s="0" t="s">
        <v>36</v>
      </c>
      <c r="J321" s="0" t="s">
        <v>914</v>
      </c>
      <c r="K321" s="0" t="s">
        <v>851</v>
      </c>
    </row>
    <row r="322" customFormat="false" ht="15" hidden="false" customHeight="false" outlineLevel="0" collapsed="false"/>
    <row r="323" customFormat="false" ht="15" hidden="false" customHeight="false" outlineLevel="0" collapsed="false">
      <c r="A323" s="0" t="s">
        <v>915</v>
      </c>
      <c r="B323" s="0" t="s">
        <v>238</v>
      </c>
      <c r="C323" s="0" t="s">
        <v>49</v>
      </c>
      <c r="D323" s="0" t="s">
        <v>868</v>
      </c>
      <c r="E323" s="0" t="s">
        <v>240</v>
      </c>
      <c r="F323" s="0" t="s">
        <v>137</v>
      </c>
      <c r="G323" s="0" t="n">
        <f aca="false">HYPERLINK("http://clipc-services.ceda.ac.uk/dreq/u/6d790fe4caa7feff46a41ae7b3811e52.html","web")</f>
        <v>0</v>
      </c>
      <c r="H323" s="0" t="s">
        <v>241</v>
      </c>
      <c r="J323" s="0" t="s">
        <v>242</v>
      </c>
      <c r="K323" s="0" t="s">
        <v>711</v>
      </c>
    </row>
    <row r="324" customFormat="false" ht="15" hidden="false" customHeight="false" outlineLevel="0" collapsed="false">
      <c r="A324" s="0" t="s">
        <v>915</v>
      </c>
      <c r="B324" s="0" t="s">
        <v>368</v>
      </c>
      <c r="C324" s="0" t="s">
        <v>49</v>
      </c>
      <c r="D324" s="0" t="s">
        <v>868</v>
      </c>
      <c r="E324" s="0" t="s">
        <v>369</v>
      </c>
      <c r="F324" s="0" t="s">
        <v>370</v>
      </c>
      <c r="G324" s="0" t="n">
        <f aca="false">HYPERLINK("http://clipc-services.ceda.ac.uk/dreq/u/c8b1814845661bcad37910e70a59b285.html","web")</f>
        <v>0</v>
      </c>
      <c r="H324" s="0" t="s">
        <v>371</v>
      </c>
      <c r="I324" s="0" t="s">
        <v>359</v>
      </c>
      <c r="J324" s="0" t="s">
        <v>369</v>
      </c>
      <c r="K324" s="0" t="s">
        <v>711</v>
      </c>
    </row>
    <row r="325" customFormat="false" ht="15" hidden="false" customHeight="false" outlineLevel="0" collapsed="false">
      <c r="A325" s="0" t="s">
        <v>915</v>
      </c>
      <c r="B325" s="0" t="s">
        <v>695</v>
      </c>
      <c r="C325" s="0" t="s">
        <v>49</v>
      </c>
      <c r="D325" s="0" t="s">
        <v>312</v>
      </c>
      <c r="E325" s="0" t="s">
        <v>696</v>
      </c>
      <c r="F325" s="0" t="s">
        <v>370</v>
      </c>
      <c r="G325" s="0" t="n">
        <f aca="false">HYPERLINK("http://clipc-services.ceda.ac.uk/dreq/u/5917483c-9e49-11e5-803c-0d0b866b59f3.html","web")</f>
        <v>0</v>
      </c>
      <c r="H325" s="0" t="s">
        <v>697</v>
      </c>
      <c r="I325" s="0" t="s">
        <v>36</v>
      </c>
      <c r="J325" s="0" t="s">
        <v>698</v>
      </c>
      <c r="K325" s="0" t="s">
        <v>866</v>
      </c>
    </row>
    <row r="326" customFormat="false" ht="15" hidden="false" customHeight="false" outlineLevel="0" collapsed="false">
      <c r="A326" s="0" t="s">
        <v>915</v>
      </c>
      <c r="B326" s="0" t="s">
        <v>699</v>
      </c>
      <c r="C326" s="0" t="s">
        <v>31</v>
      </c>
      <c r="D326" s="0" t="s">
        <v>312</v>
      </c>
      <c r="E326" s="0" t="s">
        <v>700</v>
      </c>
      <c r="F326" s="0" t="s">
        <v>370</v>
      </c>
      <c r="G326" s="0" t="n">
        <f aca="false">HYPERLINK("http://clipc-services.ceda.ac.uk/dreq/u/59170a02-9e49-11e5-803c-0d0b866b59f3.html","web")</f>
        <v>0</v>
      </c>
      <c r="H326" s="0" t="s">
        <v>253</v>
      </c>
      <c r="I326" s="0" t="s">
        <v>226</v>
      </c>
      <c r="J326" s="0" t="s">
        <v>701</v>
      </c>
      <c r="K326" s="0" t="s">
        <v>866</v>
      </c>
    </row>
    <row r="327" customFormat="false" ht="15" hidden="false" customHeight="false" outlineLevel="0" collapsed="false">
      <c r="A327" s="0" t="s">
        <v>915</v>
      </c>
      <c r="B327" s="0" t="s">
        <v>702</v>
      </c>
      <c r="C327" s="0" t="s">
        <v>49</v>
      </c>
      <c r="D327" s="0" t="s">
        <v>312</v>
      </c>
      <c r="E327" s="0" t="s">
        <v>703</v>
      </c>
      <c r="F327" s="0" t="s">
        <v>370</v>
      </c>
      <c r="G327" s="0" t="n">
        <f aca="false">HYPERLINK("http://clipc-services.ceda.ac.uk/dreq/u/59173c0c-9e49-11e5-803c-0d0b866b59f3.html","web")</f>
        <v>0</v>
      </c>
      <c r="H327" s="0" t="s">
        <v>697</v>
      </c>
      <c r="I327" s="0" t="s">
        <v>36</v>
      </c>
      <c r="J327" s="0" t="s">
        <v>704</v>
      </c>
      <c r="K327" s="0" t="s">
        <v>866</v>
      </c>
    </row>
    <row r="328" customFormat="false" ht="15" hidden="false" customHeight="false" outlineLevel="0" collapsed="false">
      <c r="A328" s="0" t="s">
        <v>915</v>
      </c>
      <c r="B328" s="0" t="s">
        <v>705</v>
      </c>
      <c r="C328" s="0" t="s">
        <v>31</v>
      </c>
      <c r="D328" s="0" t="s">
        <v>312</v>
      </c>
      <c r="E328" s="0" t="s">
        <v>706</v>
      </c>
      <c r="F328" s="0" t="s">
        <v>370</v>
      </c>
      <c r="G328" s="0" t="n">
        <f aca="false">HYPERLINK("http://clipc-services.ceda.ac.uk/dreq/u/5913d86e-9e49-11e5-803c-0d0b866b59f3.html","web")</f>
        <v>0</v>
      </c>
      <c r="H328" s="0" t="s">
        <v>253</v>
      </c>
      <c r="I328" s="0" t="s">
        <v>226</v>
      </c>
      <c r="J328" s="0" t="s">
        <v>707</v>
      </c>
      <c r="K328" s="0" t="s">
        <v>866</v>
      </c>
    </row>
    <row r="329" customFormat="false" ht="15" hidden="false" customHeight="false" outlineLevel="0" collapsed="false">
      <c r="A329" s="0" t="s">
        <v>915</v>
      </c>
      <c r="B329" s="0" t="s">
        <v>708</v>
      </c>
      <c r="C329" s="0" t="s">
        <v>31</v>
      </c>
      <c r="D329" s="0" t="s">
        <v>312</v>
      </c>
      <c r="E329" s="0" t="s">
        <v>709</v>
      </c>
      <c r="F329" s="0" t="s">
        <v>370</v>
      </c>
      <c r="G329" s="0" t="n">
        <f aca="false">HYPERLINK("http://clipc-services.ceda.ac.uk/dreq/u/5913d602-9e49-11e5-803c-0d0b866b59f3.html","web")</f>
        <v>0</v>
      </c>
      <c r="H329" s="0" t="s">
        <v>253</v>
      </c>
      <c r="I329" s="0" t="s">
        <v>226</v>
      </c>
      <c r="J329" s="0" t="s">
        <v>710</v>
      </c>
      <c r="K329" s="0" t="s">
        <v>866</v>
      </c>
    </row>
    <row r="330" customFormat="false" ht="15" hidden="false" customHeight="false" outlineLevel="0" collapsed="false"/>
    <row r="331" customFormat="false" ht="15" hidden="false" customHeight="false" outlineLevel="0" collapsed="false">
      <c r="A331" s="0" t="s">
        <v>916</v>
      </c>
      <c r="B331" s="0" t="s">
        <v>785</v>
      </c>
      <c r="C331" s="0" t="s">
        <v>31</v>
      </c>
      <c r="D331" s="0" t="s">
        <v>135</v>
      </c>
      <c r="E331" s="0" t="s">
        <v>786</v>
      </c>
      <c r="F331" s="0" t="s">
        <v>31</v>
      </c>
      <c r="G331" s="0" t="n">
        <f aca="false">HYPERLINK("http://clipc-services.ceda.ac.uk/dreq/u/db3d77eebc6dc2fbcab4e0f894e46037.html","web")</f>
        <v>0</v>
      </c>
      <c r="H331" s="0" t="s">
        <v>253</v>
      </c>
      <c r="I331" s="0" t="s">
        <v>787</v>
      </c>
      <c r="J331" s="0" t="s">
        <v>788</v>
      </c>
      <c r="K331" s="0" t="s">
        <v>38</v>
      </c>
    </row>
    <row r="332" customFormat="false" ht="15" hidden="false" customHeight="false" outlineLevel="0" collapsed="false">
      <c r="A332" s="0" t="s">
        <v>916</v>
      </c>
      <c r="B332" s="0" t="s">
        <v>917</v>
      </c>
      <c r="C332" s="0" t="s">
        <v>31</v>
      </c>
      <c r="D332" s="0" t="s">
        <v>918</v>
      </c>
      <c r="E332" s="0" t="s">
        <v>919</v>
      </c>
      <c r="F332" s="0" t="s">
        <v>283</v>
      </c>
      <c r="G332" s="0" t="n">
        <f aca="false">HYPERLINK("http://clipc-services.ceda.ac.uk/dreq/u/0cde14f7745a201d47b856579bf6e759.html","web")</f>
        <v>0</v>
      </c>
      <c r="H332" s="0" t="s">
        <v>920</v>
      </c>
      <c r="I332" s="0" t="s">
        <v>36</v>
      </c>
      <c r="J332" s="0" t="s">
        <v>921</v>
      </c>
      <c r="K332" s="0" t="s">
        <v>38</v>
      </c>
    </row>
    <row r="333" customFormat="false" ht="15" hidden="false" customHeight="false" outlineLevel="0" collapsed="false">
      <c r="A333" s="0" t="s">
        <v>916</v>
      </c>
      <c r="B333" s="0" t="s">
        <v>922</v>
      </c>
      <c r="C333" s="0" t="s">
        <v>31</v>
      </c>
      <c r="D333" s="0" t="s">
        <v>918</v>
      </c>
      <c r="E333" s="0" t="s">
        <v>923</v>
      </c>
      <c r="F333" s="0" t="s">
        <v>24</v>
      </c>
      <c r="G333" s="0" t="n">
        <f aca="false">HYPERLINK("http://clipc-services.ceda.ac.uk/dreq/u/fc0bedbaf6d676fb85fe189310c871a8.html","web")</f>
        <v>0</v>
      </c>
      <c r="H333" s="0" t="s">
        <v>924</v>
      </c>
      <c r="I333" s="0" t="s">
        <v>36</v>
      </c>
      <c r="J333" s="0" t="s">
        <v>925</v>
      </c>
      <c r="K333" s="0" t="s">
        <v>38</v>
      </c>
    </row>
    <row r="334" customFormat="false" ht="15" hidden="false" customHeight="false" outlineLevel="0" collapsed="false">
      <c r="A334" s="0" t="s">
        <v>916</v>
      </c>
      <c r="B334" s="0" t="s">
        <v>926</v>
      </c>
      <c r="C334" s="0" t="s">
        <v>31</v>
      </c>
      <c r="D334" s="0" t="s">
        <v>927</v>
      </c>
      <c r="E334" s="0" t="s">
        <v>928</v>
      </c>
      <c r="F334" s="0" t="s">
        <v>24</v>
      </c>
      <c r="G334" s="0" t="n">
        <f aca="false">HYPERLINK("http://clipc-services.ceda.ac.uk/dreq/u/b1644981b0abd369ad35fac3fc930873.html","web")</f>
        <v>0</v>
      </c>
      <c r="H334" s="0" t="s">
        <v>929</v>
      </c>
      <c r="I334" s="0" t="s">
        <v>36</v>
      </c>
      <c r="J334" s="0" t="s">
        <v>930</v>
      </c>
      <c r="K334" s="0" t="s">
        <v>38</v>
      </c>
    </row>
    <row r="335" customFormat="false" ht="15" hidden="false" customHeight="false" outlineLevel="0" collapsed="false"/>
    <row r="336" customFormat="false" ht="15" hidden="false" customHeight="false" outlineLevel="0" collapsed="false">
      <c r="A336" s="0" t="s">
        <v>931</v>
      </c>
      <c r="B336" s="0" t="s">
        <v>932</v>
      </c>
      <c r="C336" s="0" t="s">
        <v>49</v>
      </c>
      <c r="D336" s="0" t="s">
        <v>933</v>
      </c>
      <c r="E336" s="0" t="s">
        <v>934</v>
      </c>
      <c r="F336" s="0" t="s">
        <v>314</v>
      </c>
      <c r="G336" s="0" t="n">
        <f aca="false">HYPERLINK("http://clipc-services.ceda.ac.uk/dreq/u/f94930c327a257dddea9ef9d0e260ed3.html","web")</f>
        <v>0</v>
      </c>
      <c r="H336" s="0" t="s">
        <v>174</v>
      </c>
      <c r="I336" s="0" t="s">
        <v>83</v>
      </c>
      <c r="J336" s="0" t="s">
        <v>935</v>
      </c>
      <c r="K336" s="0" t="s">
        <v>936</v>
      </c>
    </row>
    <row r="337" customFormat="false" ht="15" hidden="false" customHeight="false" outlineLevel="0" collapsed="false">
      <c r="A337" s="0" t="s">
        <v>931</v>
      </c>
      <c r="B337" s="0" t="s">
        <v>937</v>
      </c>
      <c r="C337" s="0" t="s">
        <v>49</v>
      </c>
      <c r="D337" s="0" t="s">
        <v>933</v>
      </c>
      <c r="E337" s="0" t="s">
        <v>938</v>
      </c>
      <c r="F337" s="0" t="s">
        <v>314</v>
      </c>
      <c r="G337" s="0" t="n">
        <f aca="false">HYPERLINK("http://clipc-services.ceda.ac.uk/dreq/u/62cb333ec6550e64596f563d114977af.html","web")</f>
        <v>0</v>
      </c>
      <c r="H337" s="0" t="s">
        <v>174</v>
      </c>
      <c r="I337" s="0" t="s">
        <v>83</v>
      </c>
      <c r="J337" s="0" t="s">
        <v>939</v>
      </c>
      <c r="K337" s="0" t="s">
        <v>936</v>
      </c>
    </row>
    <row r="338" customFormat="false" ht="15" hidden="false" customHeight="false" outlineLevel="0" collapsed="false">
      <c r="A338" s="0" t="s">
        <v>931</v>
      </c>
      <c r="B338" s="0" t="s">
        <v>940</v>
      </c>
      <c r="C338" s="0" t="s">
        <v>49</v>
      </c>
      <c r="D338" s="0" t="s">
        <v>933</v>
      </c>
      <c r="E338" s="0" t="s">
        <v>941</v>
      </c>
      <c r="F338" s="0" t="s">
        <v>314</v>
      </c>
      <c r="G338" s="0" t="n">
        <f aca="false">HYPERLINK("http://clipc-services.ceda.ac.uk/dreq/u/4fb426293126d528f2bbf902b6ede847.html","web")</f>
        <v>0</v>
      </c>
      <c r="H338" s="0" t="s">
        <v>174</v>
      </c>
      <c r="I338" s="0" t="s">
        <v>83</v>
      </c>
      <c r="J338" s="0" t="s">
        <v>942</v>
      </c>
      <c r="K338" s="0" t="s">
        <v>936</v>
      </c>
    </row>
    <row r="339" customFormat="false" ht="15" hidden="false" customHeight="false" outlineLevel="0" collapsed="false">
      <c r="A339" s="0" t="s">
        <v>931</v>
      </c>
      <c r="B339" s="0" t="s">
        <v>943</v>
      </c>
      <c r="C339" s="0" t="s">
        <v>49</v>
      </c>
      <c r="D339" s="0" t="s">
        <v>933</v>
      </c>
      <c r="E339" s="0" t="s">
        <v>944</v>
      </c>
      <c r="F339" s="0" t="s">
        <v>327</v>
      </c>
      <c r="G339" s="0" t="n">
        <f aca="false">HYPERLINK("http://clipc-services.ceda.ac.uk/dreq/u/1763f47c438dc252b1317c9861792f50.html","web")</f>
        <v>0</v>
      </c>
      <c r="H339" s="0" t="s">
        <v>174</v>
      </c>
      <c r="I339" s="0" t="s">
        <v>83</v>
      </c>
      <c r="J339" s="0" t="s">
        <v>945</v>
      </c>
      <c r="K339" s="0" t="s">
        <v>936</v>
      </c>
    </row>
    <row r="340" customFormat="false" ht="15" hidden="false" customHeight="false" outlineLevel="0" collapsed="false">
      <c r="A340" s="0" t="s">
        <v>931</v>
      </c>
      <c r="B340" s="0" t="s">
        <v>946</v>
      </c>
      <c r="C340" s="0" t="s">
        <v>49</v>
      </c>
      <c r="D340" s="0" t="s">
        <v>933</v>
      </c>
      <c r="E340" s="0" t="s">
        <v>947</v>
      </c>
      <c r="F340" s="0" t="s">
        <v>327</v>
      </c>
      <c r="G340" s="0" t="n">
        <f aca="false">HYPERLINK("http://clipc-services.ceda.ac.uk/dreq/u/d00cab8104f1a9e853ebfa511d725462.html","web")</f>
        <v>0</v>
      </c>
      <c r="H340" s="0" t="s">
        <v>174</v>
      </c>
      <c r="I340" s="0" t="s">
        <v>83</v>
      </c>
      <c r="J340" s="0" t="s">
        <v>948</v>
      </c>
      <c r="K340" s="0" t="s">
        <v>936</v>
      </c>
    </row>
    <row r="341" customFormat="false" ht="15" hidden="false" customHeight="false" outlineLevel="0" collapsed="false">
      <c r="A341" s="0" t="s">
        <v>931</v>
      </c>
      <c r="B341" s="0" t="s">
        <v>244</v>
      </c>
      <c r="C341" s="0" t="s">
        <v>31</v>
      </c>
      <c r="D341" s="0" t="s">
        <v>933</v>
      </c>
      <c r="E341" s="0" t="s">
        <v>245</v>
      </c>
      <c r="F341" s="0" t="s">
        <v>24</v>
      </c>
      <c r="G341" s="0" t="n">
        <f aca="false">HYPERLINK("http://clipc-services.ceda.ac.uk/dreq/u/44471dd9799293cef70ac63fcdd2476e.html","web")</f>
        <v>0</v>
      </c>
      <c r="I341" s="0" t="s">
        <v>26</v>
      </c>
      <c r="J341" s="0" t="s">
        <v>246</v>
      </c>
      <c r="K341" s="0" t="s">
        <v>936</v>
      </c>
    </row>
    <row r="342" customFormat="false" ht="15" hidden="false" customHeight="false" outlineLevel="0" collapsed="false"/>
    <row r="343" customFormat="false" ht="15" hidden="false" customHeight="false" outlineLevel="0" collapsed="false">
      <c r="A343" s="0" t="s">
        <v>949</v>
      </c>
      <c r="B343" s="0" t="s">
        <v>950</v>
      </c>
      <c r="C343" s="0" t="s">
        <v>31</v>
      </c>
      <c r="D343" s="0" t="s">
        <v>22</v>
      </c>
      <c r="E343" s="0" t="s">
        <v>951</v>
      </c>
      <c r="G343" s="0" t="n">
        <f aca="false">HYPERLINK("http://clipc-services.ceda.ac.uk/dreq/u/962e51dc-267b-11e7-96a5-ac72891c3257.html","web")</f>
        <v>0</v>
      </c>
      <c r="H343" s="0" t="s">
        <v>952</v>
      </c>
      <c r="I343" s="0" t="s">
        <v>953</v>
      </c>
      <c r="J343" s="0" t="s">
        <v>954</v>
      </c>
      <c r="K343" s="0" t="s">
        <v>955</v>
      </c>
    </row>
    <row r="344" customFormat="false" ht="15" hidden="false" customHeight="false" outlineLevel="0" collapsed="false">
      <c r="A344" s="0" t="s">
        <v>949</v>
      </c>
      <c r="B344" s="0" t="s">
        <v>200</v>
      </c>
      <c r="C344" s="0" t="s">
        <v>31</v>
      </c>
      <c r="D344" s="0" t="s">
        <v>956</v>
      </c>
      <c r="E344" s="0" t="s">
        <v>201</v>
      </c>
      <c r="F344" s="0" t="s">
        <v>202</v>
      </c>
      <c r="G344" s="0" t="n">
        <f aca="false">HYPERLINK("http://clipc-services.ceda.ac.uk/dreq/u/4c69515bfc84c5cb5624e94228f58351.html","web")</f>
        <v>0</v>
      </c>
      <c r="H344" s="0" t="s">
        <v>203</v>
      </c>
      <c r="I344" s="0" t="s">
        <v>45</v>
      </c>
      <c r="J344" s="0" t="s">
        <v>204</v>
      </c>
      <c r="K344" s="0" t="s">
        <v>957</v>
      </c>
    </row>
    <row r="345" customFormat="false" ht="15" hidden="false" customHeight="false" outlineLevel="0" collapsed="false"/>
    <row r="346" customFormat="false" ht="15" hidden="false" customHeight="false" outlineLevel="0" collapsed="false">
      <c r="A346" s="0" t="s">
        <v>958</v>
      </c>
      <c r="B346" s="0" t="s">
        <v>959</v>
      </c>
      <c r="C346" s="0" t="s">
        <v>31</v>
      </c>
      <c r="D346" s="0" t="s">
        <v>960</v>
      </c>
      <c r="E346" s="0" t="s">
        <v>961</v>
      </c>
      <c r="F346" s="0" t="s">
        <v>841</v>
      </c>
      <c r="G346" s="0" t="n">
        <f aca="false">HYPERLINK("http://clipc-services.ceda.ac.uk/dreq/u/5917b704-9e49-11e5-803c-0d0b866b59f3.html","web")</f>
        <v>0</v>
      </c>
      <c r="H346" s="0" t="s">
        <v>962</v>
      </c>
      <c r="I346" s="0" t="s">
        <v>226</v>
      </c>
      <c r="J346" s="0" t="s">
        <v>963</v>
      </c>
      <c r="K346" s="0" t="s">
        <v>711</v>
      </c>
    </row>
    <row r="347" customFormat="false" ht="15" hidden="false" customHeight="false" outlineLevel="0" collapsed="false"/>
    <row r="348" customFormat="false" ht="15" hidden="false" customHeight="false" outlineLevel="0" collapsed="false">
      <c r="A348" s="0" t="s">
        <v>964</v>
      </c>
      <c r="B348" s="0" t="s">
        <v>965</v>
      </c>
      <c r="C348" s="0" t="s">
        <v>31</v>
      </c>
      <c r="D348" s="0" t="s">
        <v>135</v>
      </c>
      <c r="E348" s="0" t="s">
        <v>966</v>
      </c>
      <c r="F348" s="0" t="s">
        <v>967</v>
      </c>
      <c r="G348" s="0" t="n">
        <f aca="false">HYPERLINK("http://clipc-services.ceda.ac.uk/dreq/u/590ef7b8-9e49-11e5-803c-0d0b866b59f3.html","web")</f>
        <v>0</v>
      </c>
      <c r="H348" s="0" t="s">
        <v>968</v>
      </c>
      <c r="I348" s="0" t="s">
        <v>36</v>
      </c>
      <c r="J348" s="0" t="s">
        <v>969</v>
      </c>
      <c r="K348" s="0" t="s">
        <v>866</v>
      </c>
    </row>
    <row r="349" customFormat="false" ht="15" hidden="false" customHeight="false" outlineLevel="0" collapsed="false">
      <c r="A349" s="0" t="s">
        <v>964</v>
      </c>
      <c r="B349" s="0" t="s">
        <v>970</v>
      </c>
      <c r="C349" s="0" t="s">
        <v>31</v>
      </c>
      <c r="D349" s="0" t="s">
        <v>971</v>
      </c>
      <c r="E349" s="0" t="s">
        <v>972</v>
      </c>
      <c r="F349" s="0" t="s">
        <v>16</v>
      </c>
      <c r="G349" s="0" t="n">
        <f aca="false">HYPERLINK("http://clipc-services.ceda.ac.uk/dreq/u/bf56baca-c14c-11e6-bb6a-ac72891c3257.html","web")</f>
        <v>0</v>
      </c>
      <c r="H349" s="0" t="s">
        <v>973</v>
      </c>
      <c r="I349" s="0" t="s">
        <v>974</v>
      </c>
      <c r="J349" s="0" t="s">
        <v>975</v>
      </c>
      <c r="K349" s="0" t="s">
        <v>765</v>
      </c>
    </row>
    <row r="350" customFormat="false" ht="15" hidden="false" customHeight="false" outlineLevel="0" collapsed="false">
      <c r="A350" s="0" t="s">
        <v>964</v>
      </c>
      <c r="B350" s="0" t="s">
        <v>976</v>
      </c>
      <c r="C350" s="0" t="s">
        <v>31</v>
      </c>
      <c r="D350" s="0" t="s">
        <v>977</v>
      </c>
      <c r="E350" s="0" t="s">
        <v>978</v>
      </c>
      <c r="F350" s="0" t="s">
        <v>967</v>
      </c>
      <c r="G350" s="0" t="n">
        <f aca="false">HYPERLINK("http://clipc-services.ceda.ac.uk/dreq/u/590d17f4-9e49-11e5-803c-0d0b866b59f3.html","web")</f>
        <v>0</v>
      </c>
      <c r="H350" s="0" t="s">
        <v>979</v>
      </c>
      <c r="I350" s="0" t="s">
        <v>26</v>
      </c>
      <c r="J350" s="0" t="s">
        <v>980</v>
      </c>
      <c r="K350" s="0" t="s">
        <v>981</v>
      </c>
    </row>
    <row r="351" customFormat="false" ht="15" hidden="false" customHeight="false" outlineLevel="0" collapsed="false">
      <c r="A351" s="0" t="s">
        <v>964</v>
      </c>
      <c r="B351" s="0" t="s">
        <v>869</v>
      </c>
      <c r="C351" s="0" t="s">
        <v>31</v>
      </c>
      <c r="D351" s="0" t="s">
        <v>982</v>
      </c>
      <c r="E351" s="0" t="s">
        <v>871</v>
      </c>
      <c r="F351" s="0" t="s">
        <v>31</v>
      </c>
      <c r="G351" s="0" t="n">
        <f aca="false">HYPERLINK("http://clipc-services.ceda.ac.uk/dreq/u/a06b8e83250b870d9f39dc1f6534efcb.html","web")</f>
        <v>0</v>
      </c>
      <c r="H351" s="0" t="s">
        <v>872</v>
      </c>
      <c r="I351" s="0" t="s">
        <v>232</v>
      </c>
      <c r="J351" s="0" t="s">
        <v>873</v>
      </c>
      <c r="K351" s="0" t="s">
        <v>866</v>
      </c>
    </row>
    <row r="352" customFormat="false" ht="15" hidden="false" customHeight="false" outlineLevel="0" collapsed="false">
      <c r="A352" s="0" t="s">
        <v>964</v>
      </c>
      <c r="B352" s="0" t="s">
        <v>757</v>
      </c>
      <c r="C352" s="0" t="s">
        <v>31</v>
      </c>
      <c r="D352" s="0" t="s">
        <v>135</v>
      </c>
      <c r="E352" s="0" t="s">
        <v>758</v>
      </c>
      <c r="F352" s="0" t="s">
        <v>137</v>
      </c>
      <c r="G352" s="0" t="n">
        <f aca="false">HYPERLINK("http://clipc-services.ceda.ac.uk/dreq/u/7553003ead183dd3276108b6311a337f.html","web")</f>
        <v>0</v>
      </c>
      <c r="H352" s="0" t="s">
        <v>253</v>
      </c>
      <c r="I352" s="0" t="s">
        <v>226</v>
      </c>
      <c r="J352" s="0" t="s">
        <v>759</v>
      </c>
      <c r="K352" s="0" t="s">
        <v>983</v>
      </c>
    </row>
    <row r="353" customFormat="false" ht="15" hidden="false" customHeight="false" outlineLevel="0" collapsed="false">
      <c r="A353" s="0" t="s">
        <v>964</v>
      </c>
      <c r="B353" s="0" t="s">
        <v>984</v>
      </c>
      <c r="C353" s="0" t="s">
        <v>31</v>
      </c>
      <c r="D353" s="0" t="s">
        <v>135</v>
      </c>
      <c r="E353" s="0" t="s">
        <v>985</v>
      </c>
      <c r="F353" s="0" t="s">
        <v>327</v>
      </c>
      <c r="G353" s="0" t="n">
        <f aca="false">HYPERLINK("http://clipc-services.ceda.ac.uk/dreq/u/6ca9dd8a089b15fb96841e9fe56411cf.html","web")</f>
        <v>0</v>
      </c>
      <c r="H353" s="0" t="s">
        <v>986</v>
      </c>
      <c r="I353" s="0" t="s">
        <v>987</v>
      </c>
      <c r="J353" s="0" t="s">
        <v>988</v>
      </c>
      <c r="K353" s="0" t="s">
        <v>866</v>
      </c>
    </row>
    <row r="354" customFormat="false" ht="15" hidden="false" customHeight="false" outlineLevel="0" collapsed="false">
      <c r="A354" s="0" t="s">
        <v>964</v>
      </c>
      <c r="B354" s="0" t="s">
        <v>385</v>
      </c>
      <c r="C354" s="0" t="s">
        <v>31</v>
      </c>
      <c r="D354" s="0" t="s">
        <v>135</v>
      </c>
      <c r="E354" s="0" t="s">
        <v>386</v>
      </c>
      <c r="F354" s="0" t="s">
        <v>327</v>
      </c>
      <c r="G354" s="0" t="n">
        <f aca="false">HYPERLINK("http://clipc-services.ceda.ac.uk/dreq/u/f27656eeae247192e82aa1032c911399.html","web")</f>
        <v>0</v>
      </c>
      <c r="H354" s="0" t="s">
        <v>387</v>
      </c>
      <c r="I354" s="0" t="s">
        <v>388</v>
      </c>
      <c r="J354" s="0" t="s">
        <v>389</v>
      </c>
      <c r="K354" s="0" t="s">
        <v>866</v>
      </c>
    </row>
    <row r="355" customFormat="false" ht="15" hidden="false" customHeight="false" outlineLevel="0" collapsed="false">
      <c r="A355" s="0" t="s">
        <v>964</v>
      </c>
      <c r="B355" s="0" t="s">
        <v>989</v>
      </c>
      <c r="C355" s="0" t="s">
        <v>31</v>
      </c>
      <c r="D355" s="0" t="s">
        <v>971</v>
      </c>
      <c r="E355" s="0" t="s">
        <v>990</v>
      </c>
      <c r="F355" s="0" t="s">
        <v>841</v>
      </c>
      <c r="G355" s="0" t="n">
        <f aca="false">HYPERLINK("http://clipc-services.ceda.ac.uk/dreq/u/170ff384-b622-11e6-bbe2-ac72891c3257.html","web")</f>
        <v>0</v>
      </c>
      <c r="H355" s="0" t="s">
        <v>973</v>
      </c>
      <c r="I355" s="0" t="s">
        <v>974</v>
      </c>
      <c r="J355" s="0" t="s">
        <v>991</v>
      </c>
      <c r="K355" s="0" t="s">
        <v>765</v>
      </c>
    </row>
    <row r="356" customFormat="false" ht="15" hidden="false" customHeight="false" outlineLevel="0" collapsed="false">
      <c r="A356" s="0" t="s">
        <v>964</v>
      </c>
      <c r="B356" s="0" t="s">
        <v>992</v>
      </c>
      <c r="C356" s="0" t="s">
        <v>31</v>
      </c>
      <c r="D356" s="0" t="s">
        <v>971</v>
      </c>
      <c r="E356" s="0" t="s">
        <v>993</v>
      </c>
      <c r="F356" s="0" t="s">
        <v>841</v>
      </c>
      <c r="G356" s="0" t="n">
        <f aca="false">HYPERLINK("http://clipc-services.ceda.ac.uk/dreq/u/1758307c-b622-11e6-bbe2-ac72891c3257.html","web")</f>
        <v>0</v>
      </c>
      <c r="H356" s="0" t="s">
        <v>973</v>
      </c>
      <c r="I356" s="0" t="s">
        <v>974</v>
      </c>
      <c r="J356" s="0" t="s">
        <v>994</v>
      </c>
      <c r="K356" s="0" t="s">
        <v>765</v>
      </c>
    </row>
    <row r="357" customFormat="false" ht="15" hidden="false" customHeight="false" outlineLevel="0" collapsed="false">
      <c r="A357" s="0" t="s">
        <v>964</v>
      </c>
      <c r="B357" s="0" t="s">
        <v>995</v>
      </c>
      <c r="C357" s="0" t="s">
        <v>31</v>
      </c>
      <c r="D357" s="0" t="s">
        <v>135</v>
      </c>
      <c r="E357" s="0" t="s">
        <v>996</v>
      </c>
      <c r="F357" s="0" t="s">
        <v>219</v>
      </c>
      <c r="G357" s="0" t="n">
        <f aca="false">HYPERLINK("http://clipc-services.ceda.ac.uk/dreq/u/590ea93e-9e49-11e5-803c-0d0b866b59f3.html","web")</f>
        <v>0</v>
      </c>
      <c r="H357" s="0" t="s">
        <v>997</v>
      </c>
      <c r="I357" s="0" t="s">
        <v>226</v>
      </c>
      <c r="J357" s="0" t="s">
        <v>998</v>
      </c>
      <c r="K357" s="0" t="s">
        <v>255</v>
      </c>
    </row>
    <row r="358" customFormat="false" ht="15" hidden="false" customHeight="false" outlineLevel="0" collapsed="false">
      <c r="A358" s="0" t="s">
        <v>964</v>
      </c>
      <c r="B358" s="0" t="s">
        <v>999</v>
      </c>
      <c r="C358" s="0" t="s">
        <v>31</v>
      </c>
      <c r="D358" s="0" t="s">
        <v>135</v>
      </c>
      <c r="E358" s="0" t="s">
        <v>1000</v>
      </c>
      <c r="F358" s="0" t="s">
        <v>219</v>
      </c>
      <c r="G358" s="0" t="n">
        <f aca="false">HYPERLINK("http://clipc-services.ceda.ac.uk/dreq/u/590f5b72-9e49-11e5-803c-0d0b866b59f3.html","web")</f>
        <v>0</v>
      </c>
      <c r="H358" s="0" t="s">
        <v>1001</v>
      </c>
      <c r="I358" s="0" t="s">
        <v>226</v>
      </c>
      <c r="J358" s="0" t="s">
        <v>1002</v>
      </c>
      <c r="K358" s="0" t="s">
        <v>255</v>
      </c>
    </row>
    <row r="359" customFormat="false" ht="15" hidden="false" customHeight="false" outlineLevel="0" collapsed="false"/>
    <row r="360" customFormat="false" ht="15" hidden="false" customHeight="false" outlineLevel="0" collapsed="false">
      <c r="A360" s="0" t="s">
        <v>1003</v>
      </c>
      <c r="B360" s="0" t="s">
        <v>1004</v>
      </c>
      <c r="C360" s="0" t="s">
        <v>31</v>
      </c>
      <c r="D360" s="0" t="s">
        <v>250</v>
      </c>
      <c r="E360" s="0" t="s">
        <v>1005</v>
      </c>
      <c r="F360" s="0" t="s">
        <v>714</v>
      </c>
      <c r="G360" s="0" t="n">
        <f aca="false">HYPERLINK("http://clipc-services.ceda.ac.uk/dreq/u/96a44ea6-b096-11e6-aab6-ac72891c3257.html","web")</f>
        <v>0</v>
      </c>
      <c r="H360" s="0" t="s">
        <v>770</v>
      </c>
      <c r="I360" s="0" t="s">
        <v>745</v>
      </c>
      <c r="J360" s="0" t="s">
        <v>1006</v>
      </c>
      <c r="K360" s="0" t="s">
        <v>38</v>
      </c>
    </row>
    <row r="361" customFormat="false" ht="15" hidden="false" customHeight="false" outlineLevel="0" collapsed="false">
      <c r="A361" s="0" t="s">
        <v>1003</v>
      </c>
      <c r="B361" s="0" t="s">
        <v>1007</v>
      </c>
      <c r="C361" s="0" t="s">
        <v>31</v>
      </c>
      <c r="D361" s="0" t="s">
        <v>250</v>
      </c>
      <c r="E361" s="0" t="s">
        <v>1008</v>
      </c>
      <c r="F361" s="0" t="s">
        <v>714</v>
      </c>
      <c r="G361" s="0" t="n">
        <f aca="false">HYPERLINK("http://clipc-services.ceda.ac.uk/dreq/u/afef6490-b096-11e6-aab6-ac72891c3257.html","web")</f>
        <v>0</v>
      </c>
      <c r="H361" s="0" t="s">
        <v>770</v>
      </c>
      <c r="I361" s="0" t="s">
        <v>745</v>
      </c>
      <c r="J361" s="0" t="s">
        <v>1009</v>
      </c>
      <c r="K361" s="0" t="s">
        <v>38</v>
      </c>
    </row>
    <row r="362" customFormat="false" ht="15" hidden="false" customHeight="false" outlineLevel="0" collapsed="false">
      <c r="A362" s="0" t="s">
        <v>1003</v>
      </c>
      <c r="B362" s="0" t="s">
        <v>798</v>
      </c>
      <c r="C362" s="0" t="s">
        <v>31</v>
      </c>
      <c r="D362" s="0" t="s">
        <v>250</v>
      </c>
      <c r="E362" s="0" t="s">
        <v>799</v>
      </c>
      <c r="F362" s="0" t="s">
        <v>31</v>
      </c>
      <c r="G362" s="0" t="n">
        <f aca="false">HYPERLINK("http://clipc-services.ceda.ac.uk/dreq/u/a7cf325e9bf994ade073a1297378a57c.html","web")</f>
        <v>0</v>
      </c>
      <c r="H362" s="0" t="s">
        <v>800</v>
      </c>
      <c r="I362" s="0" t="s">
        <v>322</v>
      </c>
      <c r="J362" s="0" t="s">
        <v>801</v>
      </c>
      <c r="K362" s="0" t="s">
        <v>38</v>
      </c>
    </row>
    <row r="363" customFormat="false" ht="15" hidden="false" customHeight="false" outlineLevel="0" collapsed="false">
      <c r="A363" s="0" t="s">
        <v>1003</v>
      </c>
      <c r="B363" s="0" t="s">
        <v>802</v>
      </c>
      <c r="C363" s="0" t="s">
        <v>31</v>
      </c>
      <c r="D363" s="0" t="s">
        <v>250</v>
      </c>
      <c r="E363" s="0" t="s">
        <v>803</v>
      </c>
      <c r="F363" s="0" t="s">
        <v>714</v>
      </c>
      <c r="G363" s="0" t="n">
        <f aca="false">HYPERLINK("http://clipc-services.ceda.ac.uk/dreq/u/cc8f92a2635774d636748ec8007c4bab.html","web")</f>
        <v>0</v>
      </c>
      <c r="H363" s="0" t="s">
        <v>770</v>
      </c>
      <c r="I363" s="0" t="s">
        <v>745</v>
      </c>
      <c r="J363" s="0" t="s">
        <v>804</v>
      </c>
      <c r="K363" s="0" t="s">
        <v>38</v>
      </c>
    </row>
    <row r="364" customFormat="false" ht="15" hidden="false" customHeight="false" outlineLevel="0" collapsed="false">
      <c r="A364" s="0" t="s">
        <v>1003</v>
      </c>
      <c r="B364" s="0" t="s">
        <v>1010</v>
      </c>
      <c r="C364" s="0" t="s">
        <v>31</v>
      </c>
      <c r="D364" s="0" t="s">
        <v>250</v>
      </c>
      <c r="E364" s="0" t="s">
        <v>1011</v>
      </c>
      <c r="F364" s="0" t="s">
        <v>769</v>
      </c>
      <c r="G364" s="0" t="n">
        <f aca="false">HYPERLINK("http://clipc-services.ceda.ac.uk/dreq/u/e703d0fcbdd5f975485b3404a331ed91.html","web")</f>
        <v>0</v>
      </c>
      <c r="H364" s="0" t="s">
        <v>44</v>
      </c>
      <c r="I364" s="0" t="s">
        <v>36</v>
      </c>
      <c r="J364" s="0" t="s">
        <v>1012</v>
      </c>
      <c r="K364" s="0" t="s">
        <v>1013</v>
      </c>
    </row>
    <row r="365" customFormat="false" ht="15" hidden="false" customHeight="false" outlineLevel="0" collapsed="false">
      <c r="A365" s="0" t="s">
        <v>1003</v>
      </c>
      <c r="B365" s="0" t="s">
        <v>742</v>
      </c>
      <c r="C365" s="0" t="s">
        <v>31</v>
      </c>
      <c r="D365" s="0" t="s">
        <v>250</v>
      </c>
      <c r="E365" s="0" t="s">
        <v>743</v>
      </c>
      <c r="F365" s="0" t="s">
        <v>714</v>
      </c>
      <c r="G365" s="0" t="n">
        <f aca="false">HYPERLINK("http://clipc-services.ceda.ac.uk/dreq/u/942125e5a461fef57b1477b9a2bd5fa0.html","web")</f>
        <v>0</v>
      </c>
      <c r="H365" s="0" t="s">
        <v>744</v>
      </c>
      <c r="I365" s="0" t="s">
        <v>745</v>
      </c>
      <c r="J365" s="0" t="s">
        <v>746</v>
      </c>
      <c r="K365" s="0" t="s">
        <v>38</v>
      </c>
    </row>
    <row r="366" customFormat="false" ht="15" hidden="false" customHeight="false" outlineLevel="0" collapsed="false">
      <c r="A366" s="0" t="s">
        <v>1003</v>
      </c>
      <c r="B366" s="0" t="s">
        <v>1014</v>
      </c>
      <c r="C366" s="0" t="s">
        <v>31</v>
      </c>
      <c r="D366" s="0" t="s">
        <v>1015</v>
      </c>
      <c r="E366" s="0" t="s">
        <v>1016</v>
      </c>
      <c r="F366" s="0" t="s">
        <v>327</v>
      </c>
      <c r="G366" s="0" t="n">
        <f aca="false">HYPERLINK("http://clipc-services.ceda.ac.uk/dreq/u/76248ae1d72c976495be67161d5a8d7d.html","web")</f>
        <v>0</v>
      </c>
      <c r="H366" s="0" t="s">
        <v>929</v>
      </c>
      <c r="I366" s="0" t="s">
        <v>36</v>
      </c>
      <c r="J366" s="0" t="s">
        <v>1017</v>
      </c>
      <c r="K366" s="0" t="s">
        <v>38</v>
      </c>
    </row>
    <row r="367" customFormat="false" ht="15" hidden="false" customHeight="false" outlineLevel="0" collapsed="false"/>
    <row r="368" customFormat="false" ht="15" hidden="false" customHeight="false" outlineLevel="0" collapsed="false">
      <c r="A368" s="0" t="s">
        <v>1018</v>
      </c>
      <c r="B368" s="0" t="s">
        <v>306</v>
      </c>
      <c r="C368" s="0" t="s">
        <v>31</v>
      </c>
      <c r="D368" s="0" t="s">
        <v>885</v>
      </c>
      <c r="E368" s="0" t="s">
        <v>307</v>
      </c>
      <c r="F368" s="0" t="s">
        <v>31</v>
      </c>
      <c r="G368" s="0" t="n">
        <f aca="false">HYPERLINK("http://clipc-services.ceda.ac.uk/dreq/u/29fae9ea0f236a3eb144026e1bafde28.html","web")</f>
        <v>0</v>
      </c>
      <c r="H368" s="0" t="s">
        <v>308</v>
      </c>
      <c r="I368" s="0" t="s">
        <v>309</v>
      </c>
      <c r="J368" s="0" t="s">
        <v>310</v>
      </c>
      <c r="K368" s="0" t="s">
        <v>866</v>
      </c>
    </row>
    <row r="369" customFormat="false" ht="15" hidden="false" customHeight="false" outlineLevel="0" collapsed="false">
      <c r="A369" s="0" t="s">
        <v>1018</v>
      </c>
      <c r="B369" s="0" t="s">
        <v>437</v>
      </c>
      <c r="C369" s="0" t="s">
        <v>13</v>
      </c>
      <c r="D369" s="0" t="s">
        <v>868</v>
      </c>
      <c r="E369" s="0" t="s">
        <v>439</v>
      </c>
      <c r="F369" s="0" t="s">
        <v>16</v>
      </c>
      <c r="G369" s="0" t="n">
        <f aca="false">HYPERLINK("http://clipc-services.ceda.ac.uk/dreq/u/1aefc13bd27020244fe1cfd706ce1041.html","web")</f>
        <v>0</v>
      </c>
      <c r="H369" s="0" t="s">
        <v>253</v>
      </c>
      <c r="I369" s="0" t="s">
        <v>226</v>
      </c>
      <c r="J369" s="0" t="s">
        <v>440</v>
      </c>
      <c r="K369" s="0" t="s">
        <v>866</v>
      </c>
    </row>
    <row r="370" customFormat="false" ht="15" hidden="false" customHeight="false" outlineLevel="0" collapsed="false">
      <c r="A370" s="0" t="s">
        <v>1018</v>
      </c>
      <c r="B370" s="0" t="s">
        <v>444</v>
      </c>
      <c r="C370" s="0" t="s">
        <v>13</v>
      </c>
      <c r="D370" s="0" t="s">
        <v>868</v>
      </c>
      <c r="E370" s="0" t="s">
        <v>445</v>
      </c>
      <c r="F370" s="0" t="s">
        <v>16</v>
      </c>
      <c r="G370" s="0" t="n">
        <f aca="false">HYPERLINK("http://clipc-services.ceda.ac.uk/dreq/u/2cd1940e7201d5adb02ba157a74fc33e.html","web")</f>
        <v>0</v>
      </c>
      <c r="H370" s="0" t="s">
        <v>446</v>
      </c>
      <c r="I370" s="0" t="s">
        <v>309</v>
      </c>
      <c r="J370" s="0" t="s">
        <v>447</v>
      </c>
      <c r="K370" s="0" t="s">
        <v>866</v>
      </c>
    </row>
    <row r="371" customFormat="false" ht="15" hidden="false" customHeight="false" outlineLevel="0" collapsed="false">
      <c r="A371" s="0" t="s">
        <v>1018</v>
      </c>
      <c r="B371" s="0" t="s">
        <v>798</v>
      </c>
      <c r="C371" s="0" t="s">
        <v>13</v>
      </c>
      <c r="D371" s="0" t="s">
        <v>868</v>
      </c>
      <c r="E371" s="0" t="s">
        <v>799</v>
      </c>
      <c r="F371" s="0" t="s">
        <v>31</v>
      </c>
      <c r="G371" s="0" t="n">
        <f aca="false">HYPERLINK("http://clipc-services.ceda.ac.uk/dreq/u/a7cf325e9bf994ade073a1297378a57c.html","web")</f>
        <v>0</v>
      </c>
      <c r="H371" s="0" t="s">
        <v>800</v>
      </c>
      <c r="I371" s="0" t="s">
        <v>322</v>
      </c>
      <c r="J371" s="0" t="s">
        <v>801</v>
      </c>
      <c r="K371" s="0" t="s">
        <v>866</v>
      </c>
    </row>
    <row r="372" customFormat="false" ht="15" hidden="false" customHeight="false" outlineLevel="0" collapsed="false">
      <c r="A372" s="0" t="s">
        <v>1018</v>
      </c>
      <c r="B372" s="0" t="s">
        <v>352</v>
      </c>
      <c r="C372" s="0" t="s">
        <v>31</v>
      </c>
      <c r="D372" s="0" t="s">
        <v>885</v>
      </c>
      <c r="E372" s="0" t="s">
        <v>353</v>
      </c>
      <c r="F372" s="0" t="s">
        <v>31</v>
      </c>
      <c r="G372" s="0" t="n">
        <f aca="false">HYPERLINK("http://clipc-services.ceda.ac.uk/dreq/u/8de0f30b91b15720398fc10fd712a182.html","web")</f>
        <v>0</v>
      </c>
      <c r="H372" s="0" t="s">
        <v>308</v>
      </c>
      <c r="I372" s="0" t="s">
        <v>226</v>
      </c>
      <c r="J372" s="0" t="s">
        <v>354</v>
      </c>
      <c r="K372" s="0" t="s">
        <v>866</v>
      </c>
    </row>
    <row r="373" customFormat="false" ht="15" hidden="false" customHeight="false" outlineLevel="0" collapsed="false"/>
    <row r="374" customFormat="false" ht="15" hidden="false" customHeight="false" outlineLevel="0" collapsed="false">
      <c r="A374" s="0" t="s">
        <v>1019</v>
      </c>
      <c r="B374" s="0" t="s">
        <v>1020</v>
      </c>
      <c r="C374" s="0" t="s">
        <v>31</v>
      </c>
      <c r="D374" s="0" t="s">
        <v>135</v>
      </c>
      <c r="E374" s="0" t="s">
        <v>1021</v>
      </c>
      <c r="F374" s="0" t="s">
        <v>137</v>
      </c>
      <c r="G374" s="0" t="n">
        <f aca="false">HYPERLINK("http://clipc-services.ceda.ac.uk/dreq/u/590d6e02-9e49-11e5-803c-0d0b866b59f3.html","web")</f>
        <v>0</v>
      </c>
      <c r="H374" s="0" t="s">
        <v>1022</v>
      </c>
      <c r="I374" s="0" t="s">
        <v>36</v>
      </c>
      <c r="J374" s="0" t="s">
        <v>1023</v>
      </c>
      <c r="K374" s="0" t="s">
        <v>711</v>
      </c>
    </row>
    <row r="375" customFormat="false" ht="15" hidden="false" customHeight="false" outlineLevel="0" collapsed="false">
      <c r="A375" s="0" t="s">
        <v>1019</v>
      </c>
      <c r="B375" s="0" t="s">
        <v>1024</v>
      </c>
      <c r="C375" s="0" t="s">
        <v>31</v>
      </c>
      <c r="D375" s="0" t="s">
        <v>135</v>
      </c>
      <c r="E375" s="0" t="s">
        <v>1025</v>
      </c>
      <c r="F375" s="0" t="s">
        <v>137</v>
      </c>
      <c r="G375" s="0" t="n">
        <f aca="false">HYPERLINK("http://clipc-services.ceda.ac.uk/dreq/u/5917e2ba-9e49-11e5-803c-0d0b866b59f3.html","web")</f>
        <v>0</v>
      </c>
      <c r="H375" s="0" t="s">
        <v>1026</v>
      </c>
      <c r="I375" s="0" t="s">
        <v>36</v>
      </c>
      <c r="J375" s="0" t="s">
        <v>759</v>
      </c>
      <c r="K375" s="0" t="s">
        <v>1027</v>
      </c>
    </row>
    <row r="376" customFormat="false" ht="15" hidden="false" customHeight="false" outlineLevel="0" collapsed="false"/>
    <row r="377" customFormat="false" ht="15" hidden="false" customHeight="false" outlineLevel="0" collapsed="false">
      <c r="A377" s="0" t="s">
        <v>1028</v>
      </c>
      <c r="B377" s="0" t="s">
        <v>1029</v>
      </c>
      <c r="C377" s="0" t="s">
        <v>31</v>
      </c>
      <c r="D377" s="0" t="s">
        <v>438</v>
      </c>
      <c r="E377" s="0" t="s">
        <v>1030</v>
      </c>
      <c r="F377" s="0" t="s">
        <v>31</v>
      </c>
      <c r="G377" s="0" t="n">
        <f aca="false">HYPERLINK("http://clipc-services.ceda.ac.uk/dreq/u/590d4440-9e49-11e5-803c-0d0b866b59f3.html","web")</f>
        <v>0</v>
      </c>
      <c r="H377" s="0" t="s">
        <v>44</v>
      </c>
      <c r="I377" s="0" t="s">
        <v>36</v>
      </c>
      <c r="J377" s="0" t="s">
        <v>1031</v>
      </c>
      <c r="K377" s="0" t="s">
        <v>1032</v>
      </c>
    </row>
    <row r="378" customFormat="false" ht="15" hidden="false" customHeight="false" outlineLevel="0" collapsed="false">
      <c r="A378" s="0" t="s">
        <v>1028</v>
      </c>
      <c r="B378" s="0" t="s">
        <v>1033</v>
      </c>
      <c r="C378" s="0" t="s">
        <v>13</v>
      </c>
      <c r="D378" s="0" t="s">
        <v>135</v>
      </c>
      <c r="E378" s="0" t="s">
        <v>1034</v>
      </c>
      <c r="F378" s="0" t="s">
        <v>967</v>
      </c>
      <c r="G378" s="0" t="n">
        <f aca="false">HYPERLINK("http://clipc-services.ceda.ac.uk/dreq/u/590f49fc-9e49-11e5-803c-0d0b866b59f3.html","web")</f>
        <v>0</v>
      </c>
      <c r="H378" s="0" t="s">
        <v>1035</v>
      </c>
      <c r="I378" s="0" t="s">
        <v>26</v>
      </c>
      <c r="J378" s="0" t="s">
        <v>1036</v>
      </c>
      <c r="K378" s="0" t="s">
        <v>1037</v>
      </c>
    </row>
    <row r="379" customFormat="false" ht="15" hidden="false" customHeight="false" outlineLevel="0" collapsed="false">
      <c r="A379" s="0" t="s">
        <v>1028</v>
      </c>
      <c r="B379" s="0" t="s">
        <v>1038</v>
      </c>
      <c r="C379" s="0" t="s">
        <v>13</v>
      </c>
      <c r="D379" s="0" t="s">
        <v>135</v>
      </c>
      <c r="E379" s="0" t="s">
        <v>1039</v>
      </c>
      <c r="F379" s="0" t="s">
        <v>967</v>
      </c>
      <c r="G379" s="0" t="n">
        <f aca="false">HYPERLINK("http://clipc-services.ceda.ac.uk/dreq/u/590de850-9e49-11e5-803c-0d0b866b59f3.html","web")</f>
        <v>0</v>
      </c>
      <c r="H379" s="0" t="s">
        <v>1035</v>
      </c>
      <c r="I379" s="0" t="s">
        <v>26</v>
      </c>
      <c r="J379" s="0" t="s">
        <v>1040</v>
      </c>
      <c r="K379" s="0" t="s">
        <v>1037</v>
      </c>
    </row>
    <row r="380" customFormat="false" ht="15" hidden="false" customHeight="false" outlineLevel="0" collapsed="false">
      <c r="A380" s="0" t="s">
        <v>1028</v>
      </c>
      <c r="B380" s="0" t="s">
        <v>1041</v>
      </c>
      <c r="C380" s="0" t="s">
        <v>13</v>
      </c>
      <c r="D380" s="0" t="s">
        <v>135</v>
      </c>
      <c r="E380" s="0" t="s">
        <v>1042</v>
      </c>
      <c r="F380" s="0" t="s">
        <v>967</v>
      </c>
      <c r="G380" s="0" t="n">
        <f aca="false">HYPERLINK("http://clipc-services.ceda.ac.uk/dreq/u/590f5e1a-9e49-11e5-803c-0d0b866b59f3.html","web")</f>
        <v>0</v>
      </c>
      <c r="H380" s="0" t="s">
        <v>1035</v>
      </c>
      <c r="I380" s="0" t="s">
        <v>26</v>
      </c>
      <c r="J380" s="0" t="s">
        <v>1043</v>
      </c>
      <c r="K380" s="0" t="s">
        <v>1037</v>
      </c>
    </row>
    <row r="381" customFormat="false" ht="15" hidden="false" customHeight="false" outlineLevel="0" collapsed="false">
      <c r="A381" s="0" t="s">
        <v>1028</v>
      </c>
      <c r="B381" s="0" t="s">
        <v>1044</v>
      </c>
      <c r="C381" s="0" t="s">
        <v>13</v>
      </c>
      <c r="D381" s="0" t="s">
        <v>135</v>
      </c>
      <c r="E381" s="0" t="s">
        <v>1045</v>
      </c>
      <c r="F381" s="0" t="s">
        <v>967</v>
      </c>
      <c r="G381" s="0" t="n">
        <f aca="false">HYPERLINK("http://clipc-services.ceda.ac.uk/dreq/u/59144c36-9e49-11e5-803c-0d0b866b59f3.html","web")</f>
        <v>0</v>
      </c>
      <c r="H381" s="0" t="s">
        <v>1035</v>
      </c>
      <c r="I381" s="0" t="s">
        <v>26</v>
      </c>
      <c r="J381" s="0" t="s">
        <v>1046</v>
      </c>
      <c r="K381" s="0" t="s">
        <v>1037</v>
      </c>
    </row>
    <row r="382" customFormat="false" ht="15" hidden="false" customHeight="false" outlineLevel="0" collapsed="false">
      <c r="A382" s="0" t="s">
        <v>1028</v>
      </c>
      <c r="B382" s="0" t="s">
        <v>1047</v>
      </c>
      <c r="C382" s="0" t="s">
        <v>13</v>
      </c>
      <c r="D382" s="0" t="s">
        <v>135</v>
      </c>
      <c r="E382" s="0" t="s">
        <v>1048</v>
      </c>
      <c r="F382" s="0" t="s">
        <v>967</v>
      </c>
      <c r="G382" s="0" t="n">
        <f aca="false">HYPERLINK("http://clipc-services.ceda.ac.uk/dreq/u/590f885e-9e49-11e5-803c-0d0b866b59f3.html","web")</f>
        <v>0</v>
      </c>
      <c r="H382" s="0" t="s">
        <v>1035</v>
      </c>
      <c r="I382" s="0" t="s">
        <v>26</v>
      </c>
      <c r="J382" s="0" t="s">
        <v>1049</v>
      </c>
      <c r="K382" s="0" t="s">
        <v>1037</v>
      </c>
    </row>
    <row r="383" customFormat="false" ht="15" hidden="false" customHeight="false" outlineLevel="0" collapsed="false">
      <c r="A383" s="0" t="s">
        <v>1028</v>
      </c>
      <c r="B383" s="0" t="s">
        <v>1050</v>
      </c>
      <c r="C383" s="0" t="s">
        <v>13</v>
      </c>
      <c r="D383" s="0" t="s">
        <v>135</v>
      </c>
      <c r="E383" s="0" t="s">
        <v>1051</v>
      </c>
      <c r="F383" s="0" t="s">
        <v>967</v>
      </c>
      <c r="G383" s="0" t="n">
        <f aca="false">HYPERLINK("http://clipc-services.ceda.ac.uk/dreq/u/590e29c8-9e49-11e5-803c-0d0b866b59f3.html","web")</f>
        <v>0</v>
      </c>
      <c r="H383" s="0" t="s">
        <v>1035</v>
      </c>
      <c r="I383" s="0" t="s">
        <v>26</v>
      </c>
      <c r="J383" s="0" t="s">
        <v>1052</v>
      </c>
      <c r="K383" s="0" t="s">
        <v>1037</v>
      </c>
    </row>
    <row r="384" customFormat="false" ht="15" hidden="false" customHeight="false" outlineLevel="0" collapsed="false">
      <c r="A384" s="0" t="s">
        <v>1028</v>
      </c>
      <c r="B384" s="0" t="s">
        <v>1053</v>
      </c>
      <c r="C384" s="0" t="s">
        <v>13</v>
      </c>
      <c r="D384" s="0" t="s">
        <v>135</v>
      </c>
      <c r="E384" s="0" t="s">
        <v>1054</v>
      </c>
      <c r="F384" s="0" t="s">
        <v>967</v>
      </c>
      <c r="G384" s="0" t="n">
        <f aca="false">HYPERLINK("http://clipc-services.ceda.ac.uk/dreq/u/5913d382-9e49-11e5-803c-0d0b866b59f3.html","web")</f>
        <v>0</v>
      </c>
      <c r="H384" s="0" t="s">
        <v>1035</v>
      </c>
      <c r="I384" s="0" t="s">
        <v>26</v>
      </c>
      <c r="J384" s="0" t="s">
        <v>1055</v>
      </c>
      <c r="K384" s="0" t="s">
        <v>1037</v>
      </c>
    </row>
    <row r="385" customFormat="false" ht="15" hidden="false" customHeight="false" outlineLevel="0" collapsed="false">
      <c r="A385" s="0" t="s">
        <v>1028</v>
      </c>
      <c r="B385" s="0" t="s">
        <v>1056</v>
      </c>
      <c r="C385" s="0" t="s">
        <v>13</v>
      </c>
      <c r="D385" s="0" t="s">
        <v>135</v>
      </c>
      <c r="E385" s="0" t="s">
        <v>1057</v>
      </c>
      <c r="F385" s="0" t="s">
        <v>967</v>
      </c>
      <c r="G385" s="0" t="n">
        <f aca="false">HYPERLINK("http://clipc-services.ceda.ac.uk/dreq/u/59149524-9e49-11e5-803c-0d0b866b59f3.html","web")</f>
        <v>0</v>
      </c>
      <c r="H385" s="0" t="s">
        <v>1035</v>
      </c>
      <c r="I385" s="0" t="s">
        <v>26</v>
      </c>
      <c r="J385" s="0" t="s">
        <v>1058</v>
      </c>
      <c r="K385" s="0" t="s">
        <v>1037</v>
      </c>
    </row>
    <row r="386" customFormat="false" ht="15" hidden="false" customHeight="false" outlineLevel="0" collapsed="false">
      <c r="A386" s="0" t="s">
        <v>1028</v>
      </c>
      <c r="B386" s="0" t="s">
        <v>1059</v>
      </c>
      <c r="C386" s="0" t="s">
        <v>13</v>
      </c>
      <c r="D386" s="0" t="s">
        <v>135</v>
      </c>
      <c r="E386" s="0" t="s">
        <v>1060</v>
      </c>
      <c r="F386" s="0" t="s">
        <v>967</v>
      </c>
      <c r="G386" s="0" t="n">
        <f aca="false">HYPERLINK("http://clipc-services.ceda.ac.uk/dreq/u/84f0f62e-acb7-11e6-b5ee-ac72891c3257.html","web")</f>
        <v>0</v>
      </c>
      <c r="H386" s="0" t="s">
        <v>1061</v>
      </c>
      <c r="I386" s="0" t="s">
        <v>26</v>
      </c>
      <c r="J386" s="0" t="s">
        <v>1062</v>
      </c>
      <c r="K386" s="0" t="s">
        <v>1063</v>
      </c>
    </row>
    <row r="387" customFormat="false" ht="15" hidden="false" customHeight="false" outlineLevel="0" collapsed="false">
      <c r="A387" s="0" t="s">
        <v>1028</v>
      </c>
      <c r="B387" s="0" t="s">
        <v>1064</v>
      </c>
      <c r="C387" s="0" t="s">
        <v>13</v>
      </c>
      <c r="D387" s="0" t="s">
        <v>135</v>
      </c>
      <c r="E387" s="0" t="s">
        <v>1065</v>
      </c>
      <c r="F387" s="0" t="s">
        <v>967</v>
      </c>
      <c r="G387" s="0" t="n">
        <f aca="false">HYPERLINK("http://clipc-services.ceda.ac.uk/dreq/u/84efa3fa-acb7-11e6-b5ee-ac72891c3257.html","web")</f>
        <v>0</v>
      </c>
      <c r="H387" s="0" t="s">
        <v>1061</v>
      </c>
      <c r="I387" s="0" t="s">
        <v>26</v>
      </c>
      <c r="J387" s="0" t="s">
        <v>1062</v>
      </c>
      <c r="K387" s="0" t="s">
        <v>1063</v>
      </c>
    </row>
    <row r="388" customFormat="false" ht="15" hidden="false" customHeight="false" outlineLevel="0" collapsed="false">
      <c r="A388" s="0" t="s">
        <v>1028</v>
      </c>
      <c r="B388" s="0" t="s">
        <v>1066</v>
      </c>
      <c r="C388" s="0" t="s">
        <v>13</v>
      </c>
      <c r="D388" s="0" t="s">
        <v>135</v>
      </c>
      <c r="E388" s="0" t="s">
        <v>1067</v>
      </c>
      <c r="F388" s="0" t="s">
        <v>967</v>
      </c>
      <c r="G388" s="0" t="n">
        <f aca="false">HYPERLINK("http://clipc-services.ceda.ac.uk/dreq/u/84f0a5d4-acb7-11e6-b5ee-ac72891c3257.html","web")</f>
        <v>0</v>
      </c>
      <c r="H388" s="0" t="s">
        <v>1061</v>
      </c>
      <c r="I388" s="0" t="s">
        <v>26</v>
      </c>
      <c r="J388" s="0" t="s">
        <v>1062</v>
      </c>
      <c r="K388" s="0" t="s">
        <v>1063</v>
      </c>
    </row>
    <row r="389" customFormat="false" ht="15" hidden="false" customHeight="false" outlineLevel="0" collapsed="false">
      <c r="A389" s="0" t="s">
        <v>1028</v>
      </c>
      <c r="B389" s="0" t="s">
        <v>1068</v>
      </c>
      <c r="C389" s="0" t="s">
        <v>13</v>
      </c>
      <c r="D389" s="0" t="s">
        <v>135</v>
      </c>
      <c r="E389" s="0" t="s">
        <v>1069</v>
      </c>
      <c r="F389" s="0" t="s">
        <v>967</v>
      </c>
      <c r="G389" s="0" t="n">
        <f aca="false">HYPERLINK("http://clipc-services.ceda.ac.uk/dreq/u/f3532407075647328e7da9c24f00193d.html","web")</f>
        <v>0</v>
      </c>
      <c r="H389" s="0" t="s">
        <v>1070</v>
      </c>
      <c r="I389" s="0" t="s">
        <v>26</v>
      </c>
      <c r="J389" s="0" t="s">
        <v>1071</v>
      </c>
      <c r="K389" s="0" t="s">
        <v>1072</v>
      </c>
    </row>
    <row r="390" customFormat="false" ht="15" hidden="false" customHeight="false" outlineLevel="0" collapsed="false">
      <c r="A390" s="0" t="s">
        <v>1028</v>
      </c>
      <c r="B390" s="0" t="s">
        <v>1073</v>
      </c>
      <c r="C390" s="0" t="s">
        <v>31</v>
      </c>
      <c r="D390" s="0" t="s">
        <v>1074</v>
      </c>
      <c r="E390" s="0" t="s">
        <v>1075</v>
      </c>
      <c r="F390" s="0" t="s">
        <v>967</v>
      </c>
      <c r="G390" s="0" t="n">
        <f aca="false">HYPERLINK("http://clipc-services.ceda.ac.uk/dreq/u/84f0f91c-acb7-11e6-b5ee-ac72891c3257.html","web")</f>
        <v>0</v>
      </c>
      <c r="H390" s="0" t="s">
        <v>1076</v>
      </c>
      <c r="I390" s="0" t="s">
        <v>26</v>
      </c>
      <c r="J390" s="0" t="s">
        <v>1077</v>
      </c>
      <c r="K390" s="0" t="s">
        <v>1063</v>
      </c>
    </row>
    <row r="391" customFormat="false" ht="15" hidden="false" customHeight="false" outlineLevel="0" collapsed="false">
      <c r="A391" s="0" t="s">
        <v>1028</v>
      </c>
      <c r="B391" s="0" t="s">
        <v>1078</v>
      </c>
      <c r="C391" s="0" t="s">
        <v>13</v>
      </c>
      <c r="D391" s="0" t="s">
        <v>135</v>
      </c>
      <c r="E391" s="0" t="s">
        <v>1079</v>
      </c>
      <c r="F391" s="0" t="s">
        <v>967</v>
      </c>
      <c r="G391" s="0" t="n">
        <f aca="false">HYPERLINK("http://clipc-services.ceda.ac.uk/dreq/u/84f0d158-acb7-11e6-b5ee-ac72891c3257.html","web")</f>
        <v>0</v>
      </c>
      <c r="H391" s="0" t="s">
        <v>1061</v>
      </c>
      <c r="I391" s="0" t="s">
        <v>26</v>
      </c>
      <c r="J391" s="0" t="s">
        <v>1080</v>
      </c>
      <c r="K391" s="0" t="s">
        <v>1063</v>
      </c>
    </row>
    <row r="392" customFormat="false" ht="15" hidden="false" customHeight="false" outlineLevel="0" collapsed="false">
      <c r="A392" s="0" t="s">
        <v>1028</v>
      </c>
      <c r="B392" s="0" t="s">
        <v>1081</v>
      </c>
      <c r="C392" s="0" t="s">
        <v>13</v>
      </c>
      <c r="D392" s="0" t="s">
        <v>977</v>
      </c>
      <c r="E392" s="0" t="s">
        <v>1082</v>
      </c>
      <c r="F392" s="0" t="s">
        <v>967</v>
      </c>
      <c r="G392" s="0" t="n">
        <f aca="false">HYPERLINK("http://clipc-services.ceda.ac.uk/dreq/u/84f0a8f4-acb7-11e6-b5ee-ac72891c3257.html","web")</f>
        <v>0</v>
      </c>
      <c r="H392" s="0" t="s">
        <v>1076</v>
      </c>
      <c r="I392" s="0" t="s">
        <v>26</v>
      </c>
      <c r="J392" s="0" t="s">
        <v>1083</v>
      </c>
      <c r="K392" s="0" t="s">
        <v>1063</v>
      </c>
    </row>
    <row r="393" customFormat="false" ht="15" hidden="false" customHeight="false" outlineLevel="0" collapsed="false">
      <c r="A393" s="0" t="s">
        <v>1028</v>
      </c>
      <c r="B393" s="0" t="s">
        <v>1084</v>
      </c>
      <c r="C393" s="0" t="s">
        <v>13</v>
      </c>
      <c r="D393" s="0" t="s">
        <v>1085</v>
      </c>
      <c r="E393" s="0" t="s">
        <v>1086</v>
      </c>
      <c r="F393" s="0" t="s">
        <v>967</v>
      </c>
      <c r="G393" s="0" t="n">
        <f aca="false">HYPERLINK("http://clipc-services.ceda.ac.uk/dreq/u/84f0fc3c-acb7-11e6-b5ee-ac72891c3257.html","web")</f>
        <v>0</v>
      </c>
      <c r="H393" s="0" t="s">
        <v>1087</v>
      </c>
      <c r="I393" s="0" t="s">
        <v>26</v>
      </c>
      <c r="J393" s="0" t="s">
        <v>1088</v>
      </c>
      <c r="K393" s="0" t="s">
        <v>1063</v>
      </c>
    </row>
    <row r="394" customFormat="false" ht="15" hidden="false" customHeight="false" outlineLevel="0" collapsed="false">
      <c r="A394" s="0" t="s">
        <v>1028</v>
      </c>
      <c r="B394" s="0" t="s">
        <v>1089</v>
      </c>
      <c r="C394" s="0" t="s">
        <v>13</v>
      </c>
      <c r="D394" s="0" t="s">
        <v>135</v>
      </c>
      <c r="E394" s="0" t="s">
        <v>1090</v>
      </c>
      <c r="F394" s="0" t="s">
        <v>967</v>
      </c>
      <c r="G394" s="0" t="n">
        <f aca="false">HYPERLINK("http://clipc-services.ceda.ac.uk/dreq/u/84f10b8c-acb7-11e6-b5ee-ac72891c3257.html","web")</f>
        <v>0</v>
      </c>
      <c r="H394" s="0" t="s">
        <v>1061</v>
      </c>
      <c r="I394" s="0" t="s">
        <v>26</v>
      </c>
      <c r="J394" s="0" t="s">
        <v>1080</v>
      </c>
      <c r="K394" s="0" t="s">
        <v>1063</v>
      </c>
    </row>
    <row r="395" customFormat="false" ht="15" hidden="false" customHeight="false" outlineLevel="0" collapsed="false">
      <c r="A395" s="0" t="s">
        <v>1028</v>
      </c>
      <c r="B395" s="0" t="s">
        <v>1091</v>
      </c>
      <c r="C395" s="0" t="s">
        <v>13</v>
      </c>
      <c r="D395" s="0" t="s">
        <v>135</v>
      </c>
      <c r="E395" s="0" t="s">
        <v>1092</v>
      </c>
      <c r="F395" s="0" t="s">
        <v>967</v>
      </c>
      <c r="G395" s="0" t="n">
        <f aca="false">HYPERLINK("http://clipc-services.ceda.ac.uk/dreq/u/84f0e418-acb7-11e6-b5ee-ac72891c3257.html","web")</f>
        <v>0</v>
      </c>
      <c r="H395" s="0" t="s">
        <v>1061</v>
      </c>
      <c r="I395" s="0" t="s">
        <v>26</v>
      </c>
      <c r="J395" s="0" t="s">
        <v>1080</v>
      </c>
      <c r="K395" s="0" t="s">
        <v>1063</v>
      </c>
    </row>
    <row r="396" customFormat="false" ht="15" hidden="false" customHeight="false" outlineLevel="0" collapsed="false">
      <c r="A396" s="0" t="s">
        <v>1028</v>
      </c>
      <c r="B396" s="0" t="s">
        <v>1093</v>
      </c>
      <c r="C396" s="0" t="s">
        <v>13</v>
      </c>
      <c r="D396" s="0" t="s">
        <v>135</v>
      </c>
      <c r="E396" s="0" t="s">
        <v>1094</v>
      </c>
      <c r="F396" s="0" t="s">
        <v>967</v>
      </c>
      <c r="G396" s="0" t="n">
        <f aca="false">HYPERLINK("http://clipc-services.ceda.ac.uk/dreq/u/84f0ac28-acb7-11e6-b5ee-ac72891c3257.html","web")</f>
        <v>0</v>
      </c>
      <c r="H396" s="0" t="s">
        <v>1061</v>
      </c>
      <c r="I396" s="0" t="s">
        <v>26</v>
      </c>
      <c r="J396" s="0" t="s">
        <v>1095</v>
      </c>
      <c r="K396" s="0" t="s">
        <v>1063</v>
      </c>
    </row>
    <row r="397" customFormat="false" ht="15" hidden="false" customHeight="false" outlineLevel="0" collapsed="false">
      <c r="A397" s="0" t="s">
        <v>1028</v>
      </c>
      <c r="B397" s="0" t="s">
        <v>1096</v>
      </c>
      <c r="C397" s="0" t="s">
        <v>13</v>
      </c>
      <c r="D397" s="0" t="s">
        <v>135</v>
      </c>
      <c r="E397" s="0" t="s">
        <v>1097</v>
      </c>
      <c r="F397" s="0" t="s">
        <v>967</v>
      </c>
      <c r="G397" s="0" t="n">
        <f aca="false">HYPERLINK("http://clipc-services.ceda.ac.uk/dreq/u/84f0c19a-acb7-11e6-b5ee-ac72891c3257.html","web")</f>
        <v>0</v>
      </c>
      <c r="H397" s="0" t="s">
        <v>1061</v>
      </c>
      <c r="I397" s="0" t="s">
        <v>26</v>
      </c>
      <c r="J397" s="0" t="s">
        <v>1095</v>
      </c>
      <c r="K397" s="0" t="s">
        <v>1063</v>
      </c>
    </row>
    <row r="398" customFormat="false" ht="15" hidden="false" customHeight="false" outlineLevel="0" collapsed="false">
      <c r="A398" s="0" t="s">
        <v>1028</v>
      </c>
      <c r="B398" s="0" t="s">
        <v>1098</v>
      </c>
      <c r="C398" s="0" t="s">
        <v>13</v>
      </c>
      <c r="D398" s="0" t="s">
        <v>135</v>
      </c>
      <c r="E398" s="0" t="s">
        <v>1099</v>
      </c>
      <c r="F398" s="0" t="s">
        <v>967</v>
      </c>
      <c r="G398" s="0" t="n">
        <f aca="false">HYPERLINK("http://clipc-services.ceda.ac.uk/dreq/u/84f0ff48-acb7-11e6-b5ee-ac72891c3257.html","web")</f>
        <v>0</v>
      </c>
      <c r="H398" s="0" t="s">
        <v>1061</v>
      </c>
      <c r="I398" s="0" t="s">
        <v>26</v>
      </c>
      <c r="J398" s="0" t="s">
        <v>1095</v>
      </c>
      <c r="K398" s="0" t="s">
        <v>1063</v>
      </c>
    </row>
    <row r="399" customFormat="false" ht="15" hidden="false" customHeight="false" outlineLevel="0" collapsed="false">
      <c r="A399" s="0" t="s">
        <v>1028</v>
      </c>
      <c r="B399" s="0" t="s">
        <v>965</v>
      </c>
      <c r="C399" s="0" t="s">
        <v>31</v>
      </c>
      <c r="D399" s="0" t="s">
        <v>135</v>
      </c>
      <c r="E399" s="0" t="s">
        <v>966</v>
      </c>
      <c r="F399" s="0" t="s">
        <v>967</v>
      </c>
      <c r="G399" s="0" t="n">
        <f aca="false">HYPERLINK("http://clipc-services.ceda.ac.uk/dreq/u/590ef7b8-9e49-11e5-803c-0d0b866b59f3.html","web")</f>
        <v>0</v>
      </c>
      <c r="H399" s="0" t="s">
        <v>968</v>
      </c>
      <c r="I399" s="0" t="s">
        <v>36</v>
      </c>
      <c r="J399" s="0" t="s">
        <v>969</v>
      </c>
      <c r="K399" s="0" t="s">
        <v>711</v>
      </c>
    </row>
    <row r="400" customFormat="false" ht="15" hidden="false" customHeight="false" outlineLevel="0" collapsed="false">
      <c r="A400" s="0" t="s">
        <v>1028</v>
      </c>
      <c r="B400" s="0" t="s">
        <v>1100</v>
      </c>
      <c r="C400" s="0" t="s">
        <v>13</v>
      </c>
      <c r="D400" s="0" t="s">
        <v>438</v>
      </c>
      <c r="E400" s="0" t="s">
        <v>1101</v>
      </c>
      <c r="F400" s="0" t="s">
        <v>1102</v>
      </c>
      <c r="G400" s="0" t="n">
        <f aca="false">HYPERLINK("http://clipc-services.ceda.ac.uk/dreq/u/712473d6-c7b6-11e6-bb2a-ac72891c3257.html","web")</f>
        <v>0</v>
      </c>
      <c r="I400" s="0" t="s">
        <v>26</v>
      </c>
      <c r="J400" s="0" t="s">
        <v>1103</v>
      </c>
      <c r="K400" s="0" t="s">
        <v>981</v>
      </c>
    </row>
    <row r="401" customFormat="false" ht="15" hidden="false" customHeight="false" outlineLevel="0" collapsed="false">
      <c r="A401" s="0" t="s">
        <v>1028</v>
      </c>
      <c r="B401" s="0" t="s">
        <v>1104</v>
      </c>
      <c r="C401" s="0" t="s">
        <v>31</v>
      </c>
      <c r="D401" s="0" t="s">
        <v>438</v>
      </c>
      <c r="E401" s="0" t="s">
        <v>1105</v>
      </c>
      <c r="F401" s="0" t="s">
        <v>777</v>
      </c>
      <c r="G401" s="0" t="n">
        <f aca="false">HYPERLINK("http://clipc-services.ceda.ac.uk/dreq/u/70b0b8239a6ffb48b4a4f3086da12150.html","web")</f>
        <v>0</v>
      </c>
      <c r="H401" s="0" t="s">
        <v>1106</v>
      </c>
      <c r="I401" s="0" t="s">
        <v>322</v>
      </c>
      <c r="J401" s="0" t="s">
        <v>1107</v>
      </c>
      <c r="K401" s="0" t="s">
        <v>1108</v>
      </c>
    </row>
    <row r="402" customFormat="false" ht="15" hidden="false" customHeight="false" outlineLevel="0" collapsed="false">
      <c r="A402" s="0" t="s">
        <v>1028</v>
      </c>
      <c r="B402" s="0" t="s">
        <v>1109</v>
      </c>
      <c r="C402" s="0" t="s">
        <v>31</v>
      </c>
      <c r="D402" s="0" t="s">
        <v>724</v>
      </c>
      <c r="E402" s="0" t="s">
        <v>1110</v>
      </c>
      <c r="F402" s="0" t="s">
        <v>265</v>
      </c>
      <c r="G402" s="0" t="n">
        <f aca="false">HYPERLINK("http://clipc-services.ceda.ac.uk/dreq/u/5d432c16b179052a4e94c63af356c67c.html","web")</f>
        <v>0</v>
      </c>
      <c r="H402" s="0" t="s">
        <v>253</v>
      </c>
      <c r="I402" s="0" t="s">
        <v>226</v>
      </c>
      <c r="J402" s="0" t="s">
        <v>1111</v>
      </c>
      <c r="K402" s="0" t="s">
        <v>683</v>
      </c>
    </row>
    <row r="403" customFormat="false" ht="15" hidden="false" customHeight="false" outlineLevel="0" collapsed="false">
      <c r="A403" s="0" t="s">
        <v>1028</v>
      </c>
      <c r="B403" s="0" t="s">
        <v>1112</v>
      </c>
      <c r="C403" s="0" t="s">
        <v>13</v>
      </c>
      <c r="D403" s="0" t="s">
        <v>41</v>
      </c>
      <c r="E403" s="0" t="s">
        <v>1113</v>
      </c>
      <c r="F403" s="0" t="s">
        <v>43</v>
      </c>
      <c r="G403" s="0" t="n">
        <f aca="false">HYPERLINK("http://clipc-services.ceda.ac.uk/dreq/u/59144254-9e49-11e5-803c-0d0b866b59f3.html","web")</f>
        <v>0</v>
      </c>
      <c r="H403" s="0" t="s">
        <v>1035</v>
      </c>
      <c r="I403" s="0" t="s">
        <v>26</v>
      </c>
      <c r="J403" s="0" t="s">
        <v>1114</v>
      </c>
      <c r="K403" s="0" t="s">
        <v>1037</v>
      </c>
    </row>
    <row r="404" customFormat="false" ht="15" hidden="false" customHeight="false" outlineLevel="0" collapsed="false">
      <c r="A404" s="0" t="s">
        <v>1028</v>
      </c>
      <c r="B404" s="0" t="s">
        <v>116</v>
      </c>
      <c r="C404" s="0" t="s">
        <v>13</v>
      </c>
      <c r="D404" s="0" t="s">
        <v>41</v>
      </c>
      <c r="E404" s="0" t="s">
        <v>117</v>
      </c>
      <c r="F404" s="0" t="s">
        <v>118</v>
      </c>
      <c r="G404" s="0" t="n">
        <f aca="false">HYPERLINK("http://clipc-services.ceda.ac.uk/dreq/u/684d3f3543045a89ecbb0ca81ba6705f.html","web")</f>
        <v>0</v>
      </c>
      <c r="H404" s="0" t="s">
        <v>119</v>
      </c>
      <c r="I404" s="0" t="s">
        <v>120</v>
      </c>
      <c r="J404" s="0" t="s">
        <v>121</v>
      </c>
      <c r="K404" s="0" t="s">
        <v>981</v>
      </c>
    </row>
    <row r="405" customFormat="false" ht="15" hidden="false" customHeight="false" outlineLevel="0" collapsed="false">
      <c r="A405" s="0" t="s">
        <v>1028</v>
      </c>
      <c r="B405" s="0" t="s">
        <v>122</v>
      </c>
      <c r="C405" s="0" t="s">
        <v>13</v>
      </c>
      <c r="D405" s="0" t="s">
        <v>41</v>
      </c>
      <c r="E405" s="0" t="s">
        <v>123</v>
      </c>
      <c r="F405" s="0" t="s">
        <v>118</v>
      </c>
      <c r="G405" s="0" t="n">
        <f aca="false">HYPERLINK("http://clipc-services.ceda.ac.uk/dreq/u/71480abb30ae62d262fcea6cfdd753cf.html","web")</f>
        <v>0</v>
      </c>
      <c r="H405" s="0" t="s">
        <v>124</v>
      </c>
      <c r="I405" s="0" t="s">
        <v>26</v>
      </c>
      <c r="J405" s="0" t="s">
        <v>125</v>
      </c>
      <c r="K405" s="0" t="s">
        <v>981</v>
      </c>
    </row>
    <row r="406" customFormat="false" ht="15" hidden="false" customHeight="false" outlineLevel="0" collapsed="false">
      <c r="A406" s="0" t="s">
        <v>1028</v>
      </c>
      <c r="B406" s="0" t="s">
        <v>126</v>
      </c>
      <c r="C406" s="0" t="s">
        <v>31</v>
      </c>
      <c r="D406" s="0" t="s">
        <v>41</v>
      </c>
      <c r="E406" s="0" t="s">
        <v>127</v>
      </c>
      <c r="F406" s="0" t="s">
        <v>118</v>
      </c>
      <c r="G406" s="0" t="n">
        <f aca="false">HYPERLINK("http://clipc-services.ceda.ac.uk/dreq/u/e52528e8-dd83-11e5-9194-ac72891c3257.html","web")</f>
        <v>0</v>
      </c>
      <c r="H406" s="0" t="s">
        <v>124</v>
      </c>
      <c r="I406" s="0" t="s">
        <v>26</v>
      </c>
      <c r="J406" s="0" t="s">
        <v>128</v>
      </c>
      <c r="K406" s="0" t="s">
        <v>981</v>
      </c>
    </row>
    <row r="407" customFormat="false" ht="15" hidden="false" customHeight="false" outlineLevel="0" collapsed="false">
      <c r="A407" s="0" t="s">
        <v>1028</v>
      </c>
      <c r="B407" s="0" t="s">
        <v>129</v>
      </c>
      <c r="C407" s="0" t="s">
        <v>13</v>
      </c>
      <c r="D407" s="0" t="s">
        <v>41</v>
      </c>
      <c r="E407" s="0" t="s">
        <v>130</v>
      </c>
      <c r="F407" s="0" t="s">
        <v>118</v>
      </c>
      <c r="G407" s="0" t="n">
        <f aca="false">HYPERLINK("http://clipc-services.ceda.ac.uk/dreq/u/236430ceeb7aa3d23577b3a03d13f7fb.html","web")</f>
        <v>0</v>
      </c>
      <c r="H407" s="0" t="s">
        <v>124</v>
      </c>
      <c r="I407" s="0" t="s">
        <v>26</v>
      </c>
      <c r="J407" s="0" t="s">
        <v>128</v>
      </c>
      <c r="K407" s="0" t="s">
        <v>981</v>
      </c>
    </row>
    <row r="408" customFormat="false" ht="15" hidden="false" customHeight="false" outlineLevel="0" collapsed="false">
      <c r="A408" s="0" t="s">
        <v>1028</v>
      </c>
      <c r="B408" s="0" t="s">
        <v>1115</v>
      </c>
      <c r="C408" s="0" t="s">
        <v>31</v>
      </c>
      <c r="D408" s="0" t="s">
        <v>135</v>
      </c>
      <c r="E408" s="0" t="s">
        <v>1116</v>
      </c>
      <c r="F408" s="0" t="s">
        <v>137</v>
      </c>
      <c r="G408" s="0" t="n">
        <f aca="false">HYPERLINK("http://clipc-services.ceda.ac.uk/dreq/u/5917a796-9e49-11e5-803c-0d0b866b59f3.html","web")</f>
        <v>0</v>
      </c>
      <c r="H408" s="0" t="s">
        <v>1117</v>
      </c>
      <c r="I408" s="0" t="s">
        <v>1118</v>
      </c>
      <c r="J408" s="0" t="s">
        <v>1119</v>
      </c>
      <c r="K408" s="0" t="s">
        <v>1063</v>
      </c>
    </row>
    <row r="409" customFormat="false" ht="15" hidden="false" customHeight="false" outlineLevel="0" collapsed="false">
      <c r="A409" s="0" t="s">
        <v>1028</v>
      </c>
      <c r="B409" s="0" t="s">
        <v>1120</v>
      </c>
      <c r="C409" s="0" t="s">
        <v>31</v>
      </c>
      <c r="D409" s="0" t="s">
        <v>135</v>
      </c>
      <c r="E409" s="0" t="s">
        <v>1121</v>
      </c>
      <c r="F409" s="0" t="s">
        <v>137</v>
      </c>
      <c r="G409" s="0" t="n">
        <f aca="false">HYPERLINK("http://clipc-services.ceda.ac.uk/dreq/u/5912cf78-9e49-11e5-803c-0d0b866b59f3.html","web")</f>
        <v>0</v>
      </c>
      <c r="H409" s="0" t="s">
        <v>1122</v>
      </c>
      <c r="I409" s="0" t="s">
        <v>26</v>
      </c>
      <c r="J409" s="0" t="s">
        <v>1123</v>
      </c>
      <c r="K409" s="0" t="s">
        <v>1037</v>
      </c>
    </row>
    <row r="410" customFormat="false" ht="15" hidden="false" customHeight="false" outlineLevel="0" collapsed="false">
      <c r="A410" s="0" t="s">
        <v>1028</v>
      </c>
      <c r="B410" s="0" t="s">
        <v>1124</v>
      </c>
      <c r="C410" s="0" t="s">
        <v>13</v>
      </c>
      <c r="D410" s="0" t="s">
        <v>135</v>
      </c>
      <c r="E410" s="0" t="s">
        <v>1125</v>
      </c>
      <c r="F410" s="0" t="s">
        <v>137</v>
      </c>
      <c r="G410" s="0" t="n">
        <f aca="false">HYPERLINK("http://clipc-services.ceda.ac.uk/dreq/u/590f097e-9e49-11e5-803c-0d0b866b59f3.html","web")</f>
        <v>0</v>
      </c>
      <c r="H410" s="0" t="s">
        <v>1122</v>
      </c>
      <c r="I410" s="0" t="s">
        <v>26</v>
      </c>
      <c r="J410" s="0" t="s">
        <v>1126</v>
      </c>
      <c r="K410" s="0" t="s">
        <v>1063</v>
      </c>
    </row>
    <row r="411" customFormat="false" ht="15" hidden="false" customHeight="false" outlineLevel="0" collapsed="false">
      <c r="A411" s="0" t="s">
        <v>1028</v>
      </c>
      <c r="B411" s="0" t="s">
        <v>1127</v>
      </c>
      <c r="C411" s="0" t="s">
        <v>31</v>
      </c>
      <c r="D411" s="0" t="s">
        <v>135</v>
      </c>
      <c r="E411" s="0" t="s">
        <v>1128</v>
      </c>
      <c r="F411" s="0" t="s">
        <v>137</v>
      </c>
      <c r="G411" s="0" t="n">
        <f aca="false">HYPERLINK("http://clipc-services.ceda.ac.uk/dreq/u/5912d5ea-9e49-11e5-803c-0d0b866b59f3.html","web")</f>
        <v>0</v>
      </c>
      <c r="H411" s="0" t="s">
        <v>1129</v>
      </c>
      <c r="I411" s="0" t="s">
        <v>26</v>
      </c>
      <c r="J411" s="0" t="s">
        <v>1130</v>
      </c>
      <c r="K411" s="0" t="s">
        <v>1063</v>
      </c>
    </row>
    <row r="412" customFormat="false" ht="15" hidden="false" customHeight="false" outlineLevel="0" collapsed="false">
      <c r="A412" s="0" t="s">
        <v>1028</v>
      </c>
      <c r="B412" s="0" t="s">
        <v>1131</v>
      </c>
      <c r="C412" s="0" t="s">
        <v>13</v>
      </c>
      <c r="D412" s="0" t="s">
        <v>135</v>
      </c>
      <c r="E412" s="0" t="s">
        <v>1132</v>
      </c>
      <c r="F412" s="0" t="s">
        <v>137</v>
      </c>
      <c r="G412" s="0" t="n">
        <f aca="false">HYPERLINK("http://clipc-services.ceda.ac.uk/dreq/u/5913a696-9e49-11e5-803c-0d0b866b59f3.html","web")</f>
        <v>0</v>
      </c>
      <c r="H412" s="0" t="s">
        <v>1087</v>
      </c>
      <c r="I412" s="0" t="s">
        <v>26</v>
      </c>
      <c r="J412" s="0" t="s">
        <v>1133</v>
      </c>
      <c r="K412" s="0" t="s">
        <v>1063</v>
      </c>
    </row>
    <row r="413" customFormat="false" ht="15" hidden="false" customHeight="false" outlineLevel="0" collapsed="false">
      <c r="A413" s="0" t="s">
        <v>1028</v>
      </c>
      <c r="B413" s="0" t="s">
        <v>1134</v>
      </c>
      <c r="C413" s="0" t="s">
        <v>13</v>
      </c>
      <c r="D413" s="0" t="s">
        <v>135</v>
      </c>
      <c r="E413" s="0" t="s">
        <v>1135</v>
      </c>
      <c r="F413" s="0" t="s">
        <v>137</v>
      </c>
      <c r="G413" s="0" t="n">
        <f aca="false">HYPERLINK("http://clipc-services.ceda.ac.uk/dreq/u/591348fe-9e49-11e5-803c-0d0b866b59f3.html","web")</f>
        <v>0</v>
      </c>
      <c r="H413" s="0" t="s">
        <v>1087</v>
      </c>
      <c r="I413" s="0" t="s">
        <v>26</v>
      </c>
      <c r="J413" s="0" t="s">
        <v>1133</v>
      </c>
      <c r="K413" s="0" t="s">
        <v>1063</v>
      </c>
    </row>
    <row r="414" customFormat="false" ht="15" hidden="false" customHeight="false" outlineLevel="0" collapsed="false">
      <c r="A414" s="0" t="s">
        <v>1028</v>
      </c>
      <c r="B414" s="0" t="s">
        <v>1136</v>
      </c>
      <c r="C414" s="0" t="s">
        <v>13</v>
      </c>
      <c r="D414" s="0" t="s">
        <v>135</v>
      </c>
      <c r="E414" s="0" t="s">
        <v>1137</v>
      </c>
      <c r="F414" s="0" t="s">
        <v>137</v>
      </c>
      <c r="G414" s="0" t="n">
        <f aca="false">HYPERLINK("http://clipc-services.ceda.ac.uk/dreq/u/84ef402c-acb7-11e6-b5ee-ac72891c3257.html","web")</f>
        <v>0</v>
      </c>
      <c r="H414" s="0" t="s">
        <v>1087</v>
      </c>
      <c r="I414" s="0" t="s">
        <v>26</v>
      </c>
      <c r="J414" s="0" t="s">
        <v>1133</v>
      </c>
      <c r="K414" s="0" t="s">
        <v>1063</v>
      </c>
    </row>
    <row r="415" customFormat="false" ht="15" hidden="false" customHeight="false" outlineLevel="0" collapsed="false">
      <c r="A415" s="0" t="s">
        <v>1028</v>
      </c>
      <c r="B415" s="0" t="s">
        <v>1138</v>
      </c>
      <c r="C415" s="0" t="s">
        <v>13</v>
      </c>
      <c r="D415" s="0" t="s">
        <v>135</v>
      </c>
      <c r="E415" s="0" t="s">
        <v>1139</v>
      </c>
      <c r="F415" s="0" t="s">
        <v>137</v>
      </c>
      <c r="G415" s="0" t="n">
        <f aca="false">HYPERLINK("http://clipc-services.ceda.ac.uk/dreq/u/84f0ddec-acb7-11e6-b5ee-ac72891c3257.html","web")</f>
        <v>0</v>
      </c>
      <c r="H415" s="0" t="s">
        <v>1087</v>
      </c>
      <c r="I415" s="0" t="s">
        <v>26</v>
      </c>
      <c r="J415" s="0" t="s">
        <v>1133</v>
      </c>
      <c r="K415" s="0" t="s">
        <v>1063</v>
      </c>
    </row>
    <row r="416" customFormat="false" ht="15" hidden="false" customHeight="false" outlineLevel="0" collapsed="false">
      <c r="A416" s="0" t="s">
        <v>1028</v>
      </c>
      <c r="B416" s="0" t="s">
        <v>1140</v>
      </c>
      <c r="C416" s="0" t="s">
        <v>31</v>
      </c>
      <c r="D416" s="0" t="s">
        <v>1141</v>
      </c>
      <c r="E416" s="0" t="s">
        <v>1142</v>
      </c>
      <c r="F416" s="0" t="s">
        <v>327</v>
      </c>
      <c r="G416" s="0" t="n">
        <f aca="false">HYPERLINK("http://clipc-services.ceda.ac.uk/dreq/u/3f30557c-b89b-11e6-be04-ac72891c3257.html","web")</f>
        <v>0</v>
      </c>
      <c r="H416" s="0" t="s">
        <v>1143</v>
      </c>
      <c r="I416" s="0" t="s">
        <v>1144</v>
      </c>
      <c r="J416" s="0" t="s">
        <v>1145</v>
      </c>
      <c r="K416" s="0" t="s">
        <v>1146</v>
      </c>
    </row>
    <row r="417" customFormat="false" ht="15" hidden="false" customHeight="false" outlineLevel="0" collapsed="false">
      <c r="A417" s="0" t="s">
        <v>1028</v>
      </c>
      <c r="B417" s="0" t="s">
        <v>1147</v>
      </c>
      <c r="C417" s="0" t="s">
        <v>13</v>
      </c>
      <c r="D417" s="0" t="s">
        <v>135</v>
      </c>
      <c r="E417" s="0" t="s">
        <v>1148</v>
      </c>
      <c r="F417" s="0" t="s">
        <v>137</v>
      </c>
      <c r="G417" s="0" t="n">
        <f aca="false">HYPERLINK("http://clipc-services.ceda.ac.uk/dreq/u/5917788e-9e49-11e5-803c-0d0b866b59f3.html","web")</f>
        <v>0</v>
      </c>
      <c r="H417" s="0" t="s">
        <v>1035</v>
      </c>
      <c r="I417" s="0" t="s">
        <v>26</v>
      </c>
      <c r="J417" s="0" t="s">
        <v>1149</v>
      </c>
      <c r="K417" s="0" t="s">
        <v>1037</v>
      </c>
    </row>
    <row r="418" customFormat="false" ht="15" hidden="false" customHeight="false" outlineLevel="0" collapsed="false">
      <c r="A418" s="0" t="s">
        <v>1028</v>
      </c>
      <c r="B418" s="0" t="s">
        <v>1150</v>
      </c>
      <c r="C418" s="0" t="s">
        <v>13</v>
      </c>
      <c r="D418" s="0" t="s">
        <v>135</v>
      </c>
      <c r="E418" s="0" t="s">
        <v>1151</v>
      </c>
      <c r="F418" s="0" t="s">
        <v>137</v>
      </c>
      <c r="G418" s="0" t="n">
        <f aca="false">HYPERLINK("http://clipc-services.ceda.ac.uk/dreq/u/84f0c47e-acb7-11e6-b5ee-ac72891c3257.html","web")</f>
        <v>0</v>
      </c>
      <c r="H418" s="0" t="s">
        <v>1152</v>
      </c>
      <c r="I418" s="0" t="s">
        <v>26</v>
      </c>
      <c r="J418" s="0" t="s">
        <v>1153</v>
      </c>
      <c r="K418" s="0" t="s">
        <v>1063</v>
      </c>
    </row>
    <row r="419" customFormat="false" ht="15" hidden="false" customHeight="false" outlineLevel="0" collapsed="false">
      <c r="A419" s="0" t="s">
        <v>1028</v>
      </c>
      <c r="B419" s="0" t="s">
        <v>1154</v>
      </c>
      <c r="C419" s="0" t="s">
        <v>13</v>
      </c>
      <c r="D419" s="0" t="s">
        <v>135</v>
      </c>
      <c r="E419" s="0" t="s">
        <v>1155</v>
      </c>
      <c r="F419" s="0" t="s">
        <v>137</v>
      </c>
      <c r="G419" s="0" t="n">
        <f aca="false">HYPERLINK("http://clipc-services.ceda.ac.uk/dreq/u/590f9ace-9e49-11e5-803c-0d0b866b59f3.html","web")</f>
        <v>0</v>
      </c>
      <c r="H419" s="0" t="s">
        <v>1035</v>
      </c>
      <c r="I419" s="0" t="s">
        <v>26</v>
      </c>
      <c r="J419" s="0" t="s">
        <v>1156</v>
      </c>
      <c r="K419" s="0" t="s">
        <v>1037</v>
      </c>
    </row>
    <row r="420" customFormat="false" ht="15" hidden="false" customHeight="false" outlineLevel="0" collapsed="false">
      <c r="A420" s="0" t="s">
        <v>1028</v>
      </c>
      <c r="B420" s="0" t="s">
        <v>1157</v>
      </c>
      <c r="C420" s="0" t="s">
        <v>13</v>
      </c>
      <c r="D420" s="0" t="s">
        <v>135</v>
      </c>
      <c r="E420" s="0" t="s">
        <v>1158</v>
      </c>
      <c r="F420" s="0" t="s">
        <v>137</v>
      </c>
      <c r="G420" s="0" t="n">
        <f aca="false">HYPERLINK("http://clipc-services.ceda.ac.uk/dreq/u/590f95c4-9e49-11e5-803c-0d0b866b59f3.html","web")</f>
        <v>0</v>
      </c>
      <c r="H420" s="0" t="s">
        <v>1035</v>
      </c>
      <c r="I420" s="0" t="s">
        <v>26</v>
      </c>
      <c r="J420" s="0" t="s">
        <v>1159</v>
      </c>
      <c r="K420" s="0" t="s">
        <v>1037</v>
      </c>
    </row>
    <row r="421" customFormat="false" ht="15" hidden="false" customHeight="false" outlineLevel="0" collapsed="false">
      <c r="A421" s="0" t="s">
        <v>1028</v>
      </c>
      <c r="B421" s="0" t="s">
        <v>1160</v>
      </c>
      <c r="C421" s="0" t="s">
        <v>31</v>
      </c>
      <c r="D421" s="0" t="s">
        <v>1141</v>
      </c>
      <c r="E421" s="0" t="s">
        <v>1161</v>
      </c>
      <c r="F421" s="0" t="s">
        <v>327</v>
      </c>
      <c r="G421" s="0" t="n">
        <f aca="false">HYPERLINK("http://clipc-services.ceda.ac.uk/dreq/u/590ee804-9e49-11e5-803c-0d0b866b59f3.html","web")</f>
        <v>0</v>
      </c>
      <c r="H421" s="0" t="s">
        <v>1143</v>
      </c>
      <c r="I421" s="0" t="s">
        <v>1144</v>
      </c>
      <c r="J421" s="0" t="s">
        <v>1162</v>
      </c>
      <c r="K421" s="0" t="s">
        <v>1146</v>
      </c>
    </row>
    <row r="422" customFormat="false" ht="15" hidden="false" customHeight="false" outlineLevel="0" collapsed="false">
      <c r="A422" s="0" t="s">
        <v>1028</v>
      </c>
      <c r="B422" s="0" t="s">
        <v>1163</v>
      </c>
      <c r="C422" s="0" t="s">
        <v>31</v>
      </c>
      <c r="D422" s="0" t="s">
        <v>1141</v>
      </c>
      <c r="E422" s="0" t="s">
        <v>1164</v>
      </c>
      <c r="F422" s="0" t="s">
        <v>327</v>
      </c>
      <c r="G422" s="0" t="n">
        <f aca="false">HYPERLINK("http://clipc-services.ceda.ac.uk/dreq/u/590e590c-9e49-11e5-803c-0d0b866b59f3.html","web")</f>
        <v>0</v>
      </c>
      <c r="H422" s="0" t="s">
        <v>1143</v>
      </c>
      <c r="I422" s="0" t="s">
        <v>1144</v>
      </c>
      <c r="J422" s="0" t="s">
        <v>1165</v>
      </c>
      <c r="K422" s="0" t="s">
        <v>1146</v>
      </c>
    </row>
    <row r="423" customFormat="false" ht="15" hidden="false" customHeight="false" outlineLevel="0" collapsed="false">
      <c r="A423" s="0" t="s">
        <v>1028</v>
      </c>
      <c r="B423" s="0" t="s">
        <v>970</v>
      </c>
      <c r="C423" s="0" t="s">
        <v>31</v>
      </c>
      <c r="D423" s="0" t="s">
        <v>971</v>
      </c>
      <c r="E423" s="0" t="s">
        <v>972</v>
      </c>
      <c r="F423" s="0" t="s">
        <v>16</v>
      </c>
      <c r="G423" s="0" t="n">
        <f aca="false">HYPERLINK("http://clipc-services.ceda.ac.uk/dreq/u/bf56baca-c14c-11e6-bb6a-ac72891c3257.html","web")</f>
        <v>0</v>
      </c>
      <c r="H423" s="0" t="s">
        <v>973</v>
      </c>
      <c r="I423" s="0" t="s">
        <v>974</v>
      </c>
      <c r="J423" s="0" t="s">
        <v>975</v>
      </c>
      <c r="K423" s="0" t="s">
        <v>765</v>
      </c>
    </row>
    <row r="424" customFormat="false" ht="15" hidden="false" customHeight="false" outlineLevel="0" collapsed="false">
      <c r="A424" s="0" t="s">
        <v>1028</v>
      </c>
      <c r="B424" s="0" t="s">
        <v>1166</v>
      </c>
      <c r="C424" s="0" t="s">
        <v>31</v>
      </c>
      <c r="D424" s="0" t="s">
        <v>1167</v>
      </c>
      <c r="E424" s="0" t="s">
        <v>1168</v>
      </c>
      <c r="F424" s="0" t="s">
        <v>31</v>
      </c>
      <c r="G424" s="0" t="n">
        <f aca="false">HYPERLINK("http://clipc-services.ceda.ac.uk/dreq/u/59178a72-9e49-11e5-803c-0d0b866b59f3.html","web")</f>
        <v>0</v>
      </c>
      <c r="H424" s="0" t="s">
        <v>1143</v>
      </c>
      <c r="I424" s="0" t="s">
        <v>1144</v>
      </c>
      <c r="J424" s="0" t="s">
        <v>1169</v>
      </c>
      <c r="K424" s="0" t="s">
        <v>1146</v>
      </c>
    </row>
    <row r="425" customFormat="false" ht="15" hidden="false" customHeight="false" outlineLevel="0" collapsed="false">
      <c r="A425" s="0" t="s">
        <v>1028</v>
      </c>
      <c r="B425" s="0" t="s">
        <v>1170</v>
      </c>
      <c r="C425" s="0" t="s">
        <v>31</v>
      </c>
      <c r="D425" s="0" t="s">
        <v>135</v>
      </c>
      <c r="E425" s="0" t="s">
        <v>1171</v>
      </c>
      <c r="F425" s="0" t="s">
        <v>327</v>
      </c>
      <c r="G425" s="0" t="n">
        <f aca="false">HYPERLINK("http://clipc-services.ceda.ac.uk/dreq/u/5914ede4-9e49-11e5-803c-0d0b866b59f3.html","web")</f>
        <v>0</v>
      </c>
      <c r="H425" s="0" t="s">
        <v>1172</v>
      </c>
      <c r="I425" s="0" t="s">
        <v>36</v>
      </c>
      <c r="J425" s="0" t="s">
        <v>1173</v>
      </c>
      <c r="K425" s="0" t="s">
        <v>1032</v>
      </c>
    </row>
    <row r="426" customFormat="false" ht="15" hidden="false" customHeight="false" outlineLevel="0" collapsed="false">
      <c r="A426" s="0" t="s">
        <v>1028</v>
      </c>
      <c r="B426" s="0" t="s">
        <v>1174</v>
      </c>
      <c r="C426" s="0" t="s">
        <v>31</v>
      </c>
      <c r="D426" s="0" t="s">
        <v>135</v>
      </c>
      <c r="E426" s="0" t="s">
        <v>1175</v>
      </c>
      <c r="F426" s="0" t="s">
        <v>327</v>
      </c>
      <c r="G426" s="0" t="n">
        <f aca="false">HYPERLINK("http://clipc-services.ceda.ac.uk/dreq/u/591497a4-9e49-11e5-803c-0d0b866b59f3.html","web")</f>
        <v>0</v>
      </c>
      <c r="H426" s="0" t="s">
        <v>1172</v>
      </c>
      <c r="I426" s="0" t="s">
        <v>36</v>
      </c>
      <c r="J426" s="0" t="s">
        <v>1176</v>
      </c>
      <c r="K426" s="0" t="s">
        <v>1032</v>
      </c>
    </row>
    <row r="427" customFormat="false" ht="15" hidden="false" customHeight="false" outlineLevel="0" collapsed="false">
      <c r="A427" s="0" t="s">
        <v>1028</v>
      </c>
      <c r="B427" s="0" t="s">
        <v>1177</v>
      </c>
      <c r="C427" s="0" t="s">
        <v>31</v>
      </c>
      <c r="D427" s="0" t="s">
        <v>135</v>
      </c>
      <c r="E427" s="0" t="s">
        <v>1178</v>
      </c>
      <c r="F427" s="0" t="s">
        <v>327</v>
      </c>
      <c r="G427" s="0" t="n">
        <f aca="false">HYPERLINK("http://clipc-services.ceda.ac.uk/dreq/u/f9f66ff437154f86913937f9e2d9a26d.html","web")</f>
        <v>0</v>
      </c>
      <c r="H427" s="0" t="s">
        <v>1172</v>
      </c>
      <c r="I427" s="0" t="s">
        <v>36</v>
      </c>
      <c r="J427" s="0" t="s">
        <v>1179</v>
      </c>
      <c r="K427" s="0" t="s">
        <v>1032</v>
      </c>
    </row>
    <row r="428" customFormat="false" ht="15" hidden="false" customHeight="false" outlineLevel="0" collapsed="false">
      <c r="A428" s="0" t="s">
        <v>1028</v>
      </c>
      <c r="B428" s="0" t="s">
        <v>1180</v>
      </c>
      <c r="C428" s="0" t="s">
        <v>31</v>
      </c>
      <c r="D428" s="0" t="s">
        <v>135</v>
      </c>
      <c r="E428" s="0" t="s">
        <v>1181</v>
      </c>
      <c r="F428" s="0" t="s">
        <v>327</v>
      </c>
      <c r="G428" s="0" t="n">
        <f aca="false">HYPERLINK("http://clipc-services.ceda.ac.uk/dreq/u/ab57604d6acd918c08aa6252145c608e.html","web")</f>
        <v>0</v>
      </c>
      <c r="H428" s="0" t="s">
        <v>1172</v>
      </c>
      <c r="I428" s="0" t="s">
        <v>36</v>
      </c>
      <c r="J428" s="0" t="s">
        <v>1179</v>
      </c>
      <c r="K428" s="0" t="s">
        <v>1032</v>
      </c>
    </row>
    <row r="429" customFormat="false" ht="15" hidden="false" customHeight="false" outlineLevel="0" collapsed="false">
      <c r="A429" s="0" t="s">
        <v>1028</v>
      </c>
      <c r="B429" s="0" t="s">
        <v>1182</v>
      </c>
      <c r="C429" s="0" t="s">
        <v>31</v>
      </c>
      <c r="D429" s="0" t="s">
        <v>135</v>
      </c>
      <c r="E429" s="0" t="s">
        <v>1183</v>
      </c>
      <c r="F429" s="0" t="s">
        <v>327</v>
      </c>
      <c r="G429" s="0" t="n">
        <f aca="false">HYPERLINK("http://clipc-services.ceda.ac.uk/dreq/u/59134bf6-9e49-11e5-803c-0d0b866b59f3.html","web")</f>
        <v>0</v>
      </c>
      <c r="H429" s="0" t="s">
        <v>1172</v>
      </c>
      <c r="I429" s="0" t="s">
        <v>36</v>
      </c>
      <c r="J429" s="0" t="s">
        <v>1173</v>
      </c>
      <c r="K429" s="0" t="s">
        <v>1032</v>
      </c>
    </row>
    <row r="430" customFormat="false" ht="15" hidden="false" customHeight="false" outlineLevel="0" collapsed="false">
      <c r="A430" s="0" t="s">
        <v>1028</v>
      </c>
      <c r="B430" s="0" t="s">
        <v>1184</v>
      </c>
      <c r="C430" s="0" t="s">
        <v>31</v>
      </c>
      <c r="D430" s="0" t="s">
        <v>135</v>
      </c>
      <c r="E430" s="0" t="s">
        <v>1185</v>
      </c>
      <c r="F430" s="0" t="s">
        <v>967</v>
      </c>
      <c r="G430" s="0" t="n">
        <f aca="false">HYPERLINK("http://clipc-services.ceda.ac.uk/dreq/u/59130e98-9e49-11e5-803c-0d0b866b59f3.html","web")</f>
        <v>0</v>
      </c>
      <c r="H430" s="0" t="s">
        <v>979</v>
      </c>
      <c r="I430" s="0" t="s">
        <v>26</v>
      </c>
      <c r="J430" s="0" t="s">
        <v>1186</v>
      </c>
      <c r="K430" s="0" t="s">
        <v>1037</v>
      </c>
    </row>
    <row r="431" customFormat="false" ht="15" hidden="false" customHeight="false" outlineLevel="0" collapsed="false">
      <c r="A431" s="0" t="s">
        <v>1028</v>
      </c>
      <c r="B431" s="0" t="s">
        <v>976</v>
      </c>
      <c r="C431" s="0" t="s">
        <v>31</v>
      </c>
      <c r="D431" s="0" t="s">
        <v>977</v>
      </c>
      <c r="E431" s="0" t="s">
        <v>978</v>
      </c>
      <c r="F431" s="0" t="s">
        <v>967</v>
      </c>
      <c r="G431" s="0" t="n">
        <f aca="false">HYPERLINK("http://clipc-services.ceda.ac.uk/dreq/u/590d17f4-9e49-11e5-803c-0d0b866b59f3.html","web")</f>
        <v>0</v>
      </c>
      <c r="H431" s="0" t="s">
        <v>979</v>
      </c>
      <c r="I431" s="0" t="s">
        <v>26</v>
      </c>
      <c r="J431" s="0" t="s">
        <v>980</v>
      </c>
      <c r="K431" s="0" t="s">
        <v>1037</v>
      </c>
    </row>
    <row r="432" customFormat="false" ht="15" hidden="false" customHeight="false" outlineLevel="0" collapsed="false">
      <c r="A432" s="0" t="s">
        <v>1028</v>
      </c>
      <c r="B432" s="0" t="s">
        <v>1187</v>
      </c>
      <c r="C432" s="0" t="s">
        <v>13</v>
      </c>
      <c r="D432" s="0" t="s">
        <v>135</v>
      </c>
      <c r="E432" s="0" t="s">
        <v>1188</v>
      </c>
      <c r="F432" s="0" t="s">
        <v>967</v>
      </c>
      <c r="G432" s="0" t="n">
        <f aca="false">HYPERLINK("http://clipc-services.ceda.ac.uk/dreq/u/590d24c4-9e49-11e5-803c-0d0b866b59f3.html","web")</f>
        <v>0</v>
      </c>
      <c r="H432" s="0" t="s">
        <v>1189</v>
      </c>
      <c r="I432" s="0" t="s">
        <v>1190</v>
      </c>
      <c r="J432" s="0" t="s">
        <v>1191</v>
      </c>
      <c r="K432" s="0" t="s">
        <v>1037</v>
      </c>
    </row>
    <row r="433" customFormat="false" ht="15" hidden="false" customHeight="false" outlineLevel="0" collapsed="false">
      <c r="A433" s="0" t="s">
        <v>1028</v>
      </c>
      <c r="B433" s="0" t="s">
        <v>1192</v>
      </c>
      <c r="C433" s="0" t="s">
        <v>13</v>
      </c>
      <c r="D433" s="0" t="s">
        <v>135</v>
      </c>
      <c r="E433" s="0" t="s">
        <v>1193</v>
      </c>
      <c r="F433" s="0" t="s">
        <v>137</v>
      </c>
      <c r="G433" s="0" t="n">
        <f aca="false">HYPERLINK("http://clipc-services.ceda.ac.uk/dreq/u/59176d94-9e49-11e5-803c-0d0b866b59f3.html","web")</f>
        <v>0</v>
      </c>
      <c r="H433" s="0" t="s">
        <v>1035</v>
      </c>
      <c r="I433" s="0" t="s">
        <v>26</v>
      </c>
      <c r="J433" s="0" t="s">
        <v>1194</v>
      </c>
      <c r="K433" s="0" t="s">
        <v>1037</v>
      </c>
    </row>
    <row r="434" customFormat="false" ht="15" hidden="false" customHeight="false" outlineLevel="0" collapsed="false">
      <c r="A434" s="0" t="s">
        <v>1028</v>
      </c>
      <c r="B434" s="0" t="s">
        <v>1195</v>
      </c>
      <c r="C434" s="0" t="s">
        <v>13</v>
      </c>
      <c r="D434" s="0" t="s">
        <v>135</v>
      </c>
      <c r="E434" s="0" t="s">
        <v>1196</v>
      </c>
      <c r="F434" s="0" t="s">
        <v>137</v>
      </c>
      <c r="G434" s="0" t="n">
        <f aca="false">HYPERLINK("http://clipc-services.ceda.ac.uk/dreq/u/59132b58-9e49-11e5-803c-0d0b866b59f3.html","web")</f>
        <v>0</v>
      </c>
      <c r="H434" s="0" t="s">
        <v>1035</v>
      </c>
      <c r="I434" s="0" t="s">
        <v>26</v>
      </c>
      <c r="J434" s="0" t="s">
        <v>1197</v>
      </c>
      <c r="K434" s="0" t="s">
        <v>1037</v>
      </c>
    </row>
    <row r="435" customFormat="false" ht="15" hidden="false" customHeight="false" outlineLevel="0" collapsed="false">
      <c r="A435" s="0" t="s">
        <v>1028</v>
      </c>
      <c r="B435" s="0" t="s">
        <v>1198</v>
      </c>
      <c r="C435" s="0" t="s">
        <v>13</v>
      </c>
      <c r="D435" s="0" t="s">
        <v>135</v>
      </c>
      <c r="E435" s="0" t="s">
        <v>1199</v>
      </c>
      <c r="F435" s="0" t="s">
        <v>137</v>
      </c>
      <c r="G435" s="0" t="n">
        <f aca="false">HYPERLINK("http://clipc-services.ceda.ac.uk/dreq/u/84f0bbbe-acb7-11e6-b5ee-ac72891c3257.html","web")</f>
        <v>0</v>
      </c>
      <c r="H435" s="0" t="s">
        <v>1200</v>
      </c>
      <c r="I435" s="0" t="s">
        <v>26</v>
      </c>
      <c r="J435" s="0" t="s">
        <v>1201</v>
      </c>
      <c r="K435" s="0" t="s">
        <v>1063</v>
      </c>
    </row>
    <row r="436" customFormat="false" ht="15" hidden="false" customHeight="false" outlineLevel="0" collapsed="false">
      <c r="A436" s="0" t="s">
        <v>1028</v>
      </c>
      <c r="B436" s="0" t="s">
        <v>1202</v>
      </c>
      <c r="C436" s="0" t="s">
        <v>13</v>
      </c>
      <c r="D436" s="0" t="s">
        <v>135</v>
      </c>
      <c r="E436" s="0" t="s">
        <v>1203</v>
      </c>
      <c r="F436" s="0" t="s">
        <v>137</v>
      </c>
      <c r="G436" s="0" t="n">
        <f aca="false">HYPERLINK("http://clipc-services.ceda.ac.uk/dreq/u/84f0f052-acb7-11e6-b5ee-ac72891c3257.html","web")</f>
        <v>0</v>
      </c>
      <c r="H436" s="0" t="s">
        <v>1152</v>
      </c>
      <c r="I436" s="0" t="s">
        <v>26</v>
      </c>
      <c r="J436" s="0" t="s">
        <v>1204</v>
      </c>
      <c r="K436" s="0" t="s">
        <v>1063</v>
      </c>
    </row>
    <row r="437" customFormat="false" ht="15" hidden="false" customHeight="false" outlineLevel="0" collapsed="false">
      <c r="A437" s="0" t="s">
        <v>1028</v>
      </c>
      <c r="B437" s="0" t="s">
        <v>1205</v>
      </c>
      <c r="C437" s="0" t="s">
        <v>13</v>
      </c>
      <c r="D437" s="0" t="s">
        <v>135</v>
      </c>
      <c r="E437" s="0" t="s">
        <v>1206</v>
      </c>
      <c r="F437" s="0" t="s">
        <v>137</v>
      </c>
      <c r="G437" s="0" t="n">
        <f aca="false">HYPERLINK("http://clipc-services.ceda.ac.uk/dreq/u/84f09f30-acb7-11e6-b5ee-ac72891c3257.html","web")</f>
        <v>0</v>
      </c>
      <c r="H437" s="0" t="s">
        <v>1200</v>
      </c>
      <c r="I437" s="0" t="s">
        <v>26</v>
      </c>
      <c r="J437" s="0" t="s">
        <v>1201</v>
      </c>
      <c r="K437" s="0" t="s">
        <v>1063</v>
      </c>
    </row>
    <row r="438" customFormat="false" ht="15" hidden="false" customHeight="false" outlineLevel="0" collapsed="false">
      <c r="A438" s="0" t="s">
        <v>1028</v>
      </c>
      <c r="B438" s="0" t="s">
        <v>1207</v>
      </c>
      <c r="C438" s="0" t="s">
        <v>31</v>
      </c>
      <c r="D438" s="0" t="s">
        <v>135</v>
      </c>
      <c r="E438" s="0" t="s">
        <v>1208</v>
      </c>
      <c r="F438" s="0" t="s">
        <v>31</v>
      </c>
      <c r="G438" s="0" t="n">
        <f aca="false">HYPERLINK("http://clipc-services.ceda.ac.uk/dreq/u/59130948-9e49-11e5-803c-0d0b866b59f3.html","web")</f>
        <v>0</v>
      </c>
      <c r="H438" s="0" t="s">
        <v>1209</v>
      </c>
      <c r="I438" s="0" t="s">
        <v>825</v>
      </c>
      <c r="J438" s="0" t="s">
        <v>1210</v>
      </c>
      <c r="K438" s="0" t="s">
        <v>1032</v>
      </c>
    </row>
    <row r="439" customFormat="false" ht="15" hidden="false" customHeight="false" outlineLevel="0" collapsed="false">
      <c r="A439" s="0" t="s">
        <v>1028</v>
      </c>
      <c r="B439" s="0" t="s">
        <v>1211</v>
      </c>
      <c r="C439" s="0" t="s">
        <v>31</v>
      </c>
      <c r="D439" s="0" t="s">
        <v>812</v>
      </c>
      <c r="E439" s="0" t="s">
        <v>1212</v>
      </c>
      <c r="F439" s="0" t="s">
        <v>31</v>
      </c>
      <c r="G439" s="0" t="n">
        <f aca="false">HYPERLINK("http://clipc-services.ceda.ac.uk/dreq/u/5914cf30-9e49-11e5-803c-0d0b866b59f3.html","web")</f>
        <v>0</v>
      </c>
      <c r="H439" s="0" t="s">
        <v>1213</v>
      </c>
      <c r="I439" s="0" t="s">
        <v>36</v>
      </c>
      <c r="J439" s="0" t="s">
        <v>1214</v>
      </c>
      <c r="K439" s="0" t="s">
        <v>1032</v>
      </c>
    </row>
    <row r="440" customFormat="false" ht="15" hidden="false" customHeight="false" outlineLevel="0" collapsed="false">
      <c r="A440" s="0" t="s">
        <v>1028</v>
      </c>
      <c r="B440" s="0" t="s">
        <v>1215</v>
      </c>
      <c r="C440" s="0" t="s">
        <v>31</v>
      </c>
      <c r="D440" s="0" t="s">
        <v>135</v>
      </c>
      <c r="E440" s="0" t="s">
        <v>1216</v>
      </c>
      <c r="F440" s="0" t="s">
        <v>31</v>
      </c>
      <c r="G440" s="0" t="n">
        <f aca="false">HYPERLINK("http://clipc-services.ceda.ac.uk/dreq/u/5914c0ee-9e49-11e5-803c-0d0b866b59f3.html","web")</f>
        <v>0</v>
      </c>
      <c r="H440" s="0" t="s">
        <v>1209</v>
      </c>
      <c r="I440" s="0" t="s">
        <v>825</v>
      </c>
      <c r="J440" s="0" t="s">
        <v>1217</v>
      </c>
      <c r="K440" s="0" t="s">
        <v>1032</v>
      </c>
    </row>
    <row r="441" customFormat="false" ht="15" hidden="false" customHeight="false" outlineLevel="0" collapsed="false">
      <c r="A441" s="0" t="s">
        <v>1028</v>
      </c>
      <c r="B441" s="0" t="s">
        <v>210</v>
      </c>
      <c r="C441" s="0" t="s">
        <v>31</v>
      </c>
      <c r="D441" s="0" t="s">
        <v>135</v>
      </c>
      <c r="E441" s="0" t="s">
        <v>212</v>
      </c>
      <c r="F441" s="0" t="s">
        <v>24</v>
      </c>
      <c r="G441" s="0" t="n">
        <f aca="false">HYPERLINK("http://clipc-services.ceda.ac.uk/dreq/u/00e77372e8b909d9a827a0790e991fd9.html","web")</f>
        <v>0</v>
      </c>
      <c r="H441" s="0" t="s">
        <v>213</v>
      </c>
      <c r="I441" s="0" t="s">
        <v>26</v>
      </c>
      <c r="J441" s="0" t="s">
        <v>214</v>
      </c>
      <c r="K441" s="0" t="s">
        <v>28</v>
      </c>
    </row>
    <row r="442" customFormat="false" ht="15" hidden="false" customHeight="false" outlineLevel="0" collapsed="false">
      <c r="A442" s="0" t="s">
        <v>1028</v>
      </c>
      <c r="B442" s="0" t="s">
        <v>869</v>
      </c>
      <c r="C442" s="0" t="s">
        <v>31</v>
      </c>
      <c r="D442" s="0" t="s">
        <v>982</v>
      </c>
      <c r="E442" s="0" t="s">
        <v>871</v>
      </c>
      <c r="F442" s="0" t="s">
        <v>31</v>
      </c>
      <c r="G442" s="0" t="n">
        <f aca="false">HYPERLINK("http://clipc-services.ceda.ac.uk/dreq/u/a06b8e83250b870d9f39dc1f6534efcb.html","web")</f>
        <v>0</v>
      </c>
      <c r="H442" s="0" t="s">
        <v>872</v>
      </c>
      <c r="I442" s="0" t="s">
        <v>232</v>
      </c>
      <c r="J442" s="0" t="s">
        <v>873</v>
      </c>
      <c r="K442" s="0" t="s">
        <v>222</v>
      </c>
    </row>
    <row r="443" customFormat="false" ht="15" hidden="false" customHeight="false" outlineLevel="0" collapsed="false">
      <c r="A443" s="0" t="s">
        <v>1028</v>
      </c>
      <c r="B443" s="0" t="s">
        <v>182</v>
      </c>
      <c r="C443" s="0" t="s">
        <v>49</v>
      </c>
      <c r="D443" s="0" t="s">
        <v>41</v>
      </c>
      <c r="E443" s="0" t="s">
        <v>183</v>
      </c>
      <c r="F443" s="0" t="s">
        <v>54</v>
      </c>
      <c r="G443" s="0" t="n">
        <f aca="false">HYPERLINK("http://clipc-services.ceda.ac.uk/dreq/u/e526caea-dd83-11e5-9194-ac72891c3257.html","web")</f>
        <v>0</v>
      </c>
      <c r="H443" s="0" t="s">
        <v>119</v>
      </c>
      <c r="I443" s="0" t="s">
        <v>120</v>
      </c>
      <c r="J443" s="0" t="s">
        <v>184</v>
      </c>
      <c r="K443" s="0" t="s">
        <v>981</v>
      </c>
    </row>
    <row r="444" customFormat="false" ht="15" hidden="false" customHeight="false" outlineLevel="0" collapsed="false">
      <c r="A444" s="0" t="s">
        <v>1028</v>
      </c>
      <c r="B444" s="0" t="s">
        <v>185</v>
      </c>
      <c r="C444" s="0" t="s">
        <v>49</v>
      </c>
      <c r="D444" s="0" t="s">
        <v>41</v>
      </c>
      <c r="E444" s="0" t="s">
        <v>186</v>
      </c>
      <c r="F444" s="0" t="s">
        <v>54</v>
      </c>
      <c r="G444" s="0" t="n">
        <f aca="false">HYPERLINK("http://clipc-services.ceda.ac.uk/dreq/u/e525bed4-dd83-11e5-9194-ac72891c3257.html","web")</f>
        <v>0</v>
      </c>
      <c r="H444" s="0" t="s">
        <v>124</v>
      </c>
      <c r="I444" s="0" t="s">
        <v>26</v>
      </c>
      <c r="J444" s="0" t="s">
        <v>187</v>
      </c>
      <c r="K444" s="0" t="s">
        <v>981</v>
      </c>
    </row>
    <row r="445" customFormat="false" ht="15" hidden="false" customHeight="false" outlineLevel="0" collapsed="false">
      <c r="A445" s="0" t="s">
        <v>1028</v>
      </c>
      <c r="B445" s="0" t="s">
        <v>188</v>
      </c>
      <c r="C445" s="0" t="s">
        <v>49</v>
      </c>
      <c r="D445" s="0" t="s">
        <v>41</v>
      </c>
      <c r="E445" s="0" t="s">
        <v>189</v>
      </c>
      <c r="F445" s="0" t="s">
        <v>54</v>
      </c>
      <c r="G445" s="0" t="n">
        <f aca="false">HYPERLINK("http://clipc-services.ceda.ac.uk/dreq/u/e52644bc-dd83-11e5-9194-ac72891c3257.html","web")</f>
        <v>0</v>
      </c>
      <c r="H445" s="0" t="s">
        <v>119</v>
      </c>
      <c r="I445" s="0" t="s">
        <v>120</v>
      </c>
      <c r="J445" s="0" t="s">
        <v>190</v>
      </c>
      <c r="K445" s="0" t="s">
        <v>981</v>
      </c>
    </row>
    <row r="446" customFormat="false" ht="15" hidden="false" customHeight="false" outlineLevel="0" collapsed="false">
      <c r="A446" s="0" t="s">
        <v>1028</v>
      </c>
      <c r="B446" s="0" t="s">
        <v>191</v>
      </c>
      <c r="C446" s="0" t="s">
        <v>49</v>
      </c>
      <c r="D446" s="0" t="s">
        <v>41</v>
      </c>
      <c r="E446" s="0" t="s">
        <v>192</v>
      </c>
      <c r="F446" s="0" t="s">
        <v>54</v>
      </c>
      <c r="G446" s="0" t="n">
        <f aca="false">HYPERLINK("http://clipc-services.ceda.ac.uk/dreq/u/e5278b06-dd83-11e5-9194-ac72891c3257.html","web")</f>
        <v>0</v>
      </c>
      <c r="H446" s="0" t="s">
        <v>124</v>
      </c>
      <c r="I446" s="0" t="s">
        <v>26</v>
      </c>
      <c r="J446" s="0" t="s">
        <v>193</v>
      </c>
      <c r="K446" s="0" t="s">
        <v>981</v>
      </c>
    </row>
    <row r="447" customFormat="false" ht="15" hidden="false" customHeight="false" outlineLevel="0" collapsed="false">
      <c r="A447" s="0" t="s">
        <v>1028</v>
      </c>
      <c r="B447" s="0" t="s">
        <v>194</v>
      </c>
      <c r="C447" s="0" t="s">
        <v>49</v>
      </c>
      <c r="D447" s="0" t="s">
        <v>41</v>
      </c>
      <c r="E447" s="0" t="s">
        <v>195</v>
      </c>
      <c r="F447" s="0" t="s">
        <v>54</v>
      </c>
      <c r="G447" s="0" t="n">
        <f aca="false">HYPERLINK("http://clipc-services.ceda.ac.uk/dreq/u/e527532a-dd83-11e5-9194-ac72891c3257.html","web")</f>
        <v>0</v>
      </c>
      <c r="H447" s="0" t="s">
        <v>119</v>
      </c>
      <c r="I447" s="0" t="s">
        <v>120</v>
      </c>
      <c r="J447" s="0" t="s">
        <v>196</v>
      </c>
      <c r="K447" s="0" t="s">
        <v>981</v>
      </c>
    </row>
    <row r="448" customFormat="false" ht="15" hidden="false" customHeight="false" outlineLevel="0" collapsed="false">
      <c r="A448" s="0" t="s">
        <v>1028</v>
      </c>
      <c r="B448" s="0" t="s">
        <v>1218</v>
      </c>
      <c r="C448" s="0" t="s">
        <v>31</v>
      </c>
      <c r="D448" s="0" t="s">
        <v>135</v>
      </c>
      <c r="E448" s="0" t="s">
        <v>1219</v>
      </c>
      <c r="F448" s="0" t="s">
        <v>137</v>
      </c>
      <c r="G448" s="0" t="n">
        <f aca="false">HYPERLINK("http://clipc-services.ceda.ac.uk/dreq/u/590f10b8-9e49-11e5-803c-0d0b866b59f3.html","web")</f>
        <v>0</v>
      </c>
      <c r="H448" s="0" t="s">
        <v>986</v>
      </c>
      <c r="I448" s="0" t="s">
        <v>987</v>
      </c>
      <c r="J448" s="0" t="s">
        <v>1220</v>
      </c>
      <c r="K448" s="0" t="s">
        <v>1032</v>
      </c>
    </row>
    <row r="449" customFormat="false" ht="15" hidden="false" customHeight="false" outlineLevel="0" collapsed="false">
      <c r="A449" s="0" t="s">
        <v>1028</v>
      </c>
      <c r="B449" s="0" t="s">
        <v>1221</v>
      </c>
      <c r="C449" s="0" t="s">
        <v>31</v>
      </c>
      <c r="D449" s="0" t="s">
        <v>135</v>
      </c>
      <c r="E449" s="0" t="s">
        <v>1222</v>
      </c>
      <c r="F449" s="0" t="s">
        <v>137</v>
      </c>
      <c r="G449" s="0" t="n">
        <f aca="false">HYPERLINK("http://clipc-services.ceda.ac.uk/dreq/u/590e4408-9e49-11e5-803c-0d0b866b59f3.html","web")</f>
        <v>0</v>
      </c>
      <c r="H449" s="0" t="s">
        <v>986</v>
      </c>
      <c r="I449" s="0" t="s">
        <v>987</v>
      </c>
      <c r="J449" s="0" t="s">
        <v>1223</v>
      </c>
      <c r="K449" s="0" t="s">
        <v>1032</v>
      </c>
    </row>
    <row r="450" customFormat="false" ht="15" hidden="false" customHeight="false" outlineLevel="0" collapsed="false">
      <c r="A450" s="0" t="s">
        <v>1028</v>
      </c>
      <c r="B450" s="0" t="s">
        <v>1224</v>
      </c>
      <c r="C450" s="0" t="s">
        <v>31</v>
      </c>
      <c r="D450" s="0" t="s">
        <v>135</v>
      </c>
      <c r="E450" s="0" t="s">
        <v>1225</v>
      </c>
      <c r="F450" s="0" t="s">
        <v>137</v>
      </c>
      <c r="G450" s="0" t="n">
        <f aca="false">HYPERLINK("http://clipc-services.ceda.ac.uk/dreq/u/590e105a-9e49-11e5-803c-0d0b866b59f3.html","web")</f>
        <v>0</v>
      </c>
      <c r="H450" s="0" t="s">
        <v>986</v>
      </c>
      <c r="I450" s="0" t="s">
        <v>987</v>
      </c>
      <c r="J450" s="0" t="s">
        <v>1226</v>
      </c>
      <c r="K450" s="0" t="s">
        <v>1032</v>
      </c>
    </row>
    <row r="451" customFormat="false" ht="15" hidden="false" customHeight="false" outlineLevel="0" collapsed="false">
      <c r="A451" s="0" t="s">
        <v>1028</v>
      </c>
      <c r="B451" s="0" t="s">
        <v>757</v>
      </c>
      <c r="C451" s="0" t="s">
        <v>31</v>
      </c>
      <c r="D451" s="0" t="s">
        <v>135</v>
      </c>
      <c r="E451" s="0" t="s">
        <v>758</v>
      </c>
      <c r="F451" s="0" t="s">
        <v>137</v>
      </c>
      <c r="G451" s="0" t="n">
        <f aca="false">HYPERLINK("http://clipc-services.ceda.ac.uk/dreq/u/7553003ead183dd3276108b6311a337f.html","web")</f>
        <v>0</v>
      </c>
      <c r="H451" s="0" t="s">
        <v>253</v>
      </c>
      <c r="I451" s="0" t="s">
        <v>226</v>
      </c>
      <c r="J451" s="0" t="s">
        <v>759</v>
      </c>
      <c r="K451" s="0" t="s">
        <v>760</v>
      </c>
    </row>
    <row r="452" customFormat="false" ht="15" hidden="false" customHeight="false" outlineLevel="0" collapsed="false">
      <c r="A452" s="0" t="s">
        <v>1028</v>
      </c>
      <c r="B452" s="0" t="s">
        <v>1227</v>
      </c>
      <c r="C452" s="0" t="s">
        <v>31</v>
      </c>
      <c r="D452" s="0" t="s">
        <v>135</v>
      </c>
      <c r="E452" s="0" t="s">
        <v>1228</v>
      </c>
      <c r="F452" s="0" t="s">
        <v>137</v>
      </c>
      <c r="G452" s="0" t="n">
        <f aca="false">HYPERLINK("http://clipc-services.ceda.ac.uk/dreq/u/591401a4-9e49-11e5-803c-0d0b866b59f3.html","web")</f>
        <v>0</v>
      </c>
      <c r="H452" s="0" t="s">
        <v>986</v>
      </c>
      <c r="I452" s="0" t="s">
        <v>987</v>
      </c>
      <c r="J452" s="0" t="s">
        <v>1229</v>
      </c>
      <c r="K452" s="0" t="s">
        <v>1032</v>
      </c>
    </row>
    <row r="453" customFormat="false" ht="15" hidden="false" customHeight="false" outlineLevel="0" collapsed="false">
      <c r="A453" s="0" t="s">
        <v>1028</v>
      </c>
      <c r="B453" s="0" t="s">
        <v>1230</v>
      </c>
      <c r="C453" s="0" t="s">
        <v>31</v>
      </c>
      <c r="D453" s="0" t="s">
        <v>135</v>
      </c>
      <c r="E453" s="0" t="s">
        <v>1231</v>
      </c>
      <c r="F453" s="0" t="s">
        <v>137</v>
      </c>
      <c r="G453" s="0" t="n">
        <f aca="false">HYPERLINK("http://clipc-services.ceda.ac.uk/dreq/u/591763b2-9e49-11e5-803c-0d0b866b59f3.html","web")</f>
        <v>0</v>
      </c>
      <c r="H453" s="0" t="s">
        <v>986</v>
      </c>
      <c r="I453" s="0" t="s">
        <v>987</v>
      </c>
      <c r="J453" s="0" t="s">
        <v>1232</v>
      </c>
      <c r="K453" s="0" t="s">
        <v>1032</v>
      </c>
    </row>
    <row r="454" customFormat="false" ht="15" hidden="false" customHeight="false" outlineLevel="0" collapsed="false">
      <c r="A454" s="0" t="s">
        <v>1028</v>
      </c>
      <c r="B454" s="0" t="s">
        <v>1233</v>
      </c>
      <c r="C454" s="0" t="s">
        <v>31</v>
      </c>
      <c r="D454" s="0" t="s">
        <v>135</v>
      </c>
      <c r="E454" s="0" t="s">
        <v>1234</v>
      </c>
      <c r="F454" s="0" t="s">
        <v>137</v>
      </c>
      <c r="G454" s="0" t="n">
        <f aca="false">HYPERLINK("http://clipc-services.ceda.ac.uk/dreq/u/5912fb88-9e49-11e5-803c-0d0b866b59f3.html","web")</f>
        <v>0</v>
      </c>
      <c r="H454" s="0" t="s">
        <v>986</v>
      </c>
      <c r="I454" s="0" t="s">
        <v>987</v>
      </c>
      <c r="J454" s="0" t="s">
        <v>1235</v>
      </c>
      <c r="K454" s="0" t="s">
        <v>1032</v>
      </c>
    </row>
    <row r="455" customFormat="false" ht="15" hidden="false" customHeight="false" outlineLevel="0" collapsed="false">
      <c r="A455" s="0" t="s">
        <v>1028</v>
      </c>
      <c r="B455" s="0" t="s">
        <v>1236</v>
      </c>
      <c r="C455" s="0" t="s">
        <v>31</v>
      </c>
      <c r="D455" s="0" t="s">
        <v>438</v>
      </c>
      <c r="E455" s="0" t="s">
        <v>1237</v>
      </c>
      <c r="F455" s="0" t="s">
        <v>967</v>
      </c>
      <c r="G455" s="0" t="n">
        <f aca="false">HYPERLINK("http://clipc-services.ceda.ac.uk/dreq/u/590f7e72-9e49-11e5-803c-0d0b866b59f3.html","web")</f>
        <v>0</v>
      </c>
      <c r="H455" s="0" t="s">
        <v>986</v>
      </c>
      <c r="I455" s="0" t="s">
        <v>987</v>
      </c>
      <c r="J455" s="0" t="s">
        <v>1238</v>
      </c>
      <c r="K455" s="0" t="s">
        <v>1032</v>
      </c>
    </row>
    <row r="456" customFormat="false" ht="15" hidden="false" customHeight="false" outlineLevel="0" collapsed="false">
      <c r="A456" s="0" t="s">
        <v>1028</v>
      </c>
      <c r="B456" s="0" t="s">
        <v>1239</v>
      </c>
      <c r="C456" s="0" t="s">
        <v>31</v>
      </c>
      <c r="D456" s="0" t="s">
        <v>41</v>
      </c>
      <c r="E456" s="0" t="s">
        <v>1240</v>
      </c>
      <c r="F456" s="0" t="s">
        <v>967</v>
      </c>
      <c r="G456" s="0" t="n">
        <f aca="false">HYPERLINK("http://clipc-services.ceda.ac.uk/dreq/u/590e0dd0-9e49-11e5-803c-0d0b866b59f3.html","web")</f>
        <v>0</v>
      </c>
      <c r="H456" s="0" t="s">
        <v>986</v>
      </c>
      <c r="I456" s="0" t="s">
        <v>987</v>
      </c>
      <c r="J456" s="0" t="s">
        <v>1241</v>
      </c>
      <c r="K456" s="0" t="s">
        <v>1032</v>
      </c>
    </row>
    <row r="457" customFormat="false" ht="15" hidden="false" customHeight="false" outlineLevel="0" collapsed="false">
      <c r="A457" s="0" t="s">
        <v>1028</v>
      </c>
      <c r="B457" s="0" t="s">
        <v>1242</v>
      </c>
      <c r="C457" s="0" t="s">
        <v>31</v>
      </c>
      <c r="D457" s="0" t="s">
        <v>438</v>
      </c>
      <c r="E457" s="0" t="s">
        <v>1243</v>
      </c>
      <c r="F457" s="0" t="s">
        <v>967</v>
      </c>
      <c r="G457" s="0" t="n">
        <f aca="false">HYPERLINK("http://clipc-services.ceda.ac.uk/dreq/u/5914fd52-9e49-11e5-803c-0d0b866b59f3.html","web")</f>
        <v>0</v>
      </c>
      <c r="H457" s="0" t="s">
        <v>986</v>
      </c>
      <c r="I457" s="0" t="s">
        <v>987</v>
      </c>
      <c r="J457" s="0" t="s">
        <v>1244</v>
      </c>
      <c r="K457" s="0" t="s">
        <v>1032</v>
      </c>
    </row>
    <row r="458" customFormat="false" ht="15" hidden="false" customHeight="false" outlineLevel="0" collapsed="false">
      <c r="A458" s="0" t="s">
        <v>1028</v>
      </c>
      <c r="B458" s="0" t="s">
        <v>1245</v>
      </c>
      <c r="C458" s="0" t="s">
        <v>13</v>
      </c>
      <c r="D458" s="0" t="s">
        <v>135</v>
      </c>
      <c r="E458" s="0" t="s">
        <v>1246</v>
      </c>
      <c r="F458" s="0" t="s">
        <v>137</v>
      </c>
      <c r="G458" s="0" t="n">
        <f aca="false">HYPERLINK("http://clipc-services.ceda.ac.uk/dreq/u/84f108a8-acb7-11e6-b5ee-ac72891c3257.html","web")</f>
        <v>0</v>
      </c>
      <c r="H458" s="0" t="s">
        <v>1152</v>
      </c>
      <c r="I458" s="0" t="s">
        <v>26</v>
      </c>
      <c r="J458" s="0" t="s">
        <v>1247</v>
      </c>
      <c r="K458" s="0" t="s">
        <v>1063</v>
      </c>
    </row>
    <row r="459" customFormat="false" ht="15" hidden="false" customHeight="false" outlineLevel="0" collapsed="false">
      <c r="A459" s="0" t="s">
        <v>1028</v>
      </c>
      <c r="B459" s="0" t="s">
        <v>1248</v>
      </c>
      <c r="C459" s="0" t="s">
        <v>13</v>
      </c>
      <c r="D459" s="0" t="s">
        <v>135</v>
      </c>
      <c r="E459" s="0" t="s">
        <v>1249</v>
      </c>
      <c r="F459" s="0" t="s">
        <v>137</v>
      </c>
      <c r="G459" s="0" t="n">
        <f aca="false">HYPERLINK("http://clipc-services.ceda.ac.uk/dreq/u/590dd13a-9e49-11e5-803c-0d0b866b59f3.html","web")</f>
        <v>0</v>
      </c>
      <c r="H459" s="0" t="s">
        <v>1035</v>
      </c>
      <c r="I459" s="0" t="s">
        <v>26</v>
      </c>
      <c r="J459" s="0" t="s">
        <v>1250</v>
      </c>
      <c r="K459" s="0" t="s">
        <v>1037</v>
      </c>
    </row>
    <row r="460" customFormat="false" ht="15" hidden="false" customHeight="false" outlineLevel="0" collapsed="false">
      <c r="A460" s="0" t="s">
        <v>1028</v>
      </c>
      <c r="B460" s="0" t="s">
        <v>1251</v>
      </c>
      <c r="C460" s="0" t="s">
        <v>13</v>
      </c>
      <c r="D460" s="0" t="s">
        <v>135</v>
      </c>
      <c r="E460" s="0" t="s">
        <v>1252</v>
      </c>
      <c r="F460" s="0" t="s">
        <v>137</v>
      </c>
      <c r="G460" s="0" t="n">
        <f aca="false">HYPERLINK("http://clipc-services.ceda.ac.uk/dreq/u/5914517c-9e49-11e5-803c-0d0b866b59f3.html","web")</f>
        <v>0</v>
      </c>
      <c r="H460" s="0" t="s">
        <v>1035</v>
      </c>
      <c r="I460" s="0" t="s">
        <v>26</v>
      </c>
      <c r="J460" s="0" t="s">
        <v>1253</v>
      </c>
      <c r="K460" s="0" t="s">
        <v>1037</v>
      </c>
    </row>
    <row r="461" customFormat="false" ht="15" hidden="false" customHeight="false" outlineLevel="0" collapsed="false">
      <c r="A461" s="0" t="s">
        <v>1028</v>
      </c>
      <c r="B461" s="0" t="s">
        <v>1254</v>
      </c>
      <c r="C461" s="0" t="s">
        <v>13</v>
      </c>
      <c r="D461" s="0" t="s">
        <v>135</v>
      </c>
      <c r="E461" s="0" t="s">
        <v>1255</v>
      </c>
      <c r="F461" s="0" t="s">
        <v>137</v>
      </c>
      <c r="G461" s="0" t="n">
        <f aca="false">HYPERLINK("http://clipc-services.ceda.ac.uk/dreq/u/84f0beac-acb7-11e6-b5ee-ac72891c3257.html","web")</f>
        <v>0</v>
      </c>
      <c r="H461" s="0" t="s">
        <v>1256</v>
      </c>
      <c r="I461" s="0" t="s">
        <v>26</v>
      </c>
      <c r="J461" s="0" t="s">
        <v>1257</v>
      </c>
      <c r="K461" s="0" t="s">
        <v>1063</v>
      </c>
    </row>
    <row r="462" customFormat="false" ht="15" hidden="false" customHeight="false" outlineLevel="0" collapsed="false">
      <c r="A462" s="0" t="s">
        <v>1028</v>
      </c>
      <c r="B462" s="0" t="s">
        <v>1258</v>
      </c>
      <c r="C462" s="0" t="s">
        <v>13</v>
      </c>
      <c r="D462" s="0" t="s">
        <v>135</v>
      </c>
      <c r="E462" s="0" t="s">
        <v>1259</v>
      </c>
      <c r="F462" s="0" t="s">
        <v>137</v>
      </c>
      <c r="G462" s="0" t="n">
        <f aca="false">HYPERLINK("http://clipc-services.ceda.ac.uk/dreq/u/84f0f354-acb7-11e6-b5ee-ac72891c3257.html","web")</f>
        <v>0</v>
      </c>
      <c r="H462" s="0" t="s">
        <v>1256</v>
      </c>
      <c r="I462" s="0" t="s">
        <v>26</v>
      </c>
      <c r="J462" s="0" t="s">
        <v>1260</v>
      </c>
      <c r="K462" s="0" t="s">
        <v>1063</v>
      </c>
    </row>
    <row r="463" customFormat="false" ht="15" hidden="false" customHeight="false" outlineLevel="0" collapsed="false">
      <c r="A463" s="0" t="s">
        <v>1028</v>
      </c>
      <c r="B463" s="0" t="s">
        <v>1261</v>
      </c>
      <c r="C463" s="0" t="s">
        <v>13</v>
      </c>
      <c r="D463" s="0" t="s">
        <v>135</v>
      </c>
      <c r="E463" s="0" t="s">
        <v>1262</v>
      </c>
      <c r="F463" s="0" t="s">
        <v>137</v>
      </c>
      <c r="G463" s="0" t="n">
        <f aca="false">HYPERLINK("http://clipc-services.ceda.ac.uk/dreq/u/84f1117c-acb7-11e6-b5ee-ac72891c3257.html","web")</f>
        <v>0</v>
      </c>
      <c r="H463" s="0" t="s">
        <v>1256</v>
      </c>
      <c r="I463" s="0" t="s">
        <v>26</v>
      </c>
      <c r="J463" s="0" t="s">
        <v>1263</v>
      </c>
      <c r="K463" s="0" t="s">
        <v>1063</v>
      </c>
    </row>
    <row r="464" customFormat="false" ht="15" hidden="false" customHeight="false" outlineLevel="0" collapsed="false">
      <c r="A464" s="0" t="s">
        <v>1028</v>
      </c>
      <c r="B464" s="0" t="s">
        <v>1264</v>
      </c>
      <c r="C464" s="0" t="s">
        <v>13</v>
      </c>
      <c r="D464" s="0" t="s">
        <v>135</v>
      </c>
      <c r="E464" s="0" t="s">
        <v>1265</v>
      </c>
      <c r="F464" s="0" t="s">
        <v>137</v>
      </c>
      <c r="G464" s="0" t="n">
        <f aca="false">HYPERLINK("http://clipc-services.ceda.ac.uk/dreq/u/590f1f68-9e49-11e5-803c-0d0b866b59f3.html","web")</f>
        <v>0</v>
      </c>
      <c r="H464" s="0" t="s">
        <v>1035</v>
      </c>
      <c r="I464" s="0" t="s">
        <v>26</v>
      </c>
      <c r="J464" s="0" t="s">
        <v>1266</v>
      </c>
      <c r="K464" s="0" t="s">
        <v>1037</v>
      </c>
    </row>
    <row r="465" customFormat="false" ht="15" hidden="false" customHeight="false" outlineLevel="0" collapsed="false">
      <c r="A465" s="0" t="s">
        <v>1028</v>
      </c>
      <c r="B465" s="0" t="s">
        <v>1267</v>
      </c>
      <c r="C465" s="0" t="s">
        <v>13</v>
      </c>
      <c r="D465" s="0" t="s">
        <v>135</v>
      </c>
      <c r="E465" s="0" t="s">
        <v>1268</v>
      </c>
      <c r="F465" s="0" t="s">
        <v>137</v>
      </c>
      <c r="G465" s="0" t="n">
        <f aca="false">HYPERLINK("http://clipc-services.ceda.ac.uk/dreq/u/590f2436-9e49-11e5-803c-0d0b866b59f3.html","web")</f>
        <v>0</v>
      </c>
      <c r="H465" s="0" t="s">
        <v>1035</v>
      </c>
      <c r="I465" s="0" t="s">
        <v>26</v>
      </c>
      <c r="J465" s="0" t="s">
        <v>1266</v>
      </c>
      <c r="K465" s="0" t="s">
        <v>1037</v>
      </c>
    </row>
    <row r="466" customFormat="false" ht="15" hidden="false" customHeight="false" outlineLevel="0" collapsed="false">
      <c r="A466" s="0" t="s">
        <v>1028</v>
      </c>
      <c r="B466" s="0" t="s">
        <v>1269</v>
      </c>
      <c r="C466" s="0" t="s">
        <v>31</v>
      </c>
      <c r="D466" s="0" t="s">
        <v>1141</v>
      </c>
      <c r="E466" s="0" t="s">
        <v>1270</v>
      </c>
      <c r="F466" s="0" t="s">
        <v>327</v>
      </c>
      <c r="G466" s="0" t="n">
        <f aca="false">HYPERLINK("http://clipc-services.ceda.ac.uk/dreq/u/5912c3de-9e49-11e5-803c-0d0b866b59f3.html","web")</f>
        <v>0</v>
      </c>
      <c r="H466" s="0" t="s">
        <v>1143</v>
      </c>
      <c r="I466" s="0" t="s">
        <v>1144</v>
      </c>
      <c r="J466" s="0" t="s">
        <v>1271</v>
      </c>
      <c r="K466" s="0" t="s">
        <v>1146</v>
      </c>
    </row>
    <row r="467" customFormat="false" ht="15" hidden="false" customHeight="false" outlineLevel="0" collapsed="false">
      <c r="A467" s="0" t="s">
        <v>1028</v>
      </c>
      <c r="B467" s="0" t="s">
        <v>984</v>
      </c>
      <c r="C467" s="0" t="s">
        <v>31</v>
      </c>
      <c r="D467" s="0" t="s">
        <v>135</v>
      </c>
      <c r="E467" s="0" t="s">
        <v>985</v>
      </c>
      <c r="F467" s="0" t="s">
        <v>327</v>
      </c>
      <c r="G467" s="0" t="n">
        <f aca="false">HYPERLINK("http://clipc-services.ceda.ac.uk/dreq/u/6ca9dd8a089b15fb96841e9fe56411cf.html","web")</f>
        <v>0</v>
      </c>
      <c r="H467" s="0" t="s">
        <v>986</v>
      </c>
      <c r="I467" s="0" t="s">
        <v>987</v>
      </c>
      <c r="J467" s="0" t="s">
        <v>988</v>
      </c>
      <c r="K467" s="0" t="s">
        <v>1108</v>
      </c>
    </row>
    <row r="468" customFormat="false" ht="15" hidden="false" customHeight="false" outlineLevel="0" collapsed="false">
      <c r="A468" s="0" t="s">
        <v>1028</v>
      </c>
      <c r="B468" s="0" t="s">
        <v>385</v>
      </c>
      <c r="C468" s="0" t="s">
        <v>31</v>
      </c>
      <c r="D468" s="0" t="s">
        <v>135</v>
      </c>
      <c r="E468" s="0" t="s">
        <v>386</v>
      </c>
      <c r="F468" s="0" t="s">
        <v>327</v>
      </c>
      <c r="G468" s="0" t="n">
        <f aca="false">HYPERLINK("http://clipc-services.ceda.ac.uk/dreq/u/f27656eeae247192e82aa1032c911399.html","web")</f>
        <v>0</v>
      </c>
      <c r="H468" s="0" t="s">
        <v>387</v>
      </c>
      <c r="I468" s="0" t="s">
        <v>388</v>
      </c>
      <c r="J468" s="0" t="s">
        <v>389</v>
      </c>
      <c r="K468" s="0" t="s">
        <v>1108</v>
      </c>
    </row>
    <row r="469" customFormat="false" ht="15" hidden="false" customHeight="false" outlineLevel="0" collapsed="false">
      <c r="A469" s="0" t="s">
        <v>1028</v>
      </c>
      <c r="B469" s="0" t="s">
        <v>1272</v>
      </c>
      <c r="C469" s="0" t="s">
        <v>31</v>
      </c>
      <c r="D469" s="0" t="s">
        <v>1141</v>
      </c>
      <c r="E469" s="0" t="s">
        <v>1273</v>
      </c>
      <c r="F469" s="0" t="s">
        <v>327</v>
      </c>
      <c r="G469" s="0" t="n">
        <f aca="false">HYPERLINK("http://clipc-services.ceda.ac.uk/dreq/u/5912e6d4-9e49-11e5-803c-0d0b866b59f3.html","web")</f>
        <v>0</v>
      </c>
      <c r="H469" s="0" t="s">
        <v>1143</v>
      </c>
      <c r="I469" s="0" t="s">
        <v>1144</v>
      </c>
      <c r="J469" s="0" t="s">
        <v>1274</v>
      </c>
      <c r="K469" s="0" t="s">
        <v>1146</v>
      </c>
    </row>
    <row r="470" customFormat="false" ht="15" hidden="false" customHeight="false" outlineLevel="0" collapsed="false">
      <c r="A470" s="0" t="s">
        <v>1028</v>
      </c>
      <c r="B470" s="0" t="s">
        <v>1275</v>
      </c>
      <c r="C470" s="0" t="s">
        <v>31</v>
      </c>
      <c r="D470" s="0" t="s">
        <v>135</v>
      </c>
      <c r="E470" s="0" t="s">
        <v>1276</v>
      </c>
      <c r="F470" s="0" t="s">
        <v>81</v>
      </c>
      <c r="G470" s="0" t="n">
        <f aca="false">HYPERLINK("http://clipc-services.ceda.ac.uk/dreq/u/31a3caf70db7a8ed71e8d0a226365105.html","web")</f>
        <v>0</v>
      </c>
      <c r="H470" s="0" t="s">
        <v>1106</v>
      </c>
      <c r="I470" s="0" t="s">
        <v>322</v>
      </c>
      <c r="J470" s="0" t="s">
        <v>1277</v>
      </c>
      <c r="K470" s="0" t="s">
        <v>1108</v>
      </c>
    </row>
    <row r="471" customFormat="false" ht="15" hidden="false" customHeight="false" outlineLevel="0" collapsed="false">
      <c r="A471" s="0" t="s">
        <v>1028</v>
      </c>
      <c r="B471" s="0" t="s">
        <v>1278</v>
      </c>
      <c r="C471" s="0" t="s">
        <v>31</v>
      </c>
      <c r="D471" s="0" t="s">
        <v>41</v>
      </c>
      <c r="E471" s="0" t="s">
        <v>1279</v>
      </c>
      <c r="F471" s="0" t="s">
        <v>31</v>
      </c>
      <c r="G471" s="0" t="n">
        <f aca="false">HYPERLINK("http://clipc-services.ceda.ac.uk/dreq/u/fdca5cbf-4d35-11e8-be0a-1c4d70487308.html","web")</f>
        <v>0</v>
      </c>
      <c r="H471" s="0" t="s">
        <v>986</v>
      </c>
      <c r="I471" s="0" t="s">
        <v>987</v>
      </c>
      <c r="J471" s="0" t="s">
        <v>1280</v>
      </c>
      <c r="K471" s="0" t="s">
        <v>1032</v>
      </c>
    </row>
    <row r="472" customFormat="false" ht="15" hidden="false" customHeight="false" outlineLevel="0" collapsed="false">
      <c r="A472" s="0" t="s">
        <v>1028</v>
      </c>
      <c r="B472" s="0" t="s">
        <v>1281</v>
      </c>
      <c r="C472" s="0" t="s">
        <v>31</v>
      </c>
      <c r="D472" s="0" t="s">
        <v>41</v>
      </c>
      <c r="E472" s="0" t="s">
        <v>1282</v>
      </c>
      <c r="F472" s="0" t="s">
        <v>31</v>
      </c>
      <c r="G472" s="0" t="n">
        <f aca="false">HYPERLINK("http://clipc-services.ceda.ac.uk/dreq/u/fdca5cc0-4d35-11e8-be0a-1c4d70487308.html","web")</f>
        <v>0</v>
      </c>
      <c r="H472" s="0" t="s">
        <v>986</v>
      </c>
      <c r="I472" s="0" t="s">
        <v>987</v>
      </c>
      <c r="J472" s="0" t="s">
        <v>1283</v>
      </c>
      <c r="K472" s="0" t="s">
        <v>1032</v>
      </c>
    </row>
    <row r="473" customFormat="false" ht="15" hidden="false" customHeight="false" outlineLevel="0" collapsed="false">
      <c r="A473" s="0" t="s">
        <v>1028</v>
      </c>
      <c r="B473" s="0" t="s">
        <v>1284</v>
      </c>
      <c r="C473" s="0" t="s">
        <v>31</v>
      </c>
      <c r="D473" s="0" t="s">
        <v>1141</v>
      </c>
      <c r="E473" s="0" t="s">
        <v>1285</v>
      </c>
      <c r="F473" s="0" t="s">
        <v>24</v>
      </c>
      <c r="G473" s="0" t="n">
        <f aca="false">HYPERLINK("http://clipc-services.ceda.ac.uk/dreq/u/590e379c-9e49-11e5-803c-0d0b866b59f3.html","web")</f>
        <v>0</v>
      </c>
      <c r="H473" s="0" t="s">
        <v>1143</v>
      </c>
      <c r="I473" s="0" t="s">
        <v>1144</v>
      </c>
      <c r="J473" s="0" t="s">
        <v>1286</v>
      </c>
      <c r="K473" s="0" t="s">
        <v>1146</v>
      </c>
    </row>
    <row r="474" customFormat="false" ht="15" hidden="false" customHeight="false" outlineLevel="0" collapsed="false">
      <c r="A474" s="0" t="s">
        <v>1028</v>
      </c>
      <c r="B474" s="0" t="s">
        <v>1287</v>
      </c>
      <c r="C474" s="0" t="s">
        <v>31</v>
      </c>
      <c r="D474" s="0" t="s">
        <v>135</v>
      </c>
      <c r="E474" s="0" t="s">
        <v>1288</v>
      </c>
      <c r="F474" s="0" t="s">
        <v>327</v>
      </c>
      <c r="G474" s="0" t="n">
        <f aca="false">HYPERLINK("http://clipc-services.ceda.ac.uk/dreq/u/590f465a-9e49-11e5-803c-0d0b866b59f3.html","web")</f>
        <v>0</v>
      </c>
      <c r="H474" s="0" t="s">
        <v>1172</v>
      </c>
      <c r="I474" s="0" t="s">
        <v>36</v>
      </c>
      <c r="J474" s="0" t="s">
        <v>1173</v>
      </c>
      <c r="K474" s="0" t="s">
        <v>1032</v>
      </c>
    </row>
    <row r="475" customFormat="false" ht="15" hidden="false" customHeight="false" outlineLevel="0" collapsed="false">
      <c r="A475" s="0" t="s">
        <v>1028</v>
      </c>
      <c r="B475" s="0" t="s">
        <v>1289</v>
      </c>
      <c r="C475" s="0" t="s">
        <v>31</v>
      </c>
      <c r="D475" s="0" t="s">
        <v>135</v>
      </c>
      <c r="E475" s="0" t="s">
        <v>1290</v>
      </c>
      <c r="F475" s="0" t="s">
        <v>327</v>
      </c>
      <c r="G475" s="0" t="n">
        <f aca="false">HYPERLINK("http://clipc-services.ceda.ac.uk/dreq/u/5917cf46-9e49-11e5-803c-0d0b866b59f3.html","web")</f>
        <v>0</v>
      </c>
      <c r="H475" s="0" t="s">
        <v>1172</v>
      </c>
      <c r="I475" s="0" t="s">
        <v>36</v>
      </c>
      <c r="J475" s="0" t="s">
        <v>1291</v>
      </c>
      <c r="K475" s="0" t="s">
        <v>1032</v>
      </c>
    </row>
    <row r="476" customFormat="false" ht="15" hidden="false" customHeight="false" outlineLevel="0" collapsed="false">
      <c r="A476" s="0" t="s">
        <v>1028</v>
      </c>
      <c r="B476" s="0" t="s">
        <v>1292</v>
      </c>
      <c r="C476" s="0" t="s">
        <v>31</v>
      </c>
      <c r="D476" s="0" t="s">
        <v>135</v>
      </c>
      <c r="E476" s="0" t="s">
        <v>1293</v>
      </c>
      <c r="F476" s="0" t="s">
        <v>327</v>
      </c>
      <c r="G476" s="0" t="n">
        <f aca="false">HYPERLINK("http://clipc-services.ceda.ac.uk/dreq/u/4cabf9607859a83bcb3bc00fa8d0698c.html","web")</f>
        <v>0</v>
      </c>
      <c r="H476" s="0" t="s">
        <v>1172</v>
      </c>
      <c r="I476" s="0" t="s">
        <v>36</v>
      </c>
      <c r="J476" s="0" t="s">
        <v>1179</v>
      </c>
      <c r="K476" s="0" t="s">
        <v>1032</v>
      </c>
    </row>
    <row r="477" customFormat="false" ht="15" hidden="false" customHeight="false" outlineLevel="0" collapsed="false">
      <c r="A477" s="0" t="s">
        <v>1028</v>
      </c>
      <c r="B477" s="0" t="s">
        <v>1294</v>
      </c>
      <c r="C477" s="0" t="s">
        <v>31</v>
      </c>
      <c r="D477" s="0" t="s">
        <v>135</v>
      </c>
      <c r="E477" s="0" t="s">
        <v>1295</v>
      </c>
      <c r="F477" s="0" t="s">
        <v>327</v>
      </c>
      <c r="G477" s="0" t="n">
        <f aca="false">HYPERLINK("http://clipc-services.ceda.ac.uk/dreq/u/332db812bf06c7af2de1b9d1e0cf58c9.html","web")</f>
        <v>0</v>
      </c>
      <c r="H477" s="0" t="s">
        <v>1172</v>
      </c>
      <c r="I477" s="0" t="s">
        <v>36</v>
      </c>
      <c r="J477" s="0" t="s">
        <v>1179</v>
      </c>
      <c r="K477" s="0" t="s">
        <v>1032</v>
      </c>
    </row>
    <row r="478" customFormat="false" ht="15" hidden="false" customHeight="false" outlineLevel="0" collapsed="false">
      <c r="A478" s="0" t="s">
        <v>1028</v>
      </c>
      <c r="B478" s="0" t="s">
        <v>1296</v>
      </c>
      <c r="C478" s="0" t="s">
        <v>13</v>
      </c>
      <c r="D478" s="0" t="s">
        <v>1085</v>
      </c>
      <c r="E478" s="0" t="s">
        <v>1297</v>
      </c>
      <c r="F478" s="0" t="s">
        <v>357</v>
      </c>
      <c r="G478" s="0" t="n">
        <f aca="false">HYPERLINK("http://clipc-services.ceda.ac.uk/dreq/u/84f1146a-acb7-11e6-b5ee-ac72891c3257.html","web")</f>
        <v>0</v>
      </c>
      <c r="H478" s="0" t="s">
        <v>1087</v>
      </c>
      <c r="I478" s="0" t="s">
        <v>26</v>
      </c>
      <c r="J478" s="0" t="s">
        <v>1298</v>
      </c>
      <c r="K478" s="0" t="s">
        <v>1063</v>
      </c>
    </row>
    <row r="479" customFormat="false" ht="15" hidden="false" customHeight="false" outlineLevel="0" collapsed="false">
      <c r="A479" s="0" t="s">
        <v>1028</v>
      </c>
      <c r="B479" s="0" t="s">
        <v>1299</v>
      </c>
      <c r="C479" s="0" t="s">
        <v>31</v>
      </c>
      <c r="D479" s="0" t="s">
        <v>1167</v>
      </c>
      <c r="E479" s="0" t="s">
        <v>1300</v>
      </c>
      <c r="F479" s="0" t="s">
        <v>841</v>
      </c>
      <c r="G479" s="0" t="n">
        <f aca="false">HYPERLINK("http://clipc-services.ceda.ac.uk/dreq/u/590f1a90-9e49-11e5-803c-0d0b866b59f3.html","web")</f>
        <v>0</v>
      </c>
      <c r="H479" s="0" t="s">
        <v>1143</v>
      </c>
      <c r="I479" s="0" t="s">
        <v>1144</v>
      </c>
      <c r="J479" s="0" t="s">
        <v>1301</v>
      </c>
      <c r="K479" s="0" t="s">
        <v>1146</v>
      </c>
    </row>
    <row r="480" customFormat="false" ht="15" hidden="false" customHeight="false" outlineLevel="0" collapsed="false">
      <c r="A480" s="0" t="s">
        <v>1028</v>
      </c>
      <c r="B480" s="0" t="s">
        <v>989</v>
      </c>
      <c r="C480" s="0" t="s">
        <v>31</v>
      </c>
      <c r="D480" s="0" t="s">
        <v>971</v>
      </c>
      <c r="E480" s="0" t="s">
        <v>990</v>
      </c>
      <c r="F480" s="0" t="s">
        <v>841</v>
      </c>
      <c r="G480" s="0" t="n">
        <f aca="false">HYPERLINK("http://clipc-services.ceda.ac.uk/dreq/u/170ff384-b622-11e6-bbe2-ac72891c3257.html","web")</f>
        <v>0</v>
      </c>
      <c r="H480" s="0" t="s">
        <v>973</v>
      </c>
      <c r="I480" s="0" t="s">
        <v>974</v>
      </c>
      <c r="J480" s="0" t="s">
        <v>991</v>
      </c>
      <c r="K480" s="0" t="s">
        <v>765</v>
      </c>
    </row>
    <row r="481" customFormat="false" ht="15" hidden="false" customHeight="false" outlineLevel="0" collapsed="false">
      <c r="A481" s="0" t="s">
        <v>1028</v>
      </c>
      <c r="B481" s="0" t="s">
        <v>992</v>
      </c>
      <c r="C481" s="0" t="s">
        <v>31</v>
      </c>
      <c r="D481" s="0" t="s">
        <v>971</v>
      </c>
      <c r="E481" s="0" t="s">
        <v>993</v>
      </c>
      <c r="F481" s="0" t="s">
        <v>841</v>
      </c>
      <c r="G481" s="0" t="n">
        <f aca="false">HYPERLINK("http://clipc-services.ceda.ac.uk/dreq/u/1758307c-b622-11e6-bbe2-ac72891c3257.html","web")</f>
        <v>0</v>
      </c>
      <c r="H481" s="0" t="s">
        <v>973</v>
      </c>
      <c r="I481" s="0" t="s">
        <v>974</v>
      </c>
      <c r="J481" s="0" t="s">
        <v>994</v>
      </c>
      <c r="K481" s="0" t="s">
        <v>765</v>
      </c>
    </row>
    <row r="482" customFormat="false" ht="15" hidden="false" customHeight="false" outlineLevel="0" collapsed="false">
      <c r="A482" s="0" t="s">
        <v>1028</v>
      </c>
      <c r="B482" s="0" t="s">
        <v>699</v>
      </c>
      <c r="C482" s="0" t="s">
        <v>31</v>
      </c>
      <c r="D482" s="0" t="s">
        <v>438</v>
      </c>
      <c r="E482" s="0" t="s">
        <v>700</v>
      </c>
      <c r="F482" s="0" t="s">
        <v>370</v>
      </c>
      <c r="G482" s="0" t="n">
        <f aca="false">HYPERLINK("http://clipc-services.ceda.ac.uk/dreq/u/59170a02-9e49-11e5-803c-0d0b866b59f3.html","web")</f>
        <v>0</v>
      </c>
      <c r="H482" s="0" t="s">
        <v>253</v>
      </c>
      <c r="I482" s="0" t="s">
        <v>226</v>
      </c>
      <c r="J482" s="0" t="s">
        <v>701</v>
      </c>
      <c r="K482" s="0" t="s">
        <v>866</v>
      </c>
    </row>
    <row r="483" customFormat="false" ht="15" hidden="false" customHeight="false" outlineLevel="0" collapsed="false">
      <c r="A483" s="0" t="s">
        <v>1028</v>
      </c>
      <c r="B483" s="0" t="s">
        <v>705</v>
      </c>
      <c r="C483" s="0" t="s">
        <v>31</v>
      </c>
      <c r="D483" s="0" t="s">
        <v>438</v>
      </c>
      <c r="E483" s="0" t="s">
        <v>706</v>
      </c>
      <c r="F483" s="0" t="s">
        <v>370</v>
      </c>
      <c r="G483" s="0" t="n">
        <f aca="false">HYPERLINK("http://clipc-services.ceda.ac.uk/dreq/u/5913d86e-9e49-11e5-803c-0d0b866b59f3.html","web")</f>
        <v>0</v>
      </c>
      <c r="H483" s="0" t="s">
        <v>253</v>
      </c>
      <c r="I483" s="0" t="s">
        <v>226</v>
      </c>
      <c r="J483" s="0" t="s">
        <v>707</v>
      </c>
      <c r="K483" s="0" t="s">
        <v>866</v>
      </c>
    </row>
    <row r="484" customFormat="false" ht="15" hidden="false" customHeight="false" outlineLevel="0" collapsed="false">
      <c r="A484" s="0" t="s">
        <v>1028</v>
      </c>
      <c r="B484" s="0" t="s">
        <v>708</v>
      </c>
      <c r="C484" s="0" t="s">
        <v>31</v>
      </c>
      <c r="D484" s="0" t="s">
        <v>438</v>
      </c>
      <c r="E484" s="0" t="s">
        <v>709</v>
      </c>
      <c r="F484" s="0" t="s">
        <v>370</v>
      </c>
      <c r="G484" s="0" t="n">
        <f aca="false">HYPERLINK("http://clipc-services.ceda.ac.uk/dreq/u/5913d602-9e49-11e5-803c-0d0b866b59f3.html","web")</f>
        <v>0</v>
      </c>
      <c r="H484" s="0" t="s">
        <v>253</v>
      </c>
      <c r="I484" s="0" t="s">
        <v>226</v>
      </c>
      <c r="J484" s="0" t="s">
        <v>710</v>
      </c>
      <c r="K484" s="0" t="s">
        <v>866</v>
      </c>
    </row>
    <row r="485" customFormat="false" ht="15" hidden="false" customHeight="false" outlineLevel="0" collapsed="false">
      <c r="A485" s="0" t="s">
        <v>1028</v>
      </c>
      <c r="B485" s="0" t="s">
        <v>1302</v>
      </c>
      <c r="C485" s="0" t="s">
        <v>31</v>
      </c>
      <c r="D485" s="0" t="s">
        <v>1141</v>
      </c>
      <c r="E485" s="0" t="s">
        <v>1303</v>
      </c>
      <c r="F485" s="0" t="s">
        <v>841</v>
      </c>
      <c r="G485" s="0" t="n">
        <f aca="false">HYPERLINK("http://clipc-services.ceda.ac.uk/dreq/u/590e417e-9e49-11e5-803c-0d0b866b59f3.html","web")</f>
        <v>0</v>
      </c>
      <c r="H485" s="0" t="s">
        <v>1143</v>
      </c>
      <c r="I485" s="0" t="s">
        <v>1144</v>
      </c>
      <c r="J485" s="0" t="s">
        <v>1304</v>
      </c>
      <c r="K485" s="0" t="s">
        <v>1146</v>
      </c>
    </row>
    <row r="486" customFormat="false" ht="15" hidden="false" customHeight="false" outlineLevel="0" collapsed="false">
      <c r="A486" s="0" t="s">
        <v>1028</v>
      </c>
      <c r="B486" s="0" t="s">
        <v>267</v>
      </c>
      <c r="C486" s="0" t="s">
        <v>31</v>
      </c>
      <c r="D486" s="0" t="s">
        <v>724</v>
      </c>
      <c r="E486" s="0" t="s">
        <v>268</v>
      </c>
      <c r="F486" s="0" t="s">
        <v>265</v>
      </c>
      <c r="G486" s="0" t="n">
        <f aca="false">HYPERLINK("http://clipc-services.ceda.ac.uk/dreq/u/590e85a8-9e49-11e5-803c-0d0b866b59f3.html","web")</f>
        <v>0</v>
      </c>
      <c r="H486" s="0" t="s">
        <v>269</v>
      </c>
      <c r="I486" s="0" t="s">
        <v>36</v>
      </c>
      <c r="J486" s="0" t="s">
        <v>270</v>
      </c>
      <c r="K486" s="0" t="s">
        <v>1305</v>
      </c>
    </row>
    <row r="487" customFormat="false" ht="15" hidden="false" customHeight="false" outlineLevel="0" collapsed="false">
      <c r="A487" s="0" t="s">
        <v>1028</v>
      </c>
      <c r="B487" s="0" t="s">
        <v>271</v>
      </c>
      <c r="C487" s="0" t="s">
        <v>31</v>
      </c>
      <c r="D487" s="0" t="s">
        <v>724</v>
      </c>
      <c r="E487" s="0" t="s">
        <v>272</v>
      </c>
      <c r="F487" s="0" t="s">
        <v>265</v>
      </c>
      <c r="G487" s="0" t="n">
        <f aca="false">HYPERLINK("http://clipc-services.ceda.ac.uk/dreq/u/590ed5a8-9e49-11e5-803c-0d0b866b59f3.html","web")</f>
        <v>0</v>
      </c>
      <c r="H487" s="0" t="s">
        <v>269</v>
      </c>
      <c r="I487" s="0" t="s">
        <v>36</v>
      </c>
      <c r="J487" s="0" t="s">
        <v>273</v>
      </c>
      <c r="K487" s="0" t="s">
        <v>1305</v>
      </c>
    </row>
    <row r="488" customFormat="false" ht="15" hidden="false" customHeight="false" outlineLevel="0" collapsed="false">
      <c r="A488" s="0" t="s">
        <v>1028</v>
      </c>
      <c r="B488" s="0" t="s">
        <v>21</v>
      </c>
      <c r="C488" s="0" t="s">
        <v>13</v>
      </c>
      <c r="D488" s="0" t="s">
        <v>135</v>
      </c>
      <c r="E488" s="0" t="s">
        <v>23</v>
      </c>
      <c r="F488" s="0" t="s">
        <v>24</v>
      </c>
      <c r="G488" s="0" t="n">
        <f aca="false">HYPERLINK("http://clipc-services.ceda.ac.uk/dreq/u/59170cbe-9e49-11e5-803c-0d0b866b59f3.html","web")</f>
        <v>0</v>
      </c>
      <c r="H488" s="0" t="s">
        <v>25</v>
      </c>
      <c r="I488" s="0" t="s">
        <v>26</v>
      </c>
      <c r="J488" s="0" t="s">
        <v>27</v>
      </c>
      <c r="K488" s="0" t="s">
        <v>1306</v>
      </c>
    </row>
    <row r="489" customFormat="false" ht="15" hidden="false" customHeight="false" outlineLevel="0" collapsed="false">
      <c r="A489" s="0" t="s">
        <v>1028</v>
      </c>
      <c r="B489" s="0" t="s">
        <v>1307</v>
      </c>
      <c r="C489" s="0" t="s">
        <v>13</v>
      </c>
      <c r="D489" s="0" t="s">
        <v>135</v>
      </c>
      <c r="E489" s="0" t="s">
        <v>1308</v>
      </c>
      <c r="F489" s="0" t="s">
        <v>24</v>
      </c>
      <c r="G489" s="0" t="n">
        <f aca="false">HYPERLINK("http://clipc-services.ceda.ac.uk/dreq/u/5917d9fa-9e49-11e5-803c-0d0b866b59f3.html","web")</f>
        <v>0</v>
      </c>
      <c r="H489" s="0" t="s">
        <v>1309</v>
      </c>
      <c r="I489" s="0" t="s">
        <v>26</v>
      </c>
      <c r="J489" s="0" t="s">
        <v>1310</v>
      </c>
      <c r="K489" s="0" t="s">
        <v>1037</v>
      </c>
    </row>
    <row r="490" customFormat="false" ht="15" hidden="false" customHeight="false" outlineLevel="0" collapsed="false">
      <c r="A490" s="0" t="s">
        <v>1028</v>
      </c>
      <c r="B490" s="0" t="s">
        <v>1311</v>
      </c>
      <c r="C490" s="0" t="s">
        <v>13</v>
      </c>
      <c r="D490" s="0" t="s">
        <v>135</v>
      </c>
      <c r="E490" s="0" t="s">
        <v>1312</v>
      </c>
      <c r="F490" s="0" t="s">
        <v>24</v>
      </c>
      <c r="G490" s="0" t="n">
        <f aca="false">HYPERLINK("http://clipc-services.ceda.ac.uk/dreq/u/591384a4-9e49-11e5-803c-0d0b866b59f3.html","web")</f>
        <v>0</v>
      </c>
      <c r="H490" s="0" t="s">
        <v>1313</v>
      </c>
      <c r="I490" s="0" t="s">
        <v>26</v>
      </c>
      <c r="J490" s="0" t="s">
        <v>1314</v>
      </c>
      <c r="K490" s="0" t="s">
        <v>1037</v>
      </c>
    </row>
    <row r="491" customFormat="false" ht="15" hidden="false" customHeight="false" outlineLevel="0" collapsed="false">
      <c r="A491" s="0" t="s">
        <v>1028</v>
      </c>
      <c r="B491" s="0" t="s">
        <v>1315</v>
      </c>
      <c r="C491" s="0" t="s">
        <v>13</v>
      </c>
      <c r="D491" s="0" t="s">
        <v>135</v>
      </c>
      <c r="E491" s="0" t="s">
        <v>1316</v>
      </c>
      <c r="F491" s="0" t="s">
        <v>24</v>
      </c>
      <c r="G491" s="0" t="n">
        <f aca="false">HYPERLINK("http://clipc-services.ceda.ac.uk/dreq/u/84f0430a-acb7-11e6-b5ee-ac72891c3257.html","web")</f>
        <v>0</v>
      </c>
      <c r="H491" s="0" t="s">
        <v>1313</v>
      </c>
      <c r="I491" s="0" t="s">
        <v>26</v>
      </c>
      <c r="J491" s="0" t="s">
        <v>1317</v>
      </c>
      <c r="K491" s="0" t="s">
        <v>1063</v>
      </c>
    </row>
    <row r="492" customFormat="false" ht="15" hidden="false" customHeight="false" outlineLevel="0" collapsed="false">
      <c r="A492" s="0" t="s">
        <v>1028</v>
      </c>
      <c r="B492" s="0" t="s">
        <v>1318</v>
      </c>
      <c r="C492" s="0" t="s">
        <v>13</v>
      </c>
      <c r="D492" s="0" t="s">
        <v>135</v>
      </c>
      <c r="E492" s="0" t="s">
        <v>1319</v>
      </c>
      <c r="F492" s="0" t="s">
        <v>24</v>
      </c>
      <c r="G492" s="0" t="n">
        <f aca="false">HYPERLINK("http://clipc-services.ceda.ac.uk/dreq/u/59174aa8-9e49-11e5-803c-0d0b866b59f3.html","web")</f>
        <v>0</v>
      </c>
      <c r="H492" s="0" t="s">
        <v>1152</v>
      </c>
      <c r="I492" s="0" t="s">
        <v>26</v>
      </c>
      <c r="J492" s="0" t="s">
        <v>1320</v>
      </c>
      <c r="K492" s="0" t="s">
        <v>1037</v>
      </c>
    </row>
    <row r="493" customFormat="false" ht="15" hidden="false" customHeight="false" outlineLevel="0" collapsed="false">
      <c r="A493" s="0" t="s">
        <v>1028</v>
      </c>
      <c r="B493" s="0" t="s">
        <v>1321</v>
      </c>
      <c r="C493" s="0" t="s">
        <v>13</v>
      </c>
      <c r="D493" s="0" t="s">
        <v>135</v>
      </c>
      <c r="E493" s="0" t="s">
        <v>1322</v>
      </c>
      <c r="F493" s="0" t="s">
        <v>137</v>
      </c>
      <c r="G493" s="0" t="n">
        <f aca="false">HYPERLINK("http://clipc-services.ceda.ac.uk/dreq/u/5917a070-9e49-11e5-803c-0d0b866b59f3.html","web")</f>
        <v>0</v>
      </c>
      <c r="H493" s="0" t="s">
        <v>1035</v>
      </c>
      <c r="I493" s="0" t="s">
        <v>26</v>
      </c>
      <c r="J493" s="0" t="s">
        <v>1323</v>
      </c>
      <c r="K493" s="0" t="s">
        <v>1037</v>
      </c>
    </row>
    <row r="494" customFormat="false" ht="15" hidden="false" customHeight="false" outlineLevel="0" collapsed="false">
      <c r="A494" s="0" t="s">
        <v>1028</v>
      </c>
      <c r="B494" s="0" t="s">
        <v>1324</v>
      </c>
      <c r="C494" s="0" t="s">
        <v>13</v>
      </c>
      <c r="D494" s="0" t="s">
        <v>135</v>
      </c>
      <c r="E494" s="0" t="s">
        <v>1325</v>
      </c>
      <c r="F494" s="0" t="s">
        <v>137</v>
      </c>
      <c r="G494" s="0" t="n">
        <f aca="false">HYPERLINK("http://clipc-services.ceda.ac.uk/dreq/u/590ec93c-9e49-11e5-803c-0d0b866b59f3.html","web")</f>
        <v>0</v>
      </c>
      <c r="H494" s="0" t="s">
        <v>1122</v>
      </c>
      <c r="I494" s="0" t="s">
        <v>26</v>
      </c>
      <c r="J494" s="0" t="s">
        <v>1326</v>
      </c>
      <c r="K494" s="0" t="s">
        <v>1063</v>
      </c>
    </row>
    <row r="495" customFormat="false" ht="15" hidden="false" customHeight="false" outlineLevel="0" collapsed="false">
      <c r="A495" s="0" t="s">
        <v>1028</v>
      </c>
      <c r="B495" s="0" t="s">
        <v>1327</v>
      </c>
      <c r="C495" s="0" t="s">
        <v>13</v>
      </c>
      <c r="D495" s="0" t="s">
        <v>135</v>
      </c>
      <c r="E495" s="0" t="s">
        <v>1328</v>
      </c>
      <c r="F495" s="0" t="s">
        <v>137</v>
      </c>
      <c r="G495" s="0" t="n">
        <f aca="false">HYPERLINK("http://clipc-services.ceda.ac.uk/dreq/u/590f8fca-9e49-11e5-803c-0d0b866b59f3.html","web")</f>
        <v>0</v>
      </c>
      <c r="H495" s="0" t="s">
        <v>1122</v>
      </c>
      <c r="I495" s="0" t="s">
        <v>26</v>
      </c>
      <c r="J495" s="0" t="s">
        <v>1329</v>
      </c>
      <c r="K495" s="0" t="s">
        <v>1063</v>
      </c>
    </row>
    <row r="496" customFormat="false" ht="15" hidden="false" customHeight="false" outlineLevel="0" collapsed="false">
      <c r="A496" s="0" t="s">
        <v>1028</v>
      </c>
      <c r="B496" s="0" t="s">
        <v>1330</v>
      </c>
      <c r="C496" s="0" t="s">
        <v>13</v>
      </c>
      <c r="D496" s="0" t="s">
        <v>1331</v>
      </c>
      <c r="E496" s="0" t="s">
        <v>1332</v>
      </c>
      <c r="F496" s="0" t="s">
        <v>16</v>
      </c>
      <c r="G496" s="0" t="n">
        <f aca="false">HYPERLINK("http://clipc-services.ceda.ac.uk/dreq/u/59147ddc-9e49-11e5-803c-0d0b866b59f3.html","web")</f>
        <v>0</v>
      </c>
      <c r="H496" s="0" t="s">
        <v>1122</v>
      </c>
      <c r="I496" s="0" t="s">
        <v>26</v>
      </c>
      <c r="J496" s="0" t="s">
        <v>1333</v>
      </c>
      <c r="K496" s="0" t="s">
        <v>1334</v>
      </c>
    </row>
    <row r="497" customFormat="false" ht="15" hidden="false" customHeight="false" outlineLevel="0" collapsed="false">
      <c r="A497" s="0" t="s">
        <v>1028</v>
      </c>
      <c r="B497" s="0" t="s">
        <v>1335</v>
      </c>
      <c r="C497" s="0" t="s">
        <v>13</v>
      </c>
      <c r="D497" s="0" t="s">
        <v>135</v>
      </c>
      <c r="E497" s="0" t="s">
        <v>1336</v>
      </c>
      <c r="F497" s="0" t="s">
        <v>24</v>
      </c>
      <c r="G497" s="0" t="n">
        <f aca="false">HYPERLINK("http://clipc-services.ceda.ac.uk/dreq/u/5913c4dc-9e49-11e5-803c-0d0b866b59f3.html","web")</f>
        <v>0</v>
      </c>
      <c r="H497" s="0" t="s">
        <v>1337</v>
      </c>
      <c r="I497" s="0" t="s">
        <v>26</v>
      </c>
      <c r="J497" s="0" t="s">
        <v>1338</v>
      </c>
      <c r="K497" s="0" t="s">
        <v>1063</v>
      </c>
    </row>
    <row r="498" customFormat="false" ht="15" hidden="false" customHeight="false" outlineLevel="0" collapsed="false"/>
    <row r="499" customFormat="false" ht="15" hidden="false" customHeight="false" outlineLevel="0" collapsed="false">
      <c r="A499" s="0" t="s">
        <v>1339</v>
      </c>
      <c r="B499" s="0" t="s">
        <v>210</v>
      </c>
      <c r="C499" s="0" t="s">
        <v>31</v>
      </c>
      <c r="D499" s="0" t="s">
        <v>1340</v>
      </c>
      <c r="E499" s="0" t="s">
        <v>212</v>
      </c>
      <c r="F499" s="0" t="s">
        <v>24</v>
      </c>
      <c r="G499" s="0" t="n">
        <f aca="false">HYPERLINK("http://clipc-services.ceda.ac.uk/dreq/u/00e77372e8b909d9a827a0790e991fd9.html","web")</f>
        <v>0</v>
      </c>
      <c r="H499" s="0" t="s">
        <v>213</v>
      </c>
      <c r="I499" s="0" t="s">
        <v>26</v>
      </c>
      <c r="J499" s="0" t="s">
        <v>214</v>
      </c>
      <c r="K499" s="0" t="s">
        <v>215</v>
      </c>
    </row>
    <row r="500" customFormat="false" ht="15" hidden="false" customHeight="false" outlineLevel="0" collapsed="false"/>
    <row r="501" customFormat="false" ht="15" hidden="false" customHeight="false" outlineLevel="0" collapsed="false">
      <c r="A501" s="0" t="s">
        <v>1341</v>
      </c>
      <c r="B501" s="0" t="s">
        <v>1342</v>
      </c>
      <c r="C501" s="0" t="s">
        <v>31</v>
      </c>
      <c r="D501" s="0" t="s">
        <v>1343</v>
      </c>
      <c r="E501" s="0" t="s">
        <v>1344</v>
      </c>
      <c r="F501" s="0" t="s">
        <v>16</v>
      </c>
      <c r="G501" s="0" t="n">
        <f aca="false">HYPERLINK("http://clipc-services.ceda.ac.uk/dreq/u/59136b72-9e49-11e5-803c-0d0b866b59f3.html","web")</f>
        <v>0</v>
      </c>
      <c r="H501" s="0" t="s">
        <v>1345</v>
      </c>
      <c r="I501" s="0" t="s">
        <v>26</v>
      </c>
      <c r="J501" s="0" t="s">
        <v>1346</v>
      </c>
      <c r="K501" s="0" t="s">
        <v>1347</v>
      </c>
    </row>
    <row r="502" customFormat="false" ht="15" hidden="false" customHeight="false" outlineLevel="0" collapsed="false">
      <c r="A502" s="0" t="s">
        <v>1341</v>
      </c>
      <c r="B502" s="0" t="s">
        <v>1348</v>
      </c>
      <c r="C502" s="0" t="s">
        <v>13</v>
      </c>
      <c r="D502" s="0" t="s">
        <v>1349</v>
      </c>
      <c r="E502" s="0" t="s">
        <v>1350</v>
      </c>
      <c r="F502" s="0" t="s">
        <v>16</v>
      </c>
      <c r="G502" s="0" t="n">
        <f aca="false">HYPERLINK("http://clipc-services.ceda.ac.uk/dreq/u/2ca96cd5a4e83feb0d493bf9aa1a5b59.html","web")</f>
        <v>0</v>
      </c>
      <c r="H502" s="0" t="s">
        <v>1087</v>
      </c>
      <c r="I502" s="0" t="s">
        <v>26</v>
      </c>
      <c r="J502" s="0" t="s">
        <v>1351</v>
      </c>
      <c r="K502" s="0" t="s">
        <v>1352</v>
      </c>
    </row>
    <row r="503" customFormat="false" ht="15" hidden="false" customHeight="false" outlineLevel="0" collapsed="false">
      <c r="A503" s="0" t="s">
        <v>1341</v>
      </c>
      <c r="B503" s="0" t="s">
        <v>1353</v>
      </c>
      <c r="C503" s="0" t="s">
        <v>13</v>
      </c>
      <c r="D503" s="0" t="s">
        <v>1354</v>
      </c>
      <c r="E503" s="0" t="s">
        <v>1355</v>
      </c>
      <c r="F503" s="0" t="s">
        <v>16</v>
      </c>
      <c r="G503" s="0" t="n">
        <f aca="false">HYPERLINK("http://clipc-services.ceda.ac.uk/dreq/u/351c26a0f5a0cefa8f1183f2f12e1aa3.html","web")</f>
        <v>0</v>
      </c>
      <c r="H503" s="0" t="s">
        <v>1087</v>
      </c>
      <c r="I503" s="0" t="s">
        <v>26</v>
      </c>
      <c r="J503" s="0" t="s">
        <v>1356</v>
      </c>
      <c r="K503" s="0" t="s">
        <v>1352</v>
      </c>
    </row>
    <row r="504" customFormat="false" ht="15" hidden="false" customHeight="false" outlineLevel="0" collapsed="false">
      <c r="A504" s="0" t="s">
        <v>1341</v>
      </c>
      <c r="B504" s="0" t="s">
        <v>1357</v>
      </c>
      <c r="C504" s="0" t="s">
        <v>31</v>
      </c>
      <c r="D504" s="0" t="s">
        <v>135</v>
      </c>
      <c r="E504" s="0" t="s">
        <v>1358</v>
      </c>
      <c r="F504" s="0" t="s">
        <v>137</v>
      </c>
      <c r="G504" s="0" t="n">
        <f aca="false">HYPERLINK("http://clipc-services.ceda.ac.uk/dreq/u/15fea217c64dbec48b115765548b89ae.html","web")</f>
        <v>0</v>
      </c>
      <c r="H504" s="0" t="s">
        <v>1359</v>
      </c>
      <c r="I504" s="0" t="s">
        <v>26</v>
      </c>
      <c r="J504" s="0" t="s">
        <v>1360</v>
      </c>
      <c r="K504" s="0" t="s">
        <v>1361</v>
      </c>
    </row>
    <row r="505" customFormat="false" ht="15" hidden="false" customHeight="false" outlineLevel="0" collapsed="false">
      <c r="A505" s="0" t="s">
        <v>1341</v>
      </c>
      <c r="B505" s="0" t="s">
        <v>1362</v>
      </c>
      <c r="C505" s="0" t="s">
        <v>13</v>
      </c>
      <c r="D505" s="0" t="s">
        <v>135</v>
      </c>
      <c r="E505" s="0" t="s">
        <v>1363</v>
      </c>
      <c r="F505" s="0" t="s">
        <v>137</v>
      </c>
      <c r="G505" s="0" t="n">
        <f aca="false">HYPERLINK("http://clipc-services.ceda.ac.uk/dreq/u/df06d844bd95ddd2f0f62f54941c4b88.html","web")</f>
        <v>0</v>
      </c>
      <c r="H505" s="0" t="s">
        <v>1087</v>
      </c>
      <c r="I505" s="0" t="s">
        <v>26</v>
      </c>
      <c r="J505" s="0" t="s">
        <v>1364</v>
      </c>
      <c r="K505" s="0" t="s">
        <v>1365</v>
      </c>
    </row>
    <row r="506" customFormat="false" ht="15" hidden="false" customHeight="false" outlineLevel="0" collapsed="false">
      <c r="A506" s="0" t="s">
        <v>1341</v>
      </c>
      <c r="B506" s="0" t="s">
        <v>1366</v>
      </c>
      <c r="C506" s="0" t="s">
        <v>13</v>
      </c>
      <c r="D506" s="0" t="s">
        <v>135</v>
      </c>
      <c r="E506" s="0" t="s">
        <v>1367</v>
      </c>
      <c r="F506" s="0" t="s">
        <v>137</v>
      </c>
      <c r="G506" s="0" t="n">
        <f aca="false">HYPERLINK("http://clipc-services.ceda.ac.uk/dreq/u/091b217c2450d012fb2e192dee04053f.html","web")</f>
        <v>0</v>
      </c>
      <c r="H506" s="0" t="s">
        <v>1087</v>
      </c>
      <c r="I506" s="0" t="s">
        <v>26</v>
      </c>
      <c r="J506" s="0" t="s">
        <v>1368</v>
      </c>
      <c r="K506" s="0" t="s">
        <v>1365</v>
      </c>
    </row>
    <row r="507" customFormat="false" ht="15" hidden="false" customHeight="false" outlineLevel="0" collapsed="false">
      <c r="A507" s="0" t="s">
        <v>1341</v>
      </c>
      <c r="B507" s="0" t="s">
        <v>1369</v>
      </c>
      <c r="C507" s="0" t="s">
        <v>13</v>
      </c>
      <c r="D507" s="0" t="s">
        <v>135</v>
      </c>
      <c r="E507" s="0" t="s">
        <v>1370</v>
      </c>
      <c r="F507" s="0" t="s">
        <v>137</v>
      </c>
      <c r="G507" s="0" t="n">
        <f aca="false">HYPERLINK("http://clipc-services.ceda.ac.uk/dreq/u/fb5bd0286cdca991d0f67c498513f602.html","web")</f>
        <v>0</v>
      </c>
      <c r="H507" s="0" t="s">
        <v>1087</v>
      </c>
      <c r="I507" s="0" t="s">
        <v>26</v>
      </c>
      <c r="J507" s="0" t="s">
        <v>1371</v>
      </c>
      <c r="K507" s="0" t="s">
        <v>1072</v>
      </c>
    </row>
    <row r="508" customFormat="false" ht="15" hidden="false" customHeight="false" outlineLevel="0" collapsed="false">
      <c r="A508" s="0" t="s">
        <v>1341</v>
      </c>
      <c r="B508" s="0" t="s">
        <v>1372</v>
      </c>
      <c r="C508" s="0" t="s">
        <v>13</v>
      </c>
      <c r="D508" s="0" t="s">
        <v>1373</v>
      </c>
      <c r="E508" s="0" t="s">
        <v>1374</v>
      </c>
      <c r="F508" s="0" t="s">
        <v>16</v>
      </c>
      <c r="G508" s="0" t="n">
        <f aca="false">HYPERLINK("http://clipc-services.ceda.ac.uk/dreq/u/374e24b1cf7c24eb75126ea6e39ac478.html","web")</f>
        <v>0</v>
      </c>
      <c r="H508" s="0" t="s">
        <v>1087</v>
      </c>
      <c r="I508" s="0" t="s">
        <v>26</v>
      </c>
      <c r="J508" s="0" t="s">
        <v>1375</v>
      </c>
      <c r="K508" s="0" t="s">
        <v>1072</v>
      </c>
    </row>
    <row r="509" customFormat="false" ht="15" hidden="false" customHeight="false" outlineLevel="0" collapsed="false">
      <c r="A509" s="0" t="s">
        <v>1341</v>
      </c>
      <c r="B509" s="0" t="s">
        <v>1376</v>
      </c>
      <c r="C509" s="0" t="s">
        <v>13</v>
      </c>
      <c r="D509" s="0" t="s">
        <v>1377</v>
      </c>
      <c r="E509" s="0" t="s">
        <v>1378</v>
      </c>
      <c r="F509" s="0" t="s">
        <v>16</v>
      </c>
      <c r="G509" s="0" t="n">
        <f aca="false">HYPERLINK("http://clipc-services.ceda.ac.uk/dreq/u/1e93ae651487e683206b923c11fd6db1.html","web")</f>
        <v>0</v>
      </c>
      <c r="H509" s="0" t="s">
        <v>1087</v>
      </c>
      <c r="I509" s="0" t="s">
        <v>26</v>
      </c>
      <c r="J509" s="0" t="s">
        <v>1379</v>
      </c>
      <c r="K509" s="0" t="s">
        <v>1072</v>
      </c>
    </row>
    <row r="510" customFormat="false" ht="15" hidden="false" customHeight="false" outlineLevel="0" collapsed="false">
      <c r="A510" s="0" t="s">
        <v>1341</v>
      </c>
      <c r="B510" s="0" t="s">
        <v>1380</v>
      </c>
      <c r="C510" s="0" t="s">
        <v>13</v>
      </c>
      <c r="D510" s="0" t="s">
        <v>1381</v>
      </c>
      <c r="E510" s="0" t="s">
        <v>1382</v>
      </c>
      <c r="F510" s="0" t="s">
        <v>16</v>
      </c>
      <c r="G510" s="0" t="n">
        <f aca="false">HYPERLINK("http://clipc-services.ceda.ac.uk/dreq/u/e9289080901a39eba6ade178d596795a.html","web")</f>
        <v>0</v>
      </c>
      <c r="H510" s="0" t="s">
        <v>1087</v>
      </c>
      <c r="I510" s="0" t="s">
        <v>26</v>
      </c>
      <c r="J510" s="0" t="s">
        <v>1383</v>
      </c>
      <c r="K510" s="0" t="s">
        <v>1072</v>
      </c>
    </row>
    <row r="511" customFormat="false" ht="15" hidden="false" customHeight="false" outlineLevel="0" collapsed="false">
      <c r="A511" s="0" t="s">
        <v>1341</v>
      </c>
      <c r="B511" s="0" t="s">
        <v>1384</v>
      </c>
      <c r="C511" s="0" t="s">
        <v>13</v>
      </c>
      <c r="D511" s="0" t="s">
        <v>1385</v>
      </c>
      <c r="E511" s="0" t="s">
        <v>1386</v>
      </c>
      <c r="F511" s="0" t="s">
        <v>16</v>
      </c>
      <c r="G511" s="0" t="n">
        <f aca="false">HYPERLINK("http://clipc-services.ceda.ac.uk/dreq/u/b28e47214f0b71847c966828df0837ff.html","web")</f>
        <v>0</v>
      </c>
      <c r="H511" s="0" t="s">
        <v>1087</v>
      </c>
      <c r="I511" s="0" t="s">
        <v>26</v>
      </c>
      <c r="J511" s="0" t="s">
        <v>1387</v>
      </c>
      <c r="K511" s="0" t="s">
        <v>1072</v>
      </c>
    </row>
    <row r="520" customFormat="false" ht="13.8" hidden="false" customHeight="false" outlineLevel="0" collapsed="false">
      <c r="A520" s="0" t="s">
        <v>1388</v>
      </c>
      <c r="B520" s="0" t="s">
        <v>1389</v>
      </c>
      <c r="C520" s="0" t="s">
        <v>31</v>
      </c>
      <c r="D520" s="0" t="s">
        <v>22</v>
      </c>
      <c r="E520" s="0" t="s">
        <v>1390</v>
      </c>
      <c r="F520" s="0" t="s">
        <v>1391</v>
      </c>
      <c r="G520" s="0" t="n">
        <v>0</v>
      </c>
      <c r="H520" s="2" t="s">
        <v>1392</v>
      </c>
      <c r="I520" s="3" t="s">
        <v>309</v>
      </c>
      <c r="J520" s="0" t="s">
        <v>1393</v>
      </c>
      <c r="K520" s="0" t="s">
        <v>215</v>
      </c>
    </row>
    <row r="522" customFormat="false" ht="13.8" hidden="false" customHeight="false" outlineLevel="0" collapsed="false">
      <c r="A522" s="0" t="s">
        <v>1339</v>
      </c>
      <c r="B522" s="0" t="s">
        <v>1394</v>
      </c>
      <c r="C522" s="0" t="s">
        <v>31</v>
      </c>
      <c r="D522" s="0" t="s">
        <v>1340</v>
      </c>
      <c r="E522" s="0" t="s">
        <v>1395</v>
      </c>
      <c r="F522" s="0" t="s">
        <v>137</v>
      </c>
      <c r="G522" s="0" t="n">
        <v>0</v>
      </c>
      <c r="H522" s="2" t="s">
        <v>1392</v>
      </c>
      <c r="I522" s="3" t="s">
        <v>309</v>
      </c>
      <c r="J522" s="0" t="s">
        <v>1396</v>
      </c>
      <c r="K522" s="0" t="s">
        <v>215</v>
      </c>
    </row>
    <row r="525" customFormat="false" ht="13.8" hidden="false" customHeight="false" outlineLevel="0" collapsed="false">
      <c r="A525" s="0" t="s">
        <v>1397</v>
      </c>
      <c r="B525" s="0" t="s">
        <v>1398</v>
      </c>
      <c r="C525" s="0" t="s">
        <v>31</v>
      </c>
      <c r="D525" s="0" t="s">
        <v>1340</v>
      </c>
      <c r="E525" s="0" t="s">
        <v>1399</v>
      </c>
      <c r="F525" s="0" t="s">
        <v>1391</v>
      </c>
      <c r="G525" s="0" t="str">
        <f aca="false">HYPERLINK("http://clipc-services.ceda.ac.uk/dreq/u/865d0e00-53e6-11e6-b524-5404a60d96b5.html","web")</f>
        <v>web</v>
      </c>
      <c r="H525" s="2" t="s">
        <v>1392</v>
      </c>
      <c r="I525" s="3" t="s">
        <v>309</v>
      </c>
      <c r="J525" s="0" t="s">
        <v>1400</v>
      </c>
      <c r="K525" s="0" t="s">
        <v>215</v>
      </c>
    </row>
    <row r="526" customFormat="false" ht="13.8" hidden="false" customHeight="false" outlineLevel="0" collapsed="false">
      <c r="A526" s="0" t="s">
        <v>1397</v>
      </c>
      <c r="B526" s="0" t="s">
        <v>1401</v>
      </c>
      <c r="C526" s="0" t="s">
        <v>31</v>
      </c>
      <c r="D526" s="0" t="s">
        <v>1402</v>
      </c>
      <c r="E526" s="0" t="s">
        <v>1403</v>
      </c>
      <c r="F526" s="0" t="s">
        <v>16</v>
      </c>
      <c r="G526" s="0" t="str">
        <f aca="false">HYPERLINK("http://clipc-services.ceda.ac.uk/dreq/u/a1d2e309c6f25017442ad6c79c4f9eca.html","web")</f>
        <v>web</v>
      </c>
      <c r="H526" s="2" t="s">
        <v>1392</v>
      </c>
      <c r="I526" s="3" t="s">
        <v>309</v>
      </c>
      <c r="J526" s="0" t="s">
        <v>1404</v>
      </c>
      <c r="K526" s="0" t="s">
        <v>215</v>
      </c>
    </row>
    <row r="527" customFormat="false" ht="13.8" hidden="false" customHeight="false" outlineLevel="0" collapsed="false">
      <c r="A527" s="0" t="s">
        <v>1397</v>
      </c>
      <c r="B527" s="0" t="s">
        <v>1405</v>
      </c>
      <c r="C527" s="0" t="s">
        <v>31</v>
      </c>
      <c r="D527" s="0" t="s">
        <v>1406</v>
      </c>
      <c r="E527" s="0" t="s">
        <v>1407</v>
      </c>
      <c r="F527" s="0" t="s">
        <v>16</v>
      </c>
      <c r="G527" s="0" t="str">
        <f aca="false">HYPERLINK("http://clipc-services.ceda.ac.uk/dreq/u/590e5de4-9e49-11e5-803c-0d0b866b59f3.html","web")</f>
        <v>web</v>
      </c>
      <c r="H527" s="2" t="s">
        <v>1392</v>
      </c>
      <c r="I527" s="3" t="s">
        <v>309</v>
      </c>
      <c r="J527" s="0" t="s">
        <v>1408</v>
      </c>
      <c r="K527" s="0" t="s">
        <v>215</v>
      </c>
    </row>
    <row r="530" customFormat="false" ht="13.8" hidden="false" customHeight="false" outlineLevel="0" collapsed="false">
      <c r="A530" s="0" t="s">
        <v>11</v>
      </c>
      <c r="B530" s="0" t="s">
        <v>333</v>
      </c>
      <c r="C530" s="0" t="s">
        <v>31</v>
      </c>
      <c r="D530" s="0" t="s">
        <v>1409</v>
      </c>
      <c r="E530" s="0" t="s">
        <v>334</v>
      </c>
      <c r="F530" s="0" t="s">
        <v>327</v>
      </c>
      <c r="G530" s="0" t="n">
        <v>0</v>
      </c>
      <c r="H530" s="3" t="s">
        <v>1410</v>
      </c>
      <c r="I530" s="3" t="s">
        <v>36</v>
      </c>
      <c r="J530" s="0" t="s">
        <v>335</v>
      </c>
      <c r="K530" s="0" t="s">
        <v>851</v>
      </c>
    </row>
    <row r="531" customFormat="false" ht="13.8" hidden="false" customHeight="false" outlineLevel="0" collapsed="false">
      <c r="A531" s="0" t="s">
        <v>11</v>
      </c>
      <c r="B531" s="0" t="s">
        <v>346</v>
      </c>
      <c r="C531" s="0" t="s">
        <v>31</v>
      </c>
      <c r="D531" s="0" t="s">
        <v>1409</v>
      </c>
      <c r="E531" s="0" t="s">
        <v>347</v>
      </c>
      <c r="F531" s="0" t="s">
        <v>327</v>
      </c>
      <c r="G531" s="0" t="n">
        <v>0</v>
      </c>
      <c r="H531" s="3" t="s">
        <v>1410</v>
      </c>
      <c r="I531" s="3" t="s">
        <v>36</v>
      </c>
      <c r="J531" s="0" t="s">
        <v>348</v>
      </c>
      <c r="K531" s="0" t="s">
        <v>851</v>
      </c>
    </row>
    <row r="532" customFormat="false" ht="13.8" hidden="false" customHeight="false" outlineLevel="0" collapsed="false">
      <c r="A532" s="0" t="s">
        <v>11</v>
      </c>
      <c r="B532" s="0" t="s">
        <v>325</v>
      </c>
      <c r="C532" s="0" t="s">
        <v>31</v>
      </c>
      <c r="D532" s="0" t="s">
        <v>1409</v>
      </c>
      <c r="E532" s="0" t="s">
        <v>326</v>
      </c>
      <c r="F532" s="0" t="s">
        <v>327</v>
      </c>
      <c r="G532" s="0" t="n">
        <v>0</v>
      </c>
      <c r="H532" s="3" t="s">
        <v>1410</v>
      </c>
      <c r="I532" s="3" t="s">
        <v>36</v>
      </c>
      <c r="J532" s="0" t="s">
        <v>329</v>
      </c>
      <c r="K532" s="0" t="s">
        <v>851</v>
      </c>
    </row>
    <row r="533" customFormat="false" ht="13.8" hidden="false" customHeight="false" outlineLevel="0" collapsed="false">
      <c r="A533" s="0" t="s">
        <v>11</v>
      </c>
      <c r="B533" s="0" t="s">
        <v>339</v>
      </c>
      <c r="C533" s="0" t="s">
        <v>31</v>
      </c>
      <c r="D533" s="0" t="s">
        <v>1409</v>
      </c>
      <c r="E533" s="0" t="s">
        <v>340</v>
      </c>
      <c r="F533" s="0" t="s">
        <v>327</v>
      </c>
      <c r="G533" s="0" t="n">
        <v>0</v>
      </c>
      <c r="H533" s="3" t="s">
        <v>1410</v>
      </c>
      <c r="I533" s="3" t="s">
        <v>36</v>
      </c>
      <c r="J533" s="0" t="s">
        <v>341</v>
      </c>
      <c r="K533" s="0" t="s">
        <v>851</v>
      </c>
    </row>
    <row r="536" customFormat="false" ht="13.8" hidden="false" customHeight="false" outlineLevel="0" collapsed="false">
      <c r="A536" s="0" t="s">
        <v>958</v>
      </c>
      <c r="B536" s="0" t="s">
        <v>1411</v>
      </c>
      <c r="C536" s="0" t="s">
        <v>31</v>
      </c>
      <c r="D536" s="0" t="s">
        <v>885</v>
      </c>
      <c r="E536" s="0" t="s">
        <v>1412</v>
      </c>
      <c r="F536" s="0" t="s">
        <v>327</v>
      </c>
      <c r="G536" s="0" t="str">
        <f aca="false">HYPERLINK("http://clipc-services.ceda.ac.uk/dreq/u/5914e34e-9e49-11e5-803c-0d0b866b59f3.html","web")</f>
        <v>web</v>
      </c>
      <c r="H536" s="4" t="s">
        <v>1413</v>
      </c>
      <c r="I536" s="4" t="s">
        <v>745</v>
      </c>
      <c r="J536" s="0" t="s">
        <v>1414</v>
      </c>
      <c r="K536" s="0" t="s">
        <v>1415</v>
      </c>
    </row>
    <row r="537" customFormat="false" ht="13.8" hidden="false" customHeight="false" outlineLevel="0" collapsed="false">
      <c r="A537" s="0" t="s">
        <v>958</v>
      </c>
      <c r="B537" s="0" t="s">
        <v>1416</v>
      </c>
      <c r="C537" s="0" t="s">
        <v>31</v>
      </c>
      <c r="D537" s="0" t="s">
        <v>885</v>
      </c>
      <c r="E537" s="0" t="s">
        <v>1417</v>
      </c>
      <c r="F537" s="0" t="s">
        <v>327</v>
      </c>
      <c r="G537" s="0" t="str">
        <f aca="false">HYPERLINK("http://clipc-services.ceda.ac.uk/dreq/u/590f1586-9e49-11e5-803c-0d0b866b59f3.html","web")</f>
        <v>web</v>
      </c>
      <c r="H537" s="4" t="s">
        <v>1413</v>
      </c>
      <c r="I537" s="4" t="s">
        <v>745</v>
      </c>
      <c r="J537" s="0" t="s">
        <v>1418</v>
      </c>
      <c r="K537" s="0" t="s">
        <v>1415</v>
      </c>
    </row>
    <row r="539" customFormat="false" ht="13.8" hidden="false" customHeight="false" outlineLevel="0" collapsed="false">
      <c r="A539" s="0" t="s">
        <v>964</v>
      </c>
      <c r="B539" s="0" t="s">
        <v>1419</v>
      </c>
      <c r="C539" s="0" t="s">
        <v>31</v>
      </c>
      <c r="D539" s="0" t="s">
        <v>812</v>
      </c>
      <c r="E539" s="0" t="s">
        <v>1420</v>
      </c>
      <c r="F539" s="0" t="s">
        <v>752</v>
      </c>
      <c r="G539" s="0" t="str">
        <f aca="false">HYPERLINK("http://clipc-services.ceda.ac.uk/dreq/u/5914c6e8-9e49-11e5-803c-0d0b866b59f3.html","web")</f>
        <v>web</v>
      </c>
      <c r="H539" s="4" t="s">
        <v>1413</v>
      </c>
      <c r="I539" s="4" t="s">
        <v>745</v>
      </c>
      <c r="J539" s="0" t="s">
        <v>1421</v>
      </c>
      <c r="K539" s="0" t="s">
        <v>1415</v>
      </c>
    </row>
    <row r="541" s="3" customFormat="true" ht="13.8" hidden="false" customHeight="false" outlineLevel="0" collapsed="false">
      <c r="A541" s="3" t="s">
        <v>1028</v>
      </c>
      <c r="B541" s="3" t="s">
        <v>1422</v>
      </c>
      <c r="C541" s="3" t="s">
        <v>31</v>
      </c>
      <c r="D541" s="3" t="s">
        <v>1423</v>
      </c>
      <c r="E541" s="3" t="s">
        <v>1424</v>
      </c>
      <c r="F541" s="3" t="s">
        <v>1425</v>
      </c>
      <c r="G541" s="3" t="str">
        <f aca="false">HYPERLINK("http://clipc-services.ceda.ac.uk/dreq/u/be9cffbb781e32b0bc311b22fa5c0322.html","web")</f>
        <v>web</v>
      </c>
      <c r="H541" s="3" t="s">
        <v>1426</v>
      </c>
      <c r="I541" s="4" t="s">
        <v>745</v>
      </c>
      <c r="J541" s="3" t="s">
        <v>1427</v>
      </c>
      <c r="K541" s="3" t="s">
        <v>1108</v>
      </c>
    </row>
    <row r="543" customFormat="false" ht="13.8" hidden="false" customHeight="false" outlineLevel="0" collapsed="false">
      <c r="A543" s="0" t="s">
        <v>1428</v>
      </c>
      <c r="B543" s="0" t="s">
        <v>1429</v>
      </c>
      <c r="C543" s="0" t="s">
        <v>31</v>
      </c>
      <c r="D543" s="0" t="s">
        <v>1430</v>
      </c>
      <c r="E543" s="0" t="s">
        <v>1431</v>
      </c>
      <c r="F543" s="0" t="s">
        <v>370</v>
      </c>
      <c r="G543" s="0" t="str">
        <f aca="false">HYPERLINK("http://clipc-services.ceda.ac.uk/dreq/u/590d64f2-9e49-11e5-803c-0d0b866b59f3.html","web")</f>
        <v>web</v>
      </c>
      <c r="H543" s="4" t="s">
        <v>1413</v>
      </c>
      <c r="I543" s="4" t="s">
        <v>745</v>
      </c>
      <c r="J543" s="0" t="s">
        <v>1432</v>
      </c>
      <c r="K543" s="0" t="s">
        <v>1415</v>
      </c>
    </row>
    <row r="544" customFormat="false" ht="13.8" hidden="false" customHeight="false" outlineLevel="0" collapsed="false">
      <c r="A544" s="0" t="s">
        <v>1428</v>
      </c>
      <c r="B544" s="0" t="s">
        <v>1433</v>
      </c>
      <c r="C544" s="0" t="s">
        <v>31</v>
      </c>
      <c r="D544" s="0" t="s">
        <v>1430</v>
      </c>
      <c r="E544" s="0" t="s">
        <v>1434</v>
      </c>
      <c r="F544" s="0" t="s">
        <v>370</v>
      </c>
      <c r="G544" s="0" t="str">
        <f aca="false">HYPERLINK("http://clipc-services.ceda.ac.uk/dreq/u/5913d0c6-9e49-11e5-803c-0d0b866b59f3.html","web")</f>
        <v>web</v>
      </c>
      <c r="H544" s="4" t="s">
        <v>1413</v>
      </c>
      <c r="I544" s="4" t="s">
        <v>745</v>
      </c>
      <c r="J544" s="0" t="s">
        <v>1435</v>
      </c>
      <c r="K544" s="0" t="s">
        <v>1415</v>
      </c>
    </row>
    <row r="547" customFormat="false" ht="13.8" hidden="false" customHeight="false" outlineLevel="0" collapsed="false">
      <c r="A547" s="0" t="s">
        <v>964</v>
      </c>
      <c r="B547" s="0" t="s">
        <v>1436</v>
      </c>
      <c r="C547" s="0" t="s">
        <v>31</v>
      </c>
      <c r="D547" s="0" t="s">
        <v>135</v>
      </c>
      <c r="E547" s="0" t="s">
        <v>1437</v>
      </c>
      <c r="F547" s="0" t="s">
        <v>327</v>
      </c>
      <c r="G547" s="0" t="n">
        <v>0</v>
      </c>
      <c r="H547" s="3" t="s">
        <v>1438</v>
      </c>
      <c r="I547" s="3" t="s">
        <v>1439</v>
      </c>
      <c r="J547" s="0" t="s">
        <v>1440</v>
      </c>
      <c r="K547" s="0" t="s">
        <v>1027</v>
      </c>
    </row>
    <row r="548" customFormat="false" ht="13.8" hidden="false" customHeight="false" outlineLevel="0" collapsed="false">
      <c r="A548" s="0" t="s">
        <v>964</v>
      </c>
      <c r="B548" s="0" t="s">
        <v>1441</v>
      </c>
      <c r="C548" s="0" t="s">
        <v>31</v>
      </c>
      <c r="D548" s="0" t="s">
        <v>135</v>
      </c>
      <c r="E548" s="0" t="s">
        <v>1442</v>
      </c>
      <c r="F548" s="0" t="s">
        <v>327</v>
      </c>
      <c r="G548" s="0" t="n">
        <v>0</v>
      </c>
      <c r="H548" s="3" t="s">
        <v>1443</v>
      </c>
      <c r="I548" s="3" t="s">
        <v>1190</v>
      </c>
      <c r="J548" s="0" t="s">
        <v>1444</v>
      </c>
      <c r="K548" s="0" t="s">
        <v>1027</v>
      </c>
    </row>
    <row r="549" customFormat="false" ht="13.8" hidden="false" customHeight="false" outlineLevel="0" collapsed="false">
      <c r="A549" s="0" t="s">
        <v>964</v>
      </c>
      <c r="B549" s="0" t="s">
        <v>1445</v>
      </c>
      <c r="C549" s="0" t="s">
        <v>31</v>
      </c>
      <c r="D549" s="0" t="s">
        <v>135</v>
      </c>
      <c r="E549" s="0" t="s">
        <v>1446</v>
      </c>
      <c r="F549" s="0" t="s">
        <v>137</v>
      </c>
      <c r="G549" s="0" t="n">
        <v>0</v>
      </c>
      <c r="H549" s="3" t="s">
        <v>1447</v>
      </c>
      <c r="I549" s="3" t="s">
        <v>1190</v>
      </c>
      <c r="J549" s="0" t="s">
        <v>1448</v>
      </c>
      <c r="K549" s="0" t="s">
        <v>1027</v>
      </c>
    </row>
    <row r="550" customFormat="false" ht="13.8" hidden="false" customHeight="false" outlineLevel="0" collapsed="false">
      <c r="A550" s="0" t="s">
        <v>964</v>
      </c>
      <c r="B550" s="0" t="s">
        <v>1449</v>
      </c>
      <c r="C550" s="0" t="s">
        <v>31</v>
      </c>
      <c r="D550" s="0" t="s">
        <v>135</v>
      </c>
      <c r="E550" s="0" t="s">
        <v>1450</v>
      </c>
      <c r="F550" s="0" t="s">
        <v>137</v>
      </c>
      <c r="G550" s="0" t="n">
        <v>0</v>
      </c>
      <c r="H550" s="3" t="s">
        <v>1447</v>
      </c>
      <c r="I550" s="3" t="s">
        <v>1190</v>
      </c>
      <c r="J550" s="0" t="s">
        <v>1451</v>
      </c>
      <c r="K550" s="0" t="s">
        <v>1027</v>
      </c>
    </row>
    <row r="551" customFormat="false" ht="13.8" hidden="false" customHeight="false" outlineLevel="0" collapsed="false">
      <c r="A551" s="0" t="s">
        <v>964</v>
      </c>
      <c r="B551" s="0" t="s">
        <v>1452</v>
      </c>
      <c r="C551" s="0" t="s">
        <v>31</v>
      </c>
      <c r="D551" s="0" t="s">
        <v>135</v>
      </c>
      <c r="E551" s="0" t="s">
        <v>1453</v>
      </c>
      <c r="F551" s="0" t="s">
        <v>137</v>
      </c>
      <c r="G551" s="0" t="n">
        <v>0</v>
      </c>
      <c r="H551" s="3" t="s">
        <v>1447</v>
      </c>
      <c r="I551" s="3" t="s">
        <v>1190</v>
      </c>
      <c r="J551" s="0" t="s">
        <v>1454</v>
      </c>
      <c r="K551" s="0" t="s">
        <v>1027</v>
      </c>
    </row>
    <row r="552" customFormat="false" ht="13.8" hidden="false" customHeight="false" outlineLevel="0" collapsed="false">
      <c r="A552" s="0" t="s">
        <v>964</v>
      </c>
      <c r="B552" s="0" t="s">
        <v>1455</v>
      </c>
      <c r="C552" s="0" t="s">
        <v>31</v>
      </c>
      <c r="D552" s="0" t="s">
        <v>135</v>
      </c>
      <c r="E552" s="0" t="s">
        <v>1456</v>
      </c>
      <c r="F552" s="0" t="s">
        <v>137</v>
      </c>
      <c r="G552" s="0" t="n">
        <v>0</v>
      </c>
      <c r="H552" s="3" t="s">
        <v>1457</v>
      </c>
      <c r="I552" s="3" t="s">
        <v>1190</v>
      </c>
      <c r="J552" s="0" t="s">
        <v>1458</v>
      </c>
      <c r="K552" s="0" t="s">
        <v>1027</v>
      </c>
    </row>
    <row r="553" customFormat="false" ht="13.8" hidden="false" customHeight="false" outlineLevel="0" collapsed="false">
      <c r="A553" s="0" t="s">
        <v>964</v>
      </c>
      <c r="B553" s="0" t="s">
        <v>1459</v>
      </c>
      <c r="C553" s="0" t="s">
        <v>31</v>
      </c>
      <c r="D553" s="0" t="s">
        <v>135</v>
      </c>
      <c r="E553" s="0" t="s">
        <v>1460</v>
      </c>
      <c r="F553" s="0" t="s">
        <v>1461</v>
      </c>
      <c r="G553" s="0" t="n">
        <v>0</v>
      </c>
      <c r="H553" s="3" t="s">
        <v>1457</v>
      </c>
      <c r="I553" s="3" t="s">
        <v>1190</v>
      </c>
      <c r="J553" s="0" t="s">
        <v>1462</v>
      </c>
      <c r="K553" s="0" t="s">
        <v>1027</v>
      </c>
    </row>
    <row r="554" customFormat="false" ht="13.8" hidden="false" customHeight="false" outlineLevel="0" collapsed="false">
      <c r="A554" s="0" t="s">
        <v>964</v>
      </c>
      <c r="B554" s="0" t="s">
        <v>1463</v>
      </c>
      <c r="C554" s="0" t="s">
        <v>31</v>
      </c>
      <c r="D554" s="0" t="s">
        <v>135</v>
      </c>
      <c r="E554" s="0" t="s">
        <v>1464</v>
      </c>
      <c r="F554" s="0" t="s">
        <v>1461</v>
      </c>
      <c r="G554" s="0" t="n">
        <v>0</v>
      </c>
      <c r="H554" s="3" t="s">
        <v>1457</v>
      </c>
      <c r="I554" s="3" t="s">
        <v>1190</v>
      </c>
      <c r="J554" s="0" t="s">
        <v>1465</v>
      </c>
      <c r="K554" s="0" t="s">
        <v>1027</v>
      </c>
    </row>
    <row r="555" customFormat="false" ht="13.8" hidden="false" customHeight="false" outlineLevel="0" collapsed="false">
      <c r="A555" s="0" t="s">
        <v>964</v>
      </c>
      <c r="B555" s="0" t="s">
        <v>1466</v>
      </c>
      <c r="C555" s="0" t="s">
        <v>31</v>
      </c>
      <c r="D555" s="0" t="s">
        <v>135</v>
      </c>
      <c r="E555" s="0" t="s">
        <v>1467</v>
      </c>
      <c r="F555" s="0" t="s">
        <v>967</v>
      </c>
      <c r="G555" s="0" t="n">
        <v>0</v>
      </c>
      <c r="H555" s="3" t="s">
        <v>1457</v>
      </c>
      <c r="I555" s="3" t="s">
        <v>1190</v>
      </c>
      <c r="J555" s="0" t="s">
        <v>1468</v>
      </c>
      <c r="K555" s="0" t="s">
        <v>1027</v>
      </c>
    </row>
    <row r="556" customFormat="false" ht="13.8" hidden="false" customHeight="false" outlineLevel="0" collapsed="false">
      <c r="A556" s="0" t="s">
        <v>964</v>
      </c>
      <c r="B556" s="0" t="s">
        <v>1469</v>
      </c>
      <c r="C556" s="0" t="s">
        <v>31</v>
      </c>
      <c r="D556" s="0" t="s">
        <v>135</v>
      </c>
      <c r="E556" s="0" t="s">
        <v>1470</v>
      </c>
      <c r="F556" s="0" t="s">
        <v>967</v>
      </c>
      <c r="G556" s="0" t="n">
        <v>0</v>
      </c>
      <c r="H556" s="3" t="s">
        <v>1457</v>
      </c>
      <c r="I556" s="3" t="s">
        <v>1190</v>
      </c>
      <c r="J556" s="0" t="s">
        <v>1471</v>
      </c>
      <c r="K556" s="0" t="s">
        <v>1027</v>
      </c>
    </row>
    <row r="557" customFormat="false" ht="13.8" hidden="false" customHeight="false" outlineLevel="0" collapsed="false">
      <c r="A557" s="0" t="s">
        <v>964</v>
      </c>
      <c r="B557" s="0" t="s">
        <v>1472</v>
      </c>
      <c r="C557" s="0" t="s">
        <v>31</v>
      </c>
      <c r="D557" s="0" t="s">
        <v>135</v>
      </c>
      <c r="E557" s="0" t="s">
        <v>1473</v>
      </c>
      <c r="F557" s="0" t="s">
        <v>967</v>
      </c>
      <c r="G557" s="0" t="n">
        <v>0</v>
      </c>
      <c r="H557" s="3" t="s">
        <v>1474</v>
      </c>
      <c r="I557" s="3" t="s">
        <v>1190</v>
      </c>
      <c r="J557" s="0" t="s">
        <v>1475</v>
      </c>
      <c r="K557" s="0" t="s">
        <v>1027</v>
      </c>
    </row>
    <row r="558" customFormat="false" ht="13.8" hidden="false" customHeight="false" outlineLevel="0" collapsed="false">
      <c r="A558" s="0" t="s">
        <v>964</v>
      </c>
      <c r="B558" s="0" t="s">
        <v>1476</v>
      </c>
      <c r="C558" s="0" t="s">
        <v>31</v>
      </c>
      <c r="D558" s="0" t="s">
        <v>135</v>
      </c>
      <c r="E558" s="0" t="s">
        <v>1477</v>
      </c>
      <c r="F558" s="0" t="s">
        <v>967</v>
      </c>
      <c r="G558" s="0" t="n">
        <v>0</v>
      </c>
      <c r="H558" s="3" t="s">
        <v>1478</v>
      </c>
      <c r="I558" s="3" t="s">
        <v>1190</v>
      </c>
      <c r="J558" s="0" t="s">
        <v>1479</v>
      </c>
      <c r="K558" s="0" t="s">
        <v>1027</v>
      </c>
    </row>
    <row r="559" customFormat="false" ht="13.8" hidden="false" customHeight="false" outlineLevel="0" collapsed="false">
      <c r="A559" s="0" t="s">
        <v>964</v>
      </c>
      <c r="B559" s="0" t="s">
        <v>1335</v>
      </c>
      <c r="C559" s="0" t="s">
        <v>31</v>
      </c>
      <c r="D559" s="0" t="s">
        <v>135</v>
      </c>
      <c r="E559" s="0" t="s">
        <v>1480</v>
      </c>
      <c r="F559" s="0" t="s">
        <v>24</v>
      </c>
      <c r="G559" s="0" t="n">
        <v>0</v>
      </c>
      <c r="H559" s="3" t="s">
        <v>1457</v>
      </c>
      <c r="I559" s="3" t="s">
        <v>1190</v>
      </c>
      <c r="J559" s="0" t="s">
        <v>1338</v>
      </c>
      <c r="K559" s="0" t="s">
        <v>1027</v>
      </c>
    </row>
    <row r="560" customFormat="false" ht="13.8" hidden="false" customHeight="false" outlineLevel="0" collapsed="false">
      <c r="A560" s="0" t="s">
        <v>964</v>
      </c>
      <c r="B560" s="0" t="s">
        <v>1481</v>
      </c>
      <c r="C560" s="0" t="s">
        <v>31</v>
      </c>
      <c r="D560" s="0" t="s">
        <v>135</v>
      </c>
      <c r="E560" s="0" t="s">
        <v>1482</v>
      </c>
      <c r="F560" s="0" t="s">
        <v>31</v>
      </c>
      <c r="G560" s="0" t="n">
        <v>0</v>
      </c>
      <c r="H560" s="3" t="s">
        <v>1483</v>
      </c>
      <c r="I560" s="3" t="s">
        <v>1190</v>
      </c>
      <c r="J560" s="0" t="s">
        <v>1484</v>
      </c>
      <c r="K560" s="0" t="s">
        <v>1027</v>
      </c>
    </row>
    <row r="561" customFormat="false" ht="13.8" hidden="false" customHeight="false" outlineLevel="0" collapsed="false">
      <c r="A561" s="0" t="s">
        <v>964</v>
      </c>
      <c r="B561" s="0" t="s">
        <v>1485</v>
      </c>
      <c r="C561" s="0" t="s">
        <v>31</v>
      </c>
      <c r="D561" s="0" t="s">
        <v>135</v>
      </c>
      <c r="E561" s="0" t="s">
        <v>1486</v>
      </c>
      <c r="F561" s="0" t="s">
        <v>31</v>
      </c>
      <c r="G561" s="0" t="n">
        <v>0</v>
      </c>
      <c r="H561" s="3" t="s">
        <v>1483</v>
      </c>
      <c r="I561" s="3" t="s">
        <v>1190</v>
      </c>
      <c r="J561" s="0" t="s">
        <v>1487</v>
      </c>
      <c r="K561" s="0" t="s">
        <v>1027</v>
      </c>
    </row>
    <row r="562" customFormat="false" ht="13.8" hidden="false" customHeight="false" outlineLevel="0" collapsed="false">
      <c r="A562" s="0" t="s">
        <v>964</v>
      </c>
      <c r="B562" s="0" t="s">
        <v>289</v>
      </c>
      <c r="C562" s="0" t="s">
        <v>31</v>
      </c>
      <c r="D562" s="0" t="s">
        <v>135</v>
      </c>
      <c r="E562" s="0" t="s">
        <v>1488</v>
      </c>
      <c r="F562" s="0" t="s">
        <v>291</v>
      </c>
      <c r="G562" s="0" t="n">
        <v>0</v>
      </c>
      <c r="H562" s="3" t="s">
        <v>1483</v>
      </c>
      <c r="I562" s="3" t="s">
        <v>1190</v>
      </c>
      <c r="J562" s="0" t="s">
        <v>294</v>
      </c>
      <c r="K562" s="0" t="s">
        <v>1027</v>
      </c>
    </row>
    <row r="564" s="3" customFormat="true" ht="13.8" hidden="false" customHeight="false" outlineLevel="0" collapsed="false">
      <c r="A564" s="3" t="s">
        <v>720</v>
      </c>
      <c r="B564" s="3" t="s">
        <v>1489</v>
      </c>
      <c r="C564" s="3" t="s">
        <v>31</v>
      </c>
      <c r="D564" s="3" t="s">
        <v>1490</v>
      </c>
      <c r="E564" s="3" t="s">
        <v>1491</v>
      </c>
      <c r="F564" s="3" t="s">
        <v>219</v>
      </c>
      <c r="G564" s="3" t="str">
        <f aca="false">HYPERLINK("http://clipc-services.ceda.ac.uk/dreq/u/154ab10964742eaff37de9cc5beef39c.html","web")</f>
        <v>web</v>
      </c>
      <c r="H564" s="3" t="s">
        <v>1492</v>
      </c>
      <c r="I564" s="3" t="s">
        <v>1493</v>
      </c>
      <c r="J564" s="3" t="s">
        <v>1494</v>
      </c>
      <c r="K564" s="3" t="s">
        <v>741</v>
      </c>
    </row>
    <row r="567" customFormat="false" ht="13.8" hidden="false" customHeight="false" outlineLevel="0" collapsed="false">
      <c r="A567" s="0" t="s">
        <v>303</v>
      </c>
      <c r="B567" s="0" t="s">
        <v>1495</v>
      </c>
      <c r="C567" s="0" t="s">
        <v>31</v>
      </c>
      <c r="D567" s="0" t="s">
        <v>312</v>
      </c>
      <c r="E567" s="0" t="s">
        <v>1496</v>
      </c>
      <c r="F567" s="0" t="s">
        <v>16</v>
      </c>
      <c r="G567" s="0" t="str">
        <f aca="false">HYPERLINK("http://clipc-services.ceda.ac.uk/dreq/u/e0ecf1c1305c1bdc69bee0e7ba1e2e03.html","web")</f>
        <v>web</v>
      </c>
      <c r="H567" s="0" t="s">
        <v>1497</v>
      </c>
      <c r="I567" s="0" t="s">
        <v>1493</v>
      </c>
      <c r="J567" s="0" t="s">
        <v>1498</v>
      </c>
      <c r="K567" s="0" t="s">
        <v>305</v>
      </c>
    </row>
    <row r="568" customFormat="false" ht="13.8" hidden="false" customHeight="false" outlineLevel="0" collapsed="false">
      <c r="A568" s="0" t="s">
        <v>303</v>
      </c>
      <c r="B568" s="0" t="s">
        <v>1499</v>
      </c>
      <c r="C568" s="0" t="s">
        <v>31</v>
      </c>
      <c r="D568" s="0" t="s">
        <v>312</v>
      </c>
      <c r="E568" s="0" t="s">
        <v>1500</v>
      </c>
      <c r="F568" s="0" t="s">
        <v>1102</v>
      </c>
      <c r="G568" s="0" t="str">
        <f aca="false">HYPERLINK("http://clipc-services.ceda.ac.uk/dreq/u/86b2b3318a73839edfafa9d46864aadc.html","web")</f>
        <v>web</v>
      </c>
      <c r="H568" s="0" t="s">
        <v>1501</v>
      </c>
      <c r="I568" s="0" t="s">
        <v>1493</v>
      </c>
      <c r="J568" s="0" t="s">
        <v>1502</v>
      </c>
      <c r="K568" s="0" t="s">
        <v>305</v>
      </c>
    </row>
    <row r="569" customFormat="false" ht="13.8" hidden="false" customHeight="false" outlineLevel="0" collapsed="false">
      <c r="A569" s="0" t="s">
        <v>303</v>
      </c>
      <c r="B569" s="0" t="s">
        <v>1503</v>
      </c>
      <c r="C569" s="0" t="s">
        <v>31</v>
      </c>
      <c r="D569" s="0" t="s">
        <v>312</v>
      </c>
      <c r="E569" s="0" t="s">
        <v>1504</v>
      </c>
      <c r="F569" s="0" t="s">
        <v>1102</v>
      </c>
      <c r="G569" s="0" t="str">
        <f aca="false">HYPERLINK("http://clipc-services.ceda.ac.uk/dreq/u/dd916e3e2eca18cda5d9f81749d0c91c.html","web")</f>
        <v>web</v>
      </c>
      <c r="H569" s="0" t="s">
        <v>1505</v>
      </c>
      <c r="I569" s="0" t="s">
        <v>1493</v>
      </c>
      <c r="J569" s="0" t="s">
        <v>1506</v>
      </c>
      <c r="K569" s="0" t="s">
        <v>305</v>
      </c>
    </row>
    <row r="570" customFormat="false" ht="13.8" hidden="false" customHeight="false" outlineLevel="0" collapsed="false">
      <c r="A570" s="0" t="s">
        <v>303</v>
      </c>
      <c r="B570" s="0" t="s">
        <v>1507</v>
      </c>
      <c r="C570" s="0" t="s">
        <v>31</v>
      </c>
      <c r="D570" s="0" t="s">
        <v>312</v>
      </c>
      <c r="E570" s="0" t="s">
        <v>1508</v>
      </c>
      <c r="F570" s="0" t="s">
        <v>841</v>
      </c>
      <c r="G570" s="0" t="str">
        <f aca="false">HYPERLINK("http://clipc-services.ceda.ac.uk/dreq/u/b9c3eb96337c69c1c4a5aab1317f5563.html","web")</f>
        <v>web</v>
      </c>
      <c r="H570" s="0" t="s">
        <v>1509</v>
      </c>
      <c r="I570" s="0" t="s">
        <v>1493</v>
      </c>
      <c r="J570" s="0" t="s">
        <v>1508</v>
      </c>
      <c r="K570" s="0" t="s">
        <v>305</v>
      </c>
    </row>
    <row r="571" customFormat="false" ht="13.8" hidden="false" customHeight="false" outlineLevel="0" collapsed="false">
      <c r="A571" s="0" t="s">
        <v>303</v>
      </c>
      <c r="B571" s="0" t="s">
        <v>1510</v>
      </c>
      <c r="C571" s="0" t="s">
        <v>31</v>
      </c>
      <c r="D571" s="0" t="s">
        <v>312</v>
      </c>
      <c r="E571" s="0" t="s">
        <v>1511</v>
      </c>
      <c r="F571" s="0" t="s">
        <v>283</v>
      </c>
      <c r="G571" s="0" t="str">
        <f aca="false">HYPERLINK("http://clipc-services.ceda.ac.uk/dreq/u/21db90c0a12448299f855fdab60930d4.html","web")</f>
        <v>web</v>
      </c>
      <c r="H571" s="0" t="s">
        <v>1512</v>
      </c>
      <c r="I571" s="0" t="s">
        <v>1493</v>
      </c>
      <c r="J571" s="0" t="s">
        <v>1513</v>
      </c>
      <c r="K571" s="0" t="s">
        <v>305</v>
      </c>
    </row>
    <row r="572" customFormat="false" ht="13.8" hidden="false" customHeight="false" outlineLevel="0" collapsed="false">
      <c r="A572" s="0" t="s">
        <v>303</v>
      </c>
      <c r="B572" s="0" t="s">
        <v>1514</v>
      </c>
      <c r="C572" s="0" t="s">
        <v>31</v>
      </c>
      <c r="D572" s="0" t="s">
        <v>312</v>
      </c>
      <c r="E572" s="0" t="s">
        <v>1515</v>
      </c>
      <c r="F572" s="0" t="s">
        <v>283</v>
      </c>
      <c r="G572" s="0" t="str">
        <f aca="false">HYPERLINK("http://clipc-services.ceda.ac.uk/dreq/u/2dedcb347c18e132a2f4d625abf94585.html","web")</f>
        <v>web</v>
      </c>
      <c r="H572" s="0" t="s">
        <v>1516</v>
      </c>
      <c r="I572" s="0" t="s">
        <v>1493</v>
      </c>
      <c r="J572" s="0" t="s">
        <v>1517</v>
      </c>
      <c r="K572" s="0" t="s">
        <v>305</v>
      </c>
    </row>
    <row r="573" customFormat="false" ht="13.8" hidden="false" customHeight="false" outlineLevel="0" collapsed="false">
      <c r="A573" s="0" t="s">
        <v>303</v>
      </c>
      <c r="B573" s="0" t="s">
        <v>1518</v>
      </c>
      <c r="C573" s="0" t="s">
        <v>31</v>
      </c>
      <c r="D573" s="0" t="s">
        <v>312</v>
      </c>
      <c r="E573" s="0" t="s">
        <v>1519</v>
      </c>
      <c r="F573" s="0" t="s">
        <v>31</v>
      </c>
      <c r="G573" s="0" t="str">
        <f aca="false">HYPERLINK("http://clipc-services.ceda.ac.uk/dreq/u/53f4724d228998d54191c73352532ce3.html","web")</f>
        <v>web</v>
      </c>
      <c r="H573" s="0" t="s">
        <v>1520</v>
      </c>
      <c r="I573" s="0" t="s">
        <v>1493</v>
      </c>
      <c r="J573" s="0" t="s">
        <v>1521</v>
      </c>
      <c r="K573" s="0" t="s">
        <v>305</v>
      </c>
    </row>
    <row r="574" customFormat="false" ht="13.8" hidden="false" customHeight="false" outlineLevel="0" collapsed="false">
      <c r="A574" s="0" t="s">
        <v>303</v>
      </c>
      <c r="B574" s="0" t="s">
        <v>1522</v>
      </c>
      <c r="C574" s="0" t="s">
        <v>31</v>
      </c>
      <c r="D574" s="0" t="s">
        <v>312</v>
      </c>
      <c r="E574" s="0" t="s">
        <v>1523</v>
      </c>
      <c r="F574" s="0" t="s">
        <v>16</v>
      </c>
      <c r="G574" s="0" t="str">
        <f aca="false">HYPERLINK("http://clipc-services.ceda.ac.uk/dreq/u/3cc6766c2d001a58d18dfe7f60fd5e66.html","web")</f>
        <v>web</v>
      </c>
      <c r="H574" s="0" t="s">
        <v>1524</v>
      </c>
      <c r="I574" s="0" t="s">
        <v>1493</v>
      </c>
      <c r="J574" s="0" t="s">
        <v>975</v>
      </c>
      <c r="K574" s="0" t="s">
        <v>305</v>
      </c>
    </row>
    <row r="575" customFormat="false" ht="13.8" hidden="false" customHeight="false" outlineLevel="0" collapsed="false">
      <c r="A575" s="0" t="s">
        <v>303</v>
      </c>
      <c r="B575" s="0" t="s">
        <v>1525</v>
      </c>
      <c r="C575" s="0" t="s">
        <v>31</v>
      </c>
      <c r="D575" s="0" t="s">
        <v>312</v>
      </c>
      <c r="E575" s="0" t="s">
        <v>1526</v>
      </c>
      <c r="F575" s="0" t="s">
        <v>1527</v>
      </c>
      <c r="G575" s="0" t="str">
        <f aca="false">HYPERLINK("http://clipc-services.ceda.ac.uk/dreq/u/51fb29dd55442361fa9c5dbe23aca9c6.html","web")</f>
        <v>web</v>
      </c>
      <c r="H575" s="0" t="s">
        <v>1528</v>
      </c>
      <c r="I575" s="0" t="s">
        <v>1493</v>
      </c>
      <c r="J575" s="0" t="s">
        <v>1529</v>
      </c>
      <c r="K575" s="0" t="s">
        <v>305</v>
      </c>
    </row>
    <row r="576" customFormat="false" ht="13.8" hidden="false" customHeight="false" outlineLevel="0" collapsed="false">
      <c r="A576" s="0" t="s">
        <v>303</v>
      </c>
      <c r="B576" s="0" t="s">
        <v>1530</v>
      </c>
      <c r="C576" s="0" t="s">
        <v>31</v>
      </c>
      <c r="D576" s="0" t="s">
        <v>312</v>
      </c>
      <c r="E576" s="0" t="s">
        <v>1531</v>
      </c>
      <c r="F576" s="0" t="s">
        <v>24</v>
      </c>
      <c r="G576" s="0" t="str">
        <f aca="false">HYPERLINK("http://clipc-services.ceda.ac.uk/dreq/u/28e774ec0ecd561a6a3d437e6c443a6b.html","web")</f>
        <v>web</v>
      </c>
      <c r="H576" s="0" t="s">
        <v>1532</v>
      </c>
      <c r="I576" s="0" t="s">
        <v>1493</v>
      </c>
      <c r="J576" s="0" t="s">
        <v>1533</v>
      </c>
      <c r="K576" s="0" t="s">
        <v>305</v>
      </c>
    </row>
    <row r="577" customFormat="false" ht="13.8" hidden="false" customHeight="false" outlineLevel="0" collapsed="false">
      <c r="A577" s="0" t="s">
        <v>303</v>
      </c>
      <c r="B577" s="0" t="s">
        <v>1534</v>
      </c>
      <c r="C577" s="0" t="s">
        <v>31</v>
      </c>
      <c r="D577" s="0" t="s">
        <v>312</v>
      </c>
      <c r="E577" s="0" t="s">
        <v>1535</v>
      </c>
      <c r="F577" s="0" t="s">
        <v>219</v>
      </c>
      <c r="G577" s="0" t="str">
        <f aca="false">HYPERLINK("http://clipc-services.ceda.ac.uk/dreq/u/7a107875bd58c5e655e8f87152a3bad7.html","web")</f>
        <v>web</v>
      </c>
      <c r="H577" s="0" t="s">
        <v>1536</v>
      </c>
      <c r="I577" s="0" t="s">
        <v>1493</v>
      </c>
      <c r="J577" s="0" t="s">
        <v>1537</v>
      </c>
      <c r="K577" s="0" t="s">
        <v>305</v>
      </c>
    </row>
    <row r="578" customFormat="false" ht="13.8" hidden="false" customHeight="false" outlineLevel="0" collapsed="false">
      <c r="A578" s="0" t="s">
        <v>303</v>
      </c>
      <c r="B578" s="0" t="s">
        <v>1489</v>
      </c>
      <c r="C578" s="0" t="s">
        <v>31</v>
      </c>
      <c r="D578" s="0" t="s">
        <v>324</v>
      </c>
      <c r="E578" s="0" t="s">
        <v>1491</v>
      </c>
      <c r="F578" s="0" t="s">
        <v>219</v>
      </c>
      <c r="G578" s="0" t="str">
        <f aca="false">HYPERLINK("http://clipc-services.ceda.ac.uk/dreq/u/154ab10964742eaff37de9cc5beef39c.html","web")</f>
        <v>web</v>
      </c>
      <c r="H578" s="0" t="s">
        <v>1538</v>
      </c>
      <c r="I578" s="0" t="s">
        <v>1493</v>
      </c>
      <c r="J578" s="0" t="s">
        <v>1494</v>
      </c>
      <c r="K578" s="0" t="s">
        <v>305</v>
      </c>
    </row>
    <row r="579" customFormat="false" ht="13.8" hidden="false" customHeight="false" outlineLevel="0" collapsed="false">
      <c r="A579" s="0" t="s">
        <v>303</v>
      </c>
      <c r="B579" s="0" t="s">
        <v>1539</v>
      </c>
      <c r="C579" s="0" t="s">
        <v>31</v>
      </c>
      <c r="D579" s="0" t="s">
        <v>1540</v>
      </c>
      <c r="E579" s="0" t="s">
        <v>1541</v>
      </c>
      <c r="F579" s="0" t="s">
        <v>841</v>
      </c>
      <c r="G579" s="0" t="str">
        <f aca="false">HYPERLINK("http://clipc-services.ceda.ac.uk/dreq/u/5c4978e802ba55d5a298cf1b3bdc2b3a.html","web")</f>
        <v>web</v>
      </c>
      <c r="H579" s="0" t="s">
        <v>1542</v>
      </c>
      <c r="I579" s="0" t="s">
        <v>1493</v>
      </c>
      <c r="J579" s="0" t="s">
        <v>1543</v>
      </c>
      <c r="K579" s="0" t="s">
        <v>305</v>
      </c>
    </row>
    <row r="580" customFormat="false" ht="13.8" hidden="false" customHeight="false" outlineLevel="0" collapsed="false">
      <c r="A580" s="0" t="s">
        <v>303</v>
      </c>
      <c r="B580" s="0" t="s">
        <v>1544</v>
      </c>
      <c r="C580" s="0" t="s">
        <v>31</v>
      </c>
      <c r="D580" s="0" t="s">
        <v>304</v>
      </c>
      <c r="E580" s="0" t="s">
        <v>1545</v>
      </c>
      <c r="F580" s="0" t="s">
        <v>841</v>
      </c>
      <c r="G580" s="0" t="str">
        <f aca="false">HYPERLINK("http://clipc-services.ceda.ac.uk/dreq/u/90c49fce92dc1f21647dad07d1342843.html","web")</f>
        <v>web</v>
      </c>
      <c r="H580" s="0" t="s">
        <v>1546</v>
      </c>
      <c r="I580" s="0" t="s">
        <v>1493</v>
      </c>
      <c r="J580" s="0" t="s">
        <v>1547</v>
      </c>
      <c r="K580" s="0" t="s">
        <v>305</v>
      </c>
    </row>
    <row r="581" customFormat="false" ht="13.8" hidden="false" customHeight="false" outlineLevel="0" collapsed="false">
      <c r="A581" s="0" t="s">
        <v>303</v>
      </c>
      <c r="B581" s="0" t="s">
        <v>1548</v>
      </c>
      <c r="C581" s="0" t="s">
        <v>31</v>
      </c>
      <c r="D581" s="0" t="s">
        <v>304</v>
      </c>
      <c r="E581" s="0" t="s">
        <v>1549</v>
      </c>
      <c r="F581" s="0" t="s">
        <v>219</v>
      </c>
      <c r="G581" s="0" t="str">
        <f aca="false">HYPERLINK("http://clipc-services.ceda.ac.uk/dreq/u/3d23c359f44d6a153c4dcab9e07d7cb6.html","web")</f>
        <v>web</v>
      </c>
      <c r="H581" s="0" t="s">
        <v>1550</v>
      </c>
      <c r="I581" s="0" t="s">
        <v>1493</v>
      </c>
      <c r="J581" s="0" t="s">
        <v>1549</v>
      </c>
      <c r="K581" s="0" t="s">
        <v>305</v>
      </c>
    </row>
    <row r="582" customFormat="false" ht="13.8" hidden="false" customHeight="false" outlineLevel="0" collapsed="false">
      <c r="A582" s="0" t="s">
        <v>303</v>
      </c>
      <c r="B582" s="0" t="s">
        <v>1551</v>
      </c>
      <c r="C582" s="0" t="s">
        <v>31</v>
      </c>
      <c r="D582" s="0" t="s">
        <v>304</v>
      </c>
      <c r="E582" s="0" t="s">
        <v>1552</v>
      </c>
      <c r="F582" s="0" t="s">
        <v>219</v>
      </c>
      <c r="G582" s="0" t="str">
        <f aca="false">HYPERLINK("http://clipc-services.ceda.ac.uk/dreq/u/8c9504d28596e05586c8e193082ac617.html","web")</f>
        <v>web</v>
      </c>
      <c r="H582" s="0" t="s">
        <v>1553</v>
      </c>
      <c r="I582" s="0" t="s">
        <v>1493</v>
      </c>
      <c r="J582" s="0" t="s">
        <v>1554</v>
      </c>
      <c r="K582" s="0" t="s">
        <v>305</v>
      </c>
    </row>
    <row r="583" customFormat="false" ht="13.8" hidden="false" customHeight="false" outlineLevel="0" collapsed="false">
      <c r="A583" s="0" t="s">
        <v>303</v>
      </c>
      <c r="B583" s="0" t="s">
        <v>1555</v>
      </c>
      <c r="C583" s="0" t="s">
        <v>31</v>
      </c>
      <c r="D583" s="0" t="s">
        <v>1556</v>
      </c>
      <c r="E583" s="0" t="s">
        <v>1557</v>
      </c>
      <c r="F583" s="0" t="s">
        <v>283</v>
      </c>
      <c r="G583" s="0" t="str">
        <f aca="false">HYPERLINK("http://clipc-services.ceda.ac.uk/dreq/u/e72b243a2a1c8691ab0168d8b62534c2.html","web")</f>
        <v>web</v>
      </c>
      <c r="H583" s="0" t="s">
        <v>1558</v>
      </c>
      <c r="I583" s="0" t="s">
        <v>1493</v>
      </c>
      <c r="J583" s="0" t="s">
        <v>1559</v>
      </c>
      <c r="K583" s="0" t="s">
        <v>305</v>
      </c>
    </row>
    <row r="584" customFormat="false" ht="13.8" hidden="false" customHeight="false" outlineLevel="0" collapsed="false">
      <c r="A584" s="0" t="s">
        <v>303</v>
      </c>
      <c r="B584" s="0" t="s">
        <v>1560</v>
      </c>
      <c r="C584" s="0" t="s">
        <v>31</v>
      </c>
      <c r="D584" s="0" t="s">
        <v>1556</v>
      </c>
      <c r="E584" s="0" t="s">
        <v>1561</v>
      </c>
      <c r="F584" s="0" t="s">
        <v>283</v>
      </c>
      <c r="G584" s="0" t="str">
        <f aca="false">HYPERLINK("http://clipc-services.ceda.ac.uk/dreq/u/86b1cd51f370e346ecb20f1e80cb6ea4.html","web")</f>
        <v>web</v>
      </c>
      <c r="H584" s="0" t="s">
        <v>1562</v>
      </c>
      <c r="I584" s="0" t="s">
        <v>1493</v>
      </c>
      <c r="J584" s="0" t="s">
        <v>1563</v>
      </c>
      <c r="K584" s="0" t="s">
        <v>305</v>
      </c>
    </row>
    <row r="585" customFormat="false" ht="13.8" hidden="false" customHeight="false" outlineLevel="0" collapsed="false">
      <c r="A585" s="0" t="s">
        <v>303</v>
      </c>
      <c r="B585" s="0" t="s">
        <v>1564</v>
      </c>
      <c r="C585" s="0" t="s">
        <v>31</v>
      </c>
      <c r="D585" s="0" t="s">
        <v>1556</v>
      </c>
      <c r="E585" s="0" t="s">
        <v>1565</v>
      </c>
      <c r="F585" s="0" t="s">
        <v>283</v>
      </c>
      <c r="G585" s="0" t="str">
        <f aca="false">HYPERLINK("http://clipc-services.ceda.ac.uk/dreq/u/4b97609a32d53dff5b8e73729e4f258b.html","web")</f>
        <v>web</v>
      </c>
      <c r="H585" s="0" t="s">
        <v>1566</v>
      </c>
      <c r="I585" s="0" t="s">
        <v>1493</v>
      </c>
      <c r="J585" s="0" t="s">
        <v>1567</v>
      </c>
      <c r="K585" s="0" t="s">
        <v>305</v>
      </c>
    </row>
    <row r="586" customFormat="false" ht="13.8" hidden="false" customHeight="false" outlineLevel="0" collapsed="false">
      <c r="A586" s="0" t="s">
        <v>303</v>
      </c>
      <c r="B586" s="0" t="s">
        <v>1568</v>
      </c>
      <c r="C586" s="0" t="s">
        <v>31</v>
      </c>
      <c r="D586" s="0" t="s">
        <v>1540</v>
      </c>
      <c r="E586" s="0" t="s">
        <v>1569</v>
      </c>
      <c r="F586" s="0" t="s">
        <v>16</v>
      </c>
      <c r="G586" s="0" t="str">
        <f aca="false">HYPERLINK("http://clipc-services.ceda.ac.uk/dreq/u/c75f684ec69602e9de82b48e53afb2cc.html","web")</f>
        <v>web</v>
      </c>
      <c r="H586" s="0" t="s">
        <v>1570</v>
      </c>
      <c r="I586" s="0" t="s">
        <v>1493</v>
      </c>
      <c r="J586" s="0" t="s">
        <v>975</v>
      </c>
      <c r="K586" s="0" t="s">
        <v>305</v>
      </c>
    </row>
    <row r="587" customFormat="false" ht="13.8" hidden="false" customHeight="false" outlineLevel="0" collapsed="false">
      <c r="A587" s="0" t="s">
        <v>303</v>
      </c>
      <c r="B587" s="0" t="s">
        <v>1571</v>
      </c>
      <c r="C587" s="0" t="s">
        <v>31</v>
      </c>
      <c r="D587" s="0" t="s">
        <v>1540</v>
      </c>
      <c r="E587" s="0" t="s">
        <v>1572</v>
      </c>
      <c r="F587" s="0" t="s">
        <v>31</v>
      </c>
      <c r="G587" s="0" t="str">
        <f aca="false">HYPERLINK("http://clipc-services.ceda.ac.uk/dreq/u/ebfefc2ab8716ef597b128171b275945.html","web")</f>
        <v>web</v>
      </c>
      <c r="H587" s="0" t="s">
        <v>1573</v>
      </c>
      <c r="I587" s="0" t="s">
        <v>1493</v>
      </c>
      <c r="J587" s="0" t="s">
        <v>1574</v>
      </c>
      <c r="K587" s="0" t="s">
        <v>305</v>
      </c>
    </row>
    <row r="588" customFormat="false" ht="13.8" hidden="false" customHeight="false" outlineLevel="0" collapsed="false">
      <c r="A588" s="0" t="s">
        <v>303</v>
      </c>
      <c r="B588" s="0" t="s">
        <v>1575</v>
      </c>
      <c r="C588" s="0" t="s">
        <v>31</v>
      </c>
      <c r="D588" s="0" t="s">
        <v>304</v>
      </c>
      <c r="E588" s="0" t="s">
        <v>1576</v>
      </c>
      <c r="F588" s="0" t="s">
        <v>137</v>
      </c>
      <c r="G588" s="0" t="str">
        <f aca="false">HYPERLINK("http://clipc-services.ceda.ac.uk/dreq/u/62f26742cf240c1b5169a5cd511196b6.html","web")</f>
        <v>web</v>
      </c>
      <c r="H588" s="0" t="s">
        <v>1577</v>
      </c>
      <c r="I588" s="0" t="s">
        <v>1493</v>
      </c>
      <c r="J588" s="0" t="s">
        <v>1578</v>
      </c>
      <c r="K588" s="0" t="s">
        <v>305</v>
      </c>
    </row>
    <row r="589" customFormat="false" ht="13.8" hidden="false" customHeight="false" outlineLevel="0" collapsed="false">
      <c r="A589" s="0" t="s">
        <v>303</v>
      </c>
      <c r="B589" s="0" t="s">
        <v>1579</v>
      </c>
      <c r="C589" s="0" t="s">
        <v>31</v>
      </c>
      <c r="D589" s="0" t="s">
        <v>304</v>
      </c>
      <c r="E589" s="0" t="s">
        <v>1580</v>
      </c>
      <c r="F589" s="0" t="s">
        <v>137</v>
      </c>
      <c r="G589" s="0" t="str">
        <f aca="false">HYPERLINK("http://clipc-services.ceda.ac.uk/dreq/u/051919eddec810e292c883205c944ceb.html","web")</f>
        <v>web</v>
      </c>
      <c r="H589" s="0" t="s">
        <v>1581</v>
      </c>
      <c r="I589" s="0" t="s">
        <v>1493</v>
      </c>
      <c r="J589" s="0" t="s">
        <v>1582</v>
      </c>
      <c r="K589" s="0" t="s">
        <v>305</v>
      </c>
    </row>
    <row r="590" customFormat="false" ht="13.8" hidden="false" customHeight="false" outlineLevel="0" collapsed="false">
      <c r="A590" s="0" t="s">
        <v>303</v>
      </c>
      <c r="B590" s="0" t="s">
        <v>1583</v>
      </c>
      <c r="C590" s="0" t="s">
        <v>31</v>
      </c>
      <c r="D590" s="0" t="s">
        <v>304</v>
      </c>
      <c r="E590" s="0" t="s">
        <v>1584</v>
      </c>
      <c r="F590" s="0" t="s">
        <v>137</v>
      </c>
      <c r="G590" s="0" t="str">
        <f aca="false">HYPERLINK("http://clipc-services.ceda.ac.uk/dreq/u/aa2bea81f238ad8f2c35a7e16ad97801.html","web")</f>
        <v>web</v>
      </c>
      <c r="H590" s="0" t="s">
        <v>1585</v>
      </c>
      <c r="I590" s="0" t="s">
        <v>1493</v>
      </c>
      <c r="J590" s="0" t="s">
        <v>1586</v>
      </c>
      <c r="K590" s="0" t="s">
        <v>305</v>
      </c>
    </row>
    <row r="591" customFormat="false" ht="13.8" hidden="false" customHeight="false" outlineLevel="0" collapsed="false">
      <c r="A591" s="0" t="s">
        <v>303</v>
      </c>
      <c r="B591" s="0" t="s">
        <v>1587</v>
      </c>
      <c r="C591" s="0" t="s">
        <v>31</v>
      </c>
      <c r="D591" s="0" t="s">
        <v>304</v>
      </c>
      <c r="E591" s="0" t="s">
        <v>1588</v>
      </c>
      <c r="F591" s="0" t="s">
        <v>137</v>
      </c>
      <c r="G591" s="0" t="str">
        <f aca="false">HYPERLINK("http://clipc-services.ceda.ac.uk/dreq/u/089961a3af4d54d5fb045cf3750e760c.html","web")</f>
        <v>web</v>
      </c>
      <c r="H591" s="0" t="s">
        <v>1589</v>
      </c>
      <c r="I591" s="0" t="s">
        <v>1493</v>
      </c>
      <c r="J591" s="0" t="s">
        <v>1590</v>
      </c>
      <c r="K591" s="0" t="s">
        <v>305</v>
      </c>
    </row>
    <row r="592" customFormat="false" ht="13.8" hidden="false" customHeight="false" outlineLevel="0" collapsed="false">
      <c r="A592" s="0" t="s">
        <v>303</v>
      </c>
      <c r="B592" s="0" t="s">
        <v>1591</v>
      </c>
      <c r="C592" s="0" t="s">
        <v>31</v>
      </c>
      <c r="D592" s="0" t="s">
        <v>304</v>
      </c>
      <c r="E592" s="0" t="s">
        <v>1592</v>
      </c>
      <c r="F592" s="0" t="s">
        <v>137</v>
      </c>
      <c r="G592" s="0" t="str">
        <f aca="false">HYPERLINK("http://clipc-services.ceda.ac.uk/dreq/u/3a8e1636a31c82fbdd9a1ae45ab3be7d.html","web")</f>
        <v>web</v>
      </c>
      <c r="H592" s="0" t="s">
        <v>1593</v>
      </c>
      <c r="I592" s="0" t="s">
        <v>1493</v>
      </c>
      <c r="J592" s="0" t="s">
        <v>1594</v>
      </c>
      <c r="K592" s="0" t="s">
        <v>305</v>
      </c>
    </row>
    <row r="593" customFormat="false" ht="13.8" hidden="false" customHeight="false" outlineLevel="0" collapsed="false">
      <c r="A593" s="0" t="s">
        <v>303</v>
      </c>
      <c r="B593" s="0" t="s">
        <v>1595</v>
      </c>
      <c r="C593" s="0" t="s">
        <v>31</v>
      </c>
      <c r="D593" s="0" t="s">
        <v>304</v>
      </c>
      <c r="E593" s="0" t="s">
        <v>1596</v>
      </c>
      <c r="F593" s="0" t="s">
        <v>219</v>
      </c>
      <c r="G593" s="0" t="str">
        <f aca="false">HYPERLINK("http://clipc-services.ceda.ac.uk/dreq/u/3abb7c5b4c4650e9d17a8439004aebea.html","web")</f>
        <v>web</v>
      </c>
      <c r="H593" s="0" t="s">
        <v>1597</v>
      </c>
      <c r="I593" s="0" t="s">
        <v>1493</v>
      </c>
      <c r="J593" s="0" t="s">
        <v>1598</v>
      </c>
      <c r="K593" s="0" t="s">
        <v>305</v>
      </c>
    </row>
    <row r="594" customFormat="false" ht="13.8" hidden="false" customHeight="false" outlineLevel="0" collapsed="false">
      <c r="A594" s="0" t="s">
        <v>303</v>
      </c>
      <c r="B594" s="0" t="s">
        <v>1599</v>
      </c>
      <c r="C594" s="0" t="s">
        <v>31</v>
      </c>
      <c r="D594" s="0" t="s">
        <v>304</v>
      </c>
      <c r="E594" s="0" t="s">
        <v>1600</v>
      </c>
      <c r="F594" s="0" t="s">
        <v>219</v>
      </c>
      <c r="G594" s="0" t="str">
        <f aca="false">HYPERLINK("http://clipc-services.ceda.ac.uk/dreq/u/bd10cebbde1593b65e5220911f9a997c.html","web")</f>
        <v>web</v>
      </c>
      <c r="H594" s="0" t="s">
        <v>1601</v>
      </c>
      <c r="I594" s="0" t="s">
        <v>1493</v>
      </c>
      <c r="J594" s="0" t="s">
        <v>1602</v>
      </c>
      <c r="K594" s="0" t="s">
        <v>305</v>
      </c>
    </row>
    <row r="595" customFormat="false" ht="13.8" hidden="false" customHeight="false" outlineLevel="0" collapsed="false">
      <c r="A595" s="0" t="s">
        <v>303</v>
      </c>
      <c r="B595" s="0" t="s">
        <v>1603</v>
      </c>
      <c r="C595" s="0" t="s">
        <v>31</v>
      </c>
      <c r="D595" s="0" t="s">
        <v>304</v>
      </c>
      <c r="E595" s="0" t="s">
        <v>1604</v>
      </c>
      <c r="F595" s="0" t="s">
        <v>327</v>
      </c>
      <c r="G595" s="0" t="str">
        <f aca="false">HYPERLINK("http://clipc-services.ceda.ac.uk/dreq/u/95cbf6ac889c8fe7d92e20e8c34960d1.html","web")</f>
        <v>web</v>
      </c>
      <c r="H595" s="0" t="s">
        <v>1605</v>
      </c>
      <c r="I595" s="0" t="s">
        <v>1493</v>
      </c>
      <c r="J595" s="0" t="s">
        <v>1162</v>
      </c>
      <c r="K595" s="0" t="s">
        <v>305</v>
      </c>
    </row>
    <row r="596" customFormat="false" ht="13.8" hidden="false" customHeight="false" outlineLevel="0" collapsed="false">
      <c r="A596" s="0" t="s">
        <v>303</v>
      </c>
      <c r="B596" s="0" t="s">
        <v>1606</v>
      </c>
      <c r="C596" s="0" t="s">
        <v>31</v>
      </c>
      <c r="D596" s="0" t="s">
        <v>304</v>
      </c>
      <c r="E596" s="0" t="s">
        <v>1607</v>
      </c>
      <c r="F596" s="0" t="s">
        <v>327</v>
      </c>
      <c r="G596" s="0" t="str">
        <f aca="false">HYPERLINK("http://clipc-services.ceda.ac.uk/dreq/u/a13ed886b17e20cdae8b89b9ff8e4610.html","web")</f>
        <v>web</v>
      </c>
      <c r="H596" s="0" t="s">
        <v>1608</v>
      </c>
      <c r="I596" s="0" t="s">
        <v>1493</v>
      </c>
      <c r="J596" s="0" t="s">
        <v>1609</v>
      </c>
      <c r="K596" s="0" t="s">
        <v>305</v>
      </c>
    </row>
    <row r="597" customFormat="false" ht="13.8" hidden="false" customHeight="false" outlineLevel="0" collapsed="false">
      <c r="A597" s="0" t="s">
        <v>303</v>
      </c>
      <c r="B597" s="0" t="s">
        <v>1610</v>
      </c>
      <c r="C597" s="0" t="s">
        <v>31</v>
      </c>
      <c r="D597" s="0" t="s">
        <v>304</v>
      </c>
      <c r="E597" s="0" t="s">
        <v>1611</v>
      </c>
      <c r="F597" s="0" t="s">
        <v>327</v>
      </c>
      <c r="G597" s="0" t="str">
        <f aca="false">HYPERLINK("http://clipc-services.ceda.ac.uk/dreq/u/70d7d6fc0e9c2f14624a0270bf2b99b9.html","web")</f>
        <v>web</v>
      </c>
      <c r="H597" s="0" t="s">
        <v>1612</v>
      </c>
      <c r="I597" s="0" t="s">
        <v>1493</v>
      </c>
      <c r="J597" s="0" t="s">
        <v>1613</v>
      </c>
      <c r="K597" s="0" t="s">
        <v>305</v>
      </c>
    </row>
    <row r="598" customFormat="false" ht="13.8" hidden="false" customHeight="false" outlineLevel="0" collapsed="false">
      <c r="A598" s="0" t="s">
        <v>303</v>
      </c>
      <c r="B598" s="0" t="s">
        <v>1614</v>
      </c>
      <c r="C598" s="0" t="s">
        <v>31</v>
      </c>
      <c r="D598" s="0" t="s">
        <v>304</v>
      </c>
      <c r="E598" s="0" t="s">
        <v>1615</v>
      </c>
      <c r="F598" s="0" t="s">
        <v>327</v>
      </c>
      <c r="G598" s="0" t="str">
        <f aca="false">HYPERLINK("http://clipc-services.ceda.ac.uk/dreq/u/89027ee0079acb709750ddeac1c08899.html","web")</f>
        <v>web</v>
      </c>
      <c r="H598" s="0" t="s">
        <v>1616</v>
      </c>
      <c r="I598" s="0" t="s">
        <v>1493</v>
      </c>
      <c r="J598" s="0" t="s">
        <v>1271</v>
      </c>
      <c r="K598" s="0" t="s">
        <v>305</v>
      </c>
    </row>
    <row r="599" customFormat="false" ht="13.8" hidden="false" customHeight="false" outlineLevel="0" collapsed="false">
      <c r="A599" s="0" t="s">
        <v>303</v>
      </c>
      <c r="B599" s="0" t="s">
        <v>1617</v>
      </c>
      <c r="C599" s="0" t="s">
        <v>31</v>
      </c>
      <c r="D599" s="0" t="s">
        <v>304</v>
      </c>
      <c r="E599" s="0" t="s">
        <v>1618</v>
      </c>
      <c r="F599" s="0" t="s">
        <v>327</v>
      </c>
      <c r="G599" s="0" t="str">
        <f aca="false">HYPERLINK("http://clipc-services.ceda.ac.uk/dreq/u/6e7b9f984d3bba15daccaaa18039a85d.html","web")</f>
        <v>web</v>
      </c>
      <c r="H599" s="0" t="s">
        <v>1619</v>
      </c>
      <c r="I599" s="0" t="s">
        <v>1493</v>
      </c>
      <c r="J599" s="0" t="s">
        <v>1620</v>
      </c>
      <c r="K599" s="0" t="s">
        <v>305</v>
      </c>
    </row>
    <row r="600" customFormat="false" ht="13.8" hidden="false" customHeight="false" outlineLevel="0" collapsed="false">
      <c r="A600" s="0" t="s">
        <v>303</v>
      </c>
      <c r="B600" s="0" t="s">
        <v>1621</v>
      </c>
      <c r="C600" s="0" t="s">
        <v>31</v>
      </c>
      <c r="D600" s="0" t="s">
        <v>304</v>
      </c>
      <c r="E600" s="0" t="s">
        <v>1622</v>
      </c>
      <c r="F600" s="0" t="s">
        <v>327</v>
      </c>
      <c r="G600" s="0" t="str">
        <f aca="false">HYPERLINK("http://clipc-services.ceda.ac.uk/dreq/u/70bf79db957daa3b82413da949233ac7.html","web")</f>
        <v>web</v>
      </c>
      <c r="H600" s="0" t="s">
        <v>1623</v>
      </c>
      <c r="I600" s="0" t="s">
        <v>1493</v>
      </c>
      <c r="J600" s="0" t="s">
        <v>1274</v>
      </c>
      <c r="K600" s="0" t="s">
        <v>305</v>
      </c>
    </row>
    <row r="601" customFormat="false" ht="13.8" hidden="false" customHeight="false" outlineLevel="0" collapsed="false">
      <c r="A601" s="0" t="s">
        <v>303</v>
      </c>
      <c r="B601" s="0" t="s">
        <v>1624</v>
      </c>
      <c r="C601" s="0" t="s">
        <v>31</v>
      </c>
      <c r="D601" s="0" t="s">
        <v>304</v>
      </c>
      <c r="E601" s="0" t="s">
        <v>1625</v>
      </c>
      <c r="F601" s="0" t="s">
        <v>327</v>
      </c>
      <c r="G601" s="0" t="str">
        <f aca="false">HYPERLINK("http://clipc-services.ceda.ac.uk/dreq/u/d0a35d5c99a0aa93ad4069cfe83bf748.html","web")</f>
        <v>web</v>
      </c>
      <c r="H601" s="0" t="s">
        <v>1626</v>
      </c>
      <c r="I601" s="0" t="s">
        <v>1493</v>
      </c>
      <c r="J601" s="0" t="s">
        <v>1627</v>
      </c>
      <c r="K601" s="0" t="s">
        <v>305</v>
      </c>
    </row>
    <row r="602" customFormat="false" ht="13.8" hidden="false" customHeight="false" outlineLevel="0" collapsed="false">
      <c r="A602" s="0" t="s">
        <v>303</v>
      </c>
      <c r="B602" s="0" t="s">
        <v>1628</v>
      </c>
      <c r="C602" s="0" t="s">
        <v>31</v>
      </c>
      <c r="D602" s="0" t="s">
        <v>304</v>
      </c>
      <c r="E602" s="0" t="s">
        <v>1629</v>
      </c>
      <c r="F602" s="0" t="s">
        <v>327</v>
      </c>
      <c r="G602" s="0" t="str">
        <f aca="false">HYPERLINK("http://clipc-services.ceda.ac.uk/dreq/u/90df05fe3dcd9fe0c9b48aaa74b5e9e2.html","web")</f>
        <v>web</v>
      </c>
      <c r="H602" s="0" t="s">
        <v>1623</v>
      </c>
      <c r="I602" s="0" t="s">
        <v>1493</v>
      </c>
      <c r="J602" s="0" t="s">
        <v>1630</v>
      </c>
      <c r="K602" s="0" t="s">
        <v>305</v>
      </c>
    </row>
    <row r="603" customFormat="false" ht="13.8" hidden="false" customHeight="false" outlineLevel="0" collapsed="false">
      <c r="A603" s="0" t="s">
        <v>303</v>
      </c>
      <c r="B603" s="0" t="s">
        <v>1631</v>
      </c>
      <c r="C603" s="0" t="s">
        <v>31</v>
      </c>
      <c r="D603" s="0" t="s">
        <v>304</v>
      </c>
      <c r="E603" s="0" t="s">
        <v>1632</v>
      </c>
      <c r="F603" s="0" t="s">
        <v>327</v>
      </c>
      <c r="G603" s="0" t="str">
        <f aca="false">HYPERLINK("http://clipc-services.ceda.ac.uk/dreq/u/7b2d1e1a3ece1169d8ac61af4b758ed2.html","web")</f>
        <v>web</v>
      </c>
      <c r="H603" s="0" t="s">
        <v>1633</v>
      </c>
      <c r="I603" s="0" t="s">
        <v>1493</v>
      </c>
      <c r="J603" s="0" t="s">
        <v>1634</v>
      </c>
      <c r="K603" s="0" t="s">
        <v>305</v>
      </c>
    </row>
    <row r="604" customFormat="false" ht="13.8" hidden="false" customHeight="false" outlineLevel="0" collapsed="false">
      <c r="A604" s="0" t="s">
        <v>303</v>
      </c>
      <c r="B604" s="0" t="s">
        <v>1635</v>
      </c>
      <c r="C604" s="0" t="s">
        <v>31</v>
      </c>
      <c r="D604" s="0" t="s">
        <v>304</v>
      </c>
      <c r="E604" s="0" t="s">
        <v>1636</v>
      </c>
      <c r="F604" s="0" t="s">
        <v>327</v>
      </c>
      <c r="G604" s="0" t="str">
        <f aca="false">HYPERLINK("http://clipc-services.ceda.ac.uk/dreq/u/a21e250a10f96b1c1ad6d742206a157e.html","web")</f>
        <v>web</v>
      </c>
      <c r="H604" s="0" t="s">
        <v>1637</v>
      </c>
      <c r="I604" s="0" t="s">
        <v>1493</v>
      </c>
      <c r="J604" s="0" t="s">
        <v>1638</v>
      </c>
      <c r="K604" s="0" t="s">
        <v>305</v>
      </c>
    </row>
    <row r="605" customFormat="false" ht="13.8" hidden="false" customHeight="false" outlineLevel="0" collapsed="false">
      <c r="A605" s="0" t="s">
        <v>303</v>
      </c>
      <c r="B605" s="0" t="s">
        <v>1639</v>
      </c>
      <c r="C605" s="0" t="s">
        <v>31</v>
      </c>
      <c r="D605" s="0" t="s">
        <v>304</v>
      </c>
      <c r="E605" s="0" t="s">
        <v>1640</v>
      </c>
      <c r="F605" s="0" t="s">
        <v>327</v>
      </c>
      <c r="G605" s="0" t="str">
        <f aca="false">HYPERLINK("http://clipc-services.ceda.ac.uk/dreq/u/b907fef85d4c9571a9457ee1b259bb8f.html","web")</f>
        <v>web</v>
      </c>
      <c r="H605" s="0" t="s">
        <v>1641</v>
      </c>
      <c r="I605" s="0" t="s">
        <v>1493</v>
      </c>
      <c r="J605" s="0" t="s">
        <v>1642</v>
      </c>
      <c r="K605" s="0" t="s">
        <v>305</v>
      </c>
    </row>
    <row r="606" customFormat="false" ht="13.8" hidden="false" customHeight="false" outlineLevel="0" collapsed="false">
      <c r="A606" s="0" t="s">
        <v>303</v>
      </c>
      <c r="B606" s="0" t="s">
        <v>1643</v>
      </c>
      <c r="C606" s="0" t="s">
        <v>31</v>
      </c>
      <c r="D606" s="0" t="s">
        <v>304</v>
      </c>
      <c r="E606" s="0" t="s">
        <v>1644</v>
      </c>
      <c r="F606" s="0" t="s">
        <v>327</v>
      </c>
      <c r="G606" s="0" t="str">
        <f aca="false">HYPERLINK("http://clipc-services.ceda.ac.uk/dreq/u/63345d9732c72b97ca395f24ce2d6642.html","web")</f>
        <v>web</v>
      </c>
      <c r="H606" s="0" t="s">
        <v>1645</v>
      </c>
      <c r="I606" s="0" t="s">
        <v>1493</v>
      </c>
      <c r="J606" s="0" t="s">
        <v>1646</v>
      </c>
      <c r="K606" s="0" t="s">
        <v>305</v>
      </c>
    </row>
    <row r="607" customFormat="false" ht="13.8" hidden="false" customHeight="false" outlineLevel="0" collapsed="false">
      <c r="A607" s="0" t="s">
        <v>303</v>
      </c>
      <c r="B607" s="0" t="s">
        <v>1647</v>
      </c>
      <c r="C607" s="0" t="s">
        <v>31</v>
      </c>
      <c r="D607" s="0" t="s">
        <v>304</v>
      </c>
      <c r="E607" s="0" t="s">
        <v>1648</v>
      </c>
      <c r="F607" s="0" t="s">
        <v>327</v>
      </c>
      <c r="G607" s="0" t="str">
        <f aca="false">HYPERLINK("http://clipc-services.ceda.ac.uk/dreq/u/921b8b8f6620826567d9324314c70410.html","web")</f>
        <v>web</v>
      </c>
      <c r="H607" s="0" t="s">
        <v>1649</v>
      </c>
      <c r="I607" s="0" t="s">
        <v>1493</v>
      </c>
      <c r="J607" s="0" t="s">
        <v>1650</v>
      </c>
      <c r="K607" s="0" t="s">
        <v>305</v>
      </c>
    </row>
    <row r="608" customFormat="false" ht="13.8" hidden="false" customHeight="false" outlineLevel="0" collapsed="false">
      <c r="A608" s="0" t="s">
        <v>303</v>
      </c>
      <c r="B608" s="0" t="s">
        <v>1651</v>
      </c>
      <c r="C608" s="0" t="s">
        <v>31</v>
      </c>
      <c r="D608" s="0" t="s">
        <v>304</v>
      </c>
      <c r="E608" s="0" t="s">
        <v>1652</v>
      </c>
      <c r="F608" s="0" t="s">
        <v>327</v>
      </c>
      <c r="G608" s="0" t="str">
        <f aca="false">HYPERLINK("http://clipc-services.ceda.ac.uk/dreq/u/12e0369ff0ba1a6f1a84e0d9565d4b07.html","web")</f>
        <v>web</v>
      </c>
      <c r="H608" s="0" t="s">
        <v>1653</v>
      </c>
      <c r="I608" s="0" t="s">
        <v>1493</v>
      </c>
      <c r="J608" s="0" t="s">
        <v>1654</v>
      </c>
      <c r="K608" s="0" t="s">
        <v>305</v>
      </c>
    </row>
    <row r="609" customFormat="false" ht="13.8" hidden="false" customHeight="false" outlineLevel="0" collapsed="false">
      <c r="A609" s="0" t="s">
        <v>303</v>
      </c>
      <c r="B609" s="0" t="s">
        <v>1655</v>
      </c>
      <c r="C609" s="0" t="s">
        <v>31</v>
      </c>
      <c r="D609" s="0" t="s">
        <v>304</v>
      </c>
      <c r="E609" s="0" t="s">
        <v>1656</v>
      </c>
      <c r="F609" s="0" t="s">
        <v>967</v>
      </c>
      <c r="G609" s="0" t="str">
        <f aca="false">HYPERLINK("http://clipc-services.ceda.ac.uk/dreq/u/fc637f1c75e58be8a6e4112411a00f36.html","web")</f>
        <v>web</v>
      </c>
      <c r="H609" s="0" t="s">
        <v>1657</v>
      </c>
      <c r="I609" s="0" t="s">
        <v>1493</v>
      </c>
      <c r="J609" s="0" t="s">
        <v>1658</v>
      </c>
      <c r="K609" s="0" t="s">
        <v>305</v>
      </c>
    </row>
    <row r="610" customFormat="false" ht="13.8" hidden="false" customHeight="false" outlineLevel="0" collapsed="false">
      <c r="A610" s="0" t="s">
        <v>303</v>
      </c>
      <c r="B610" s="0" t="s">
        <v>1659</v>
      </c>
      <c r="C610" s="0" t="s">
        <v>31</v>
      </c>
      <c r="D610" s="0" t="s">
        <v>304</v>
      </c>
      <c r="E610" s="0" t="s">
        <v>1660</v>
      </c>
      <c r="F610" s="0" t="s">
        <v>16</v>
      </c>
      <c r="G610" s="0" t="str">
        <f aca="false">HYPERLINK("http://clipc-services.ceda.ac.uk/dreq/u/7c2249d424dde72f8616d42870a9d425.html","web")</f>
        <v>web</v>
      </c>
      <c r="H610" s="0" t="s">
        <v>1661</v>
      </c>
      <c r="I610" s="0" t="s">
        <v>1493</v>
      </c>
      <c r="J610" s="0" t="s">
        <v>1662</v>
      </c>
      <c r="K610" s="0" t="s">
        <v>305</v>
      </c>
    </row>
    <row r="611" customFormat="false" ht="13.8" hidden="false" customHeight="false" outlineLevel="0" collapsed="false">
      <c r="A611" s="0" t="s">
        <v>303</v>
      </c>
      <c r="B611" s="0" t="s">
        <v>1663</v>
      </c>
      <c r="C611" s="0" t="s">
        <v>31</v>
      </c>
      <c r="D611" s="0" t="s">
        <v>304</v>
      </c>
      <c r="E611" s="0" t="s">
        <v>1664</v>
      </c>
      <c r="F611" s="0" t="s">
        <v>967</v>
      </c>
      <c r="G611" s="0" t="str">
        <f aca="false">HYPERLINK("http://clipc-services.ceda.ac.uk/dreq/u/80a1dd605b563e9f09c718a5ba9cb9cc.html","web")</f>
        <v>web</v>
      </c>
      <c r="H611" s="0" t="s">
        <v>1665</v>
      </c>
      <c r="I611" s="0" t="s">
        <v>1493</v>
      </c>
      <c r="J611" s="0" t="s">
        <v>1666</v>
      </c>
      <c r="K611" s="0" t="s">
        <v>305</v>
      </c>
    </row>
    <row r="612" customFormat="false" ht="13.8" hidden="false" customHeight="false" outlineLevel="0" collapsed="false">
      <c r="A612" s="0" t="s">
        <v>303</v>
      </c>
      <c r="B612" s="0" t="s">
        <v>1667</v>
      </c>
      <c r="C612" s="0" t="s">
        <v>31</v>
      </c>
      <c r="D612" s="0" t="s">
        <v>304</v>
      </c>
      <c r="E612" s="0" t="s">
        <v>1668</v>
      </c>
      <c r="F612" s="0" t="s">
        <v>967</v>
      </c>
      <c r="G612" s="0" t="str">
        <f aca="false">HYPERLINK("http://clipc-services.ceda.ac.uk/dreq/u/73c496f5669cc122cf1cddfe4df2a27a.html","web")</f>
        <v>web</v>
      </c>
      <c r="H612" s="0" t="s">
        <v>1669</v>
      </c>
      <c r="I612" s="0" t="s">
        <v>1493</v>
      </c>
      <c r="J612" s="0" t="s">
        <v>1670</v>
      </c>
      <c r="K612" s="0" t="s">
        <v>305</v>
      </c>
    </row>
    <row r="613" customFormat="false" ht="13.8" hidden="false" customHeight="false" outlineLevel="0" collapsed="false">
      <c r="A613" s="0" t="s">
        <v>303</v>
      </c>
      <c r="B613" s="0" t="s">
        <v>1671</v>
      </c>
      <c r="C613" s="0" t="s">
        <v>31</v>
      </c>
      <c r="D613" s="0" t="s">
        <v>304</v>
      </c>
      <c r="E613" s="0" t="s">
        <v>1672</v>
      </c>
      <c r="F613" s="0" t="s">
        <v>327</v>
      </c>
      <c r="G613" s="0" t="str">
        <f aca="false">HYPERLINK("http://clipc-services.ceda.ac.uk/dreq/u/26328c46dfcc65d454b6fd4c52ccb48f.html","web")</f>
        <v>web</v>
      </c>
      <c r="H613" s="0" t="s">
        <v>1673</v>
      </c>
      <c r="I613" s="0" t="s">
        <v>1493</v>
      </c>
      <c r="J613" s="0" t="s">
        <v>1674</v>
      </c>
      <c r="K613" s="0" t="s">
        <v>305</v>
      </c>
    </row>
    <row r="614" customFormat="false" ht="13.8" hidden="false" customHeight="false" outlineLevel="0" collapsed="false">
      <c r="A614" s="0" t="s">
        <v>303</v>
      </c>
      <c r="B614" s="0" t="s">
        <v>1675</v>
      </c>
      <c r="C614" s="0" t="s">
        <v>31</v>
      </c>
      <c r="D614" s="0" t="s">
        <v>304</v>
      </c>
      <c r="E614" s="0" t="s">
        <v>1676</v>
      </c>
      <c r="F614" s="0" t="s">
        <v>137</v>
      </c>
      <c r="G614" s="0" t="str">
        <f aca="false">HYPERLINK("http://clipc-services.ceda.ac.uk/dreq/u/cc1b9e3073d751143fe8ab63ca9fcc45.html","web")</f>
        <v>web</v>
      </c>
      <c r="H614" s="0" t="s">
        <v>1677</v>
      </c>
      <c r="I614" s="0" t="s">
        <v>1493</v>
      </c>
      <c r="J614" s="0" t="s">
        <v>1678</v>
      </c>
      <c r="K614" s="0" t="s">
        <v>305</v>
      </c>
    </row>
    <row r="615" customFormat="false" ht="13.8" hidden="false" customHeight="false" outlineLevel="0" collapsed="false">
      <c r="A615" s="0" t="s">
        <v>303</v>
      </c>
      <c r="B615" s="0" t="s">
        <v>1679</v>
      </c>
      <c r="C615" s="0" t="s">
        <v>31</v>
      </c>
      <c r="D615" s="0" t="s">
        <v>304</v>
      </c>
      <c r="E615" s="0" t="s">
        <v>1680</v>
      </c>
      <c r="F615" s="0" t="s">
        <v>137</v>
      </c>
      <c r="G615" s="0" t="str">
        <f aca="false">HYPERLINK("http://clipc-services.ceda.ac.uk/dreq/u/299fb9d19040c4aa3862644286261ad2.html","web")</f>
        <v>web</v>
      </c>
      <c r="H615" s="0" t="s">
        <v>1681</v>
      </c>
      <c r="I615" s="0" t="s">
        <v>1493</v>
      </c>
      <c r="J615" s="0" t="s">
        <v>1682</v>
      </c>
      <c r="K615" s="0" t="s">
        <v>305</v>
      </c>
    </row>
    <row r="616" customFormat="false" ht="13.8" hidden="false" customHeight="false" outlineLevel="0" collapsed="false">
      <c r="A616" s="0" t="s">
        <v>303</v>
      </c>
      <c r="B616" s="0" t="s">
        <v>1683</v>
      </c>
      <c r="C616" s="0" t="s">
        <v>31</v>
      </c>
      <c r="D616" s="0" t="s">
        <v>312</v>
      </c>
      <c r="E616" s="0" t="s">
        <v>1684</v>
      </c>
      <c r="F616" s="0" t="s">
        <v>357</v>
      </c>
      <c r="G616" s="0" t="n">
        <v>0</v>
      </c>
      <c r="H616" s="0" t="s">
        <v>1685</v>
      </c>
      <c r="I616" s="0" t="s">
        <v>359</v>
      </c>
      <c r="J616" s="0" t="s">
        <v>1684</v>
      </c>
      <c r="K616" s="0" t="s">
        <v>305</v>
      </c>
    </row>
    <row r="617" customFormat="false" ht="13.8" hidden="false" customHeight="false" outlineLevel="0" collapsed="false">
      <c r="A617" s="0" t="s">
        <v>303</v>
      </c>
      <c r="B617" s="0" t="s">
        <v>1686</v>
      </c>
      <c r="C617" s="0" t="s">
        <v>31</v>
      </c>
      <c r="D617" s="0" t="s">
        <v>312</v>
      </c>
      <c r="E617" s="0" t="s">
        <v>1687</v>
      </c>
      <c r="F617" s="0" t="s">
        <v>357</v>
      </c>
      <c r="G617" s="0" t="n">
        <v>0</v>
      </c>
      <c r="H617" s="0" t="s">
        <v>1688</v>
      </c>
      <c r="I617" s="0" t="s">
        <v>359</v>
      </c>
      <c r="J617" s="0" t="s">
        <v>1689</v>
      </c>
      <c r="K617" s="0" t="s">
        <v>305</v>
      </c>
    </row>
    <row r="618" customFormat="false" ht="13.8" hidden="false" customHeight="false" outlineLevel="0" collapsed="false">
      <c r="A618" s="0" t="s">
        <v>303</v>
      </c>
      <c r="B618" s="0" t="s">
        <v>1690</v>
      </c>
      <c r="C618" s="0" t="s">
        <v>31</v>
      </c>
      <c r="D618" s="0" t="s">
        <v>312</v>
      </c>
      <c r="E618" s="0" t="s">
        <v>1691</v>
      </c>
      <c r="F618" s="0" t="s">
        <v>357</v>
      </c>
      <c r="G618" s="0" t="n">
        <v>0</v>
      </c>
      <c r="H618" s="0" t="s">
        <v>1692</v>
      </c>
      <c r="I618" s="0" t="s">
        <v>359</v>
      </c>
      <c r="J618" s="0" t="s">
        <v>1693</v>
      </c>
      <c r="K618" s="0" t="s">
        <v>305</v>
      </c>
    </row>
    <row r="619" customFormat="false" ht="13.8" hidden="false" customHeight="false" outlineLevel="0" collapsed="false">
      <c r="A619" s="0" t="s">
        <v>303</v>
      </c>
      <c r="B619" s="0" t="s">
        <v>1694</v>
      </c>
      <c r="C619" s="0" t="s">
        <v>31</v>
      </c>
      <c r="D619" s="0" t="s">
        <v>312</v>
      </c>
      <c r="E619" s="0" t="s">
        <v>1695</v>
      </c>
      <c r="F619" s="0" t="s">
        <v>370</v>
      </c>
      <c r="G619" s="0" t="n">
        <v>0</v>
      </c>
      <c r="H619" s="0" t="s">
        <v>1696</v>
      </c>
      <c r="I619" s="0" t="s">
        <v>359</v>
      </c>
      <c r="J619" s="0" t="s">
        <v>1689</v>
      </c>
      <c r="K619" s="0" t="s">
        <v>305</v>
      </c>
    </row>
    <row r="620" customFormat="false" ht="13.8" hidden="false" customHeight="false" outlineLevel="0" collapsed="false">
      <c r="A620" s="0" t="s">
        <v>303</v>
      </c>
      <c r="B620" s="0" t="s">
        <v>1697</v>
      </c>
      <c r="C620" s="0" t="s">
        <v>31</v>
      </c>
      <c r="D620" s="0" t="s">
        <v>312</v>
      </c>
      <c r="E620" s="0" t="s">
        <v>1698</v>
      </c>
      <c r="F620" s="0" t="s">
        <v>370</v>
      </c>
      <c r="G620" s="0" t="n">
        <v>0</v>
      </c>
      <c r="H620" s="0" t="s">
        <v>1699</v>
      </c>
      <c r="I620" s="0" t="s">
        <v>359</v>
      </c>
      <c r="J620" s="0" t="s">
        <v>1700</v>
      </c>
      <c r="K620" s="0" t="s">
        <v>305</v>
      </c>
    </row>
    <row r="621" customFormat="false" ht="13.8" hidden="false" customHeight="false" outlineLevel="0" collapsed="false">
      <c r="A621" s="0" t="s">
        <v>303</v>
      </c>
      <c r="B621" s="0" t="s">
        <v>368</v>
      </c>
      <c r="C621" s="0" t="s">
        <v>31</v>
      </c>
      <c r="D621" s="0" t="s">
        <v>312</v>
      </c>
      <c r="E621" s="0" t="s">
        <v>369</v>
      </c>
      <c r="F621" s="0" t="s">
        <v>370</v>
      </c>
      <c r="G621" s="0" t="s">
        <v>1701</v>
      </c>
      <c r="H621" s="0" t="s">
        <v>371</v>
      </c>
      <c r="I621" s="0" t="s">
        <v>359</v>
      </c>
      <c r="J621" s="0" t="s">
        <v>369</v>
      </c>
      <c r="K621" s="0" t="s">
        <v>305</v>
      </c>
    </row>
    <row r="622" customFormat="false" ht="13.8" hidden="false" customHeight="false" outlineLevel="0" collapsed="false">
      <c r="A622" s="0" t="s">
        <v>303</v>
      </c>
      <c r="B622" s="0" t="s">
        <v>1702</v>
      </c>
      <c r="C622" s="0" t="s">
        <v>31</v>
      </c>
      <c r="D622" s="0" t="s">
        <v>1703</v>
      </c>
      <c r="E622" s="0" t="s">
        <v>1704</v>
      </c>
      <c r="F622" s="0" t="s">
        <v>1705</v>
      </c>
      <c r="G622" s="0" t="s">
        <v>1701</v>
      </c>
      <c r="H622" s="0" t="s">
        <v>1706</v>
      </c>
      <c r="I622" s="0" t="s">
        <v>226</v>
      </c>
      <c r="J622" s="0" t="s">
        <v>1707</v>
      </c>
      <c r="K622" s="0" t="s">
        <v>305</v>
      </c>
    </row>
    <row r="623" customFormat="false" ht="13.8" hidden="false" customHeight="false" outlineLevel="0" collapsed="false">
      <c r="A623" s="0" t="s">
        <v>303</v>
      </c>
      <c r="B623" s="0" t="s">
        <v>1708</v>
      </c>
      <c r="C623" s="0" t="s">
        <v>31</v>
      </c>
      <c r="D623" s="0" t="s">
        <v>1703</v>
      </c>
      <c r="E623" s="0" t="s">
        <v>1709</v>
      </c>
      <c r="F623" s="0" t="s">
        <v>1710</v>
      </c>
      <c r="G623" s="0" t="s">
        <v>1701</v>
      </c>
      <c r="H623" s="0" t="s">
        <v>1706</v>
      </c>
      <c r="I623" s="0" t="s">
        <v>226</v>
      </c>
      <c r="J623" s="0" t="s">
        <v>1711</v>
      </c>
      <c r="K623" s="0" t="s">
        <v>305</v>
      </c>
    </row>
    <row r="626" customFormat="false" ht="13.8" hidden="false" customHeight="false" outlineLevel="0" collapsed="false">
      <c r="A626" s="0" t="s">
        <v>1019</v>
      </c>
      <c r="B626" s="0" t="s">
        <v>1712</v>
      </c>
      <c r="C626" s="0" t="s">
        <v>31</v>
      </c>
      <c r="D626" s="0" t="s">
        <v>135</v>
      </c>
      <c r="E626" s="0" t="s">
        <v>1713</v>
      </c>
      <c r="F626" s="0" t="s">
        <v>137</v>
      </c>
      <c r="G626" s="0" t="str">
        <f aca="false">HYPERLINK("http://clipc-services.ceda.ac.uk/dreq/u/89c4bb4f45a0182fc00a1b86b13241a5.html","web")</f>
        <v>web</v>
      </c>
      <c r="H626" s="0" t="s">
        <v>1714</v>
      </c>
      <c r="I626" s="0" t="s">
        <v>1715</v>
      </c>
      <c r="J626" s="0" t="s">
        <v>1716</v>
      </c>
      <c r="K626" s="0" t="s">
        <v>981</v>
      </c>
    </row>
    <row r="627" customFormat="false" ht="13.8" hidden="false" customHeight="false" outlineLevel="0" collapsed="false">
      <c r="A627" s="0" t="s">
        <v>1019</v>
      </c>
      <c r="B627" s="0" t="s">
        <v>1717</v>
      </c>
      <c r="C627" s="0" t="s">
        <v>31</v>
      </c>
      <c r="D627" s="0" t="s">
        <v>135</v>
      </c>
      <c r="E627" s="0" t="s">
        <v>1718</v>
      </c>
      <c r="F627" s="0" t="s">
        <v>137</v>
      </c>
      <c r="G627" s="0" t="str">
        <f aca="false">HYPERLINK("http://clipc-services.ceda.ac.uk/dreq/u/2d38bda3114d03f7543b8af88aadd03a.html","web")</f>
        <v>web</v>
      </c>
      <c r="H627" s="0" t="s">
        <v>1714</v>
      </c>
      <c r="I627" s="0" t="s">
        <v>1715</v>
      </c>
      <c r="J627" s="0" t="s">
        <v>1719</v>
      </c>
      <c r="K627" s="0" t="s">
        <v>981</v>
      </c>
    </row>
    <row r="628" customFormat="false" ht="13.8" hidden="false" customHeight="false" outlineLevel="0" collapsed="false">
      <c r="A628" s="0" t="s">
        <v>1019</v>
      </c>
      <c r="B628" s="0" t="s">
        <v>1720</v>
      </c>
      <c r="C628" s="0" t="s">
        <v>31</v>
      </c>
      <c r="D628" s="0" t="s">
        <v>135</v>
      </c>
      <c r="E628" s="0" t="s">
        <v>1721</v>
      </c>
      <c r="F628" s="0" t="s">
        <v>137</v>
      </c>
      <c r="G628" s="0" t="str">
        <f aca="false">HYPERLINK("http://clipc-services.ceda.ac.uk/dreq/u/93723bb54a2c43450d75403102e618ac.html","web")</f>
        <v>web</v>
      </c>
      <c r="H628" s="0" t="s">
        <v>1714</v>
      </c>
      <c r="I628" s="0" t="s">
        <v>1715</v>
      </c>
      <c r="J628" s="0" t="s">
        <v>1722</v>
      </c>
      <c r="K628" s="0" t="s">
        <v>981</v>
      </c>
    </row>
    <row r="630" s="3" customFormat="true" ht="13.8" hidden="false" customHeight="false" outlineLevel="0" collapsed="false">
      <c r="A630" s="3" t="s">
        <v>949</v>
      </c>
      <c r="B630" s="3" t="s">
        <v>1723</v>
      </c>
      <c r="C630" s="3" t="s">
        <v>13</v>
      </c>
      <c r="D630" s="3" t="s">
        <v>956</v>
      </c>
      <c r="E630" s="3" t="s">
        <v>1724</v>
      </c>
      <c r="F630" s="3" t="s">
        <v>24</v>
      </c>
      <c r="G630" s="3" t="str">
        <f aca="false">HYPERLINK("http://clipc-services.ceda.ac.uk/dreq/u/5aea9677ebbb40076a0e0b3b11fdb46f.html","web")</f>
        <v>web</v>
      </c>
      <c r="H630" s="3" t="s">
        <v>1725</v>
      </c>
      <c r="I630" s="3" t="s">
        <v>1726</v>
      </c>
      <c r="J630" s="3" t="s">
        <v>1727</v>
      </c>
      <c r="K630" s="3" t="s">
        <v>1728</v>
      </c>
    </row>
    <row r="631" s="3" customFormat="true" ht="13.8" hidden="false" customHeight="false" outlineLevel="0" collapsed="false">
      <c r="A631" s="3" t="s">
        <v>949</v>
      </c>
      <c r="B631" s="3" t="s">
        <v>1729</v>
      </c>
      <c r="C631" s="3" t="s">
        <v>31</v>
      </c>
      <c r="D631" s="3" t="s">
        <v>956</v>
      </c>
      <c r="E631" s="3" t="s">
        <v>1730</v>
      </c>
      <c r="F631" s="3" t="s">
        <v>967</v>
      </c>
      <c r="G631" s="3" t="str">
        <f aca="false">HYPERLINK("http://clipc-services.ceda.ac.uk/dreq/u/9122e7b627c429163fd0857dc366e14e.html","web")</f>
        <v>web</v>
      </c>
      <c r="H631" s="3" t="s">
        <v>1731</v>
      </c>
      <c r="I631" s="3" t="s">
        <v>1726</v>
      </c>
      <c r="J631" s="3" t="s">
        <v>1732</v>
      </c>
      <c r="K631" s="3" t="s">
        <v>1733</v>
      </c>
    </row>
    <row r="632" s="3" customFormat="true" ht="13.8" hidden="false" customHeight="false" outlineLevel="0" collapsed="false"/>
    <row r="633" s="3" customFormat="true" ht="13.8" hidden="false" customHeight="false" outlineLevel="0" collapsed="false">
      <c r="A633" s="0" t="s">
        <v>964</v>
      </c>
      <c r="B633" s="3" t="s">
        <v>1734</v>
      </c>
      <c r="C633" s="3" t="s">
        <v>31</v>
      </c>
      <c r="D633" s="3" t="s">
        <v>135</v>
      </c>
      <c r="E633" s="3" t="s">
        <v>1735</v>
      </c>
      <c r="F633" s="3" t="s">
        <v>137</v>
      </c>
      <c r="G633" s="3" t="str">
        <f aca="false">HYPERLINK("http://clipc-services.ceda.ac.uk/dreq/u/26a31ad76858198bd4d719aafeebe801.html","web")</f>
        <v>web</v>
      </c>
      <c r="H633" s="3" t="s">
        <v>1117</v>
      </c>
      <c r="I633" s="3" t="s">
        <v>1736</v>
      </c>
      <c r="J633" s="3" t="s">
        <v>1737</v>
      </c>
      <c r="K633" s="3" t="s">
        <v>1738</v>
      </c>
    </row>
    <row r="634" s="3" customFormat="true" ht="13.8" hidden="false" customHeight="false" outlineLevel="0" collapsed="false">
      <c r="A634" s="0"/>
    </row>
    <row r="635" s="3" customFormat="true" ht="13.8" hidden="false" customHeight="false" outlineLevel="0" collapsed="false">
      <c r="A635" s="3" t="s">
        <v>845</v>
      </c>
      <c r="B635" s="3" t="s">
        <v>1739</v>
      </c>
      <c r="C635" s="3" t="s">
        <v>31</v>
      </c>
      <c r="D635" s="3" t="s">
        <v>868</v>
      </c>
      <c r="E635" s="3" t="s">
        <v>1740</v>
      </c>
      <c r="F635" s="3" t="s">
        <v>714</v>
      </c>
      <c r="G635" s="3" t="str">
        <f aca="false">HYPERLINK("http://clipc-services.ceda.ac.uk/dreq/u/1d4594c97188efd47935238a429e02e4.html","web")</f>
        <v>web</v>
      </c>
      <c r="H635" s="3" t="s">
        <v>1741</v>
      </c>
      <c r="I635" s="3" t="s">
        <v>1742</v>
      </c>
      <c r="J635" s="3" t="s">
        <v>727</v>
      </c>
      <c r="K635" s="3" t="s">
        <v>851</v>
      </c>
    </row>
    <row r="636" s="3" customFormat="true" ht="13.8" hidden="false" customHeight="false" outlineLevel="0" collapsed="false"/>
    <row r="637" s="3" customFormat="true" ht="13.8" hidden="false" customHeight="false" outlineLevel="0" collapsed="false">
      <c r="A637" s="3" t="s">
        <v>720</v>
      </c>
      <c r="B637" s="3" t="s">
        <v>1743</v>
      </c>
      <c r="C637" s="3" t="s">
        <v>31</v>
      </c>
      <c r="D637" s="3" t="s">
        <v>730</v>
      </c>
      <c r="E637" s="3" t="s">
        <v>1740</v>
      </c>
      <c r="F637" s="3" t="s">
        <v>714</v>
      </c>
      <c r="G637" s="3" t="str">
        <f aca="false">HYPERLINK("http://clipc-services.ceda.ac.uk/dreq/u/1d4594c97188efd47935238a429e02e4.html","web")</f>
        <v>web</v>
      </c>
      <c r="H637" s="3" t="s">
        <v>1744</v>
      </c>
      <c r="I637" s="3" t="s">
        <v>1742</v>
      </c>
      <c r="J637" s="3" t="s">
        <v>727</v>
      </c>
      <c r="K637" s="3" t="s">
        <v>721</v>
      </c>
    </row>
    <row r="638" customFormat="false" ht="13.8" hidden="false" customHeight="false" outlineLevel="0" collapsed="false">
      <c r="A638" s="0" t="s">
        <v>720</v>
      </c>
      <c r="B638" s="0" t="s">
        <v>1745</v>
      </c>
      <c r="C638" s="0" t="s">
        <v>31</v>
      </c>
      <c r="D638" s="0" t="s">
        <v>730</v>
      </c>
      <c r="E638" s="0" t="s">
        <v>1746</v>
      </c>
      <c r="F638" s="0" t="s">
        <v>714</v>
      </c>
      <c r="G638" s="0" t="n">
        <v>0</v>
      </c>
      <c r="H638" s="0" t="s">
        <v>1747</v>
      </c>
      <c r="I638" s="0" t="s">
        <v>1493</v>
      </c>
      <c r="J638" s="0" t="s">
        <v>727</v>
      </c>
      <c r="K638" s="0" t="s">
        <v>728</v>
      </c>
    </row>
    <row r="639" customFormat="false" ht="13.8" hidden="false" customHeight="false" outlineLevel="0" collapsed="false">
      <c r="A639" s="0" t="s">
        <v>720</v>
      </c>
      <c r="B639" s="0" t="s">
        <v>1748</v>
      </c>
      <c r="C639" s="0" t="s">
        <v>31</v>
      </c>
      <c r="D639" s="0" t="s">
        <v>739</v>
      </c>
      <c r="E639" s="0" t="s">
        <v>1749</v>
      </c>
      <c r="F639" s="0" t="s">
        <v>752</v>
      </c>
      <c r="G639" s="0" t="n">
        <v>0</v>
      </c>
      <c r="H639" s="0" t="s">
        <v>1747</v>
      </c>
      <c r="I639" s="0" t="s">
        <v>1493</v>
      </c>
      <c r="J639" s="0" t="s">
        <v>1749</v>
      </c>
      <c r="K639" s="0" t="s">
        <v>728</v>
      </c>
    </row>
    <row r="642" customFormat="false" ht="13.8" hidden="false" customHeight="false" outlineLevel="0" collapsed="false">
      <c r="A642" s="0" t="s">
        <v>436</v>
      </c>
      <c r="B642" s="0" t="s">
        <v>368</v>
      </c>
      <c r="C642" s="0" t="s">
        <v>31</v>
      </c>
      <c r="D642" s="0" t="s">
        <v>438</v>
      </c>
      <c r="E642" s="0" t="s">
        <v>369</v>
      </c>
      <c r="F642" s="0" t="s">
        <v>370</v>
      </c>
      <c r="G642" s="0" t="str">
        <f aca="false">HYPERLINK("http://clipc-services.ceda.ac.uk/dreq/u/c8b1814845661bcad37910e70a59b285.html","web")</f>
        <v>web</v>
      </c>
      <c r="H642" s="0" t="s">
        <v>371</v>
      </c>
      <c r="I642" s="0" t="s">
        <v>359</v>
      </c>
      <c r="J642" s="0" t="s">
        <v>369</v>
      </c>
      <c r="K642" s="0" t="s">
        <v>441</v>
      </c>
    </row>
    <row r="643" customFormat="false" ht="13.8" hidden="false" customHeight="false" outlineLevel="0" collapsed="false">
      <c r="A643" s="0" t="s">
        <v>915</v>
      </c>
      <c r="B643" s="0" t="s">
        <v>368</v>
      </c>
      <c r="C643" s="0" t="s">
        <v>49</v>
      </c>
      <c r="D643" s="0" t="s">
        <v>868</v>
      </c>
      <c r="E643" s="0" t="s">
        <v>369</v>
      </c>
      <c r="F643" s="0" t="s">
        <v>370</v>
      </c>
      <c r="G643" s="0" t="str">
        <f aca="false">HYPERLINK("http://clipc-services.ceda.ac.uk/dreq/u/c8b1814845661bcad37910e70a59b285.html","web")</f>
        <v>web</v>
      </c>
      <c r="H643" s="0" t="s">
        <v>371</v>
      </c>
      <c r="I643" s="0" t="s">
        <v>359</v>
      </c>
      <c r="J643" s="0" t="s">
        <v>369</v>
      </c>
      <c r="K643" s="0" t="s">
        <v>711</v>
      </c>
    </row>
    <row r="644" customFormat="false" ht="13.8" hidden="false" customHeight="false" outlineLevel="0" collapsed="false">
      <c r="A644" s="0" t="s">
        <v>915</v>
      </c>
      <c r="B644" s="0" t="s">
        <v>1683</v>
      </c>
      <c r="C644" s="0" t="s">
        <v>49</v>
      </c>
      <c r="D644" s="0" t="s">
        <v>868</v>
      </c>
      <c r="E644" s="0" t="s">
        <v>1684</v>
      </c>
      <c r="F644" s="0" t="s">
        <v>357</v>
      </c>
      <c r="G644" s="0" t="str">
        <f aca="false">HYPERLINK("http://clipc-services.ceda.ac.uk/dreq/u/2a6093caf9e5cd42fb2fba6bdb73d6db.html","web")</f>
        <v>web</v>
      </c>
      <c r="H644" s="0" t="s">
        <v>1685</v>
      </c>
      <c r="I644" s="0" t="s">
        <v>359</v>
      </c>
      <c r="J644" s="0" t="s">
        <v>1684</v>
      </c>
      <c r="K644" s="0" t="s">
        <v>711</v>
      </c>
    </row>
    <row r="646" s="3" customFormat="true" ht="13.8" hidden="false" customHeight="false" outlineLevel="0" collapsed="false">
      <c r="A646" s="3" t="s">
        <v>1028</v>
      </c>
      <c r="B646" s="3" t="s">
        <v>1115</v>
      </c>
      <c r="C646" s="3" t="s">
        <v>31</v>
      </c>
      <c r="D646" s="3" t="s">
        <v>135</v>
      </c>
      <c r="E646" s="3" t="s">
        <v>1116</v>
      </c>
      <c r="F646" s="3" t="s">
        <v>137</v>
      </c>
      <c r="G646" s="3" t="str">
        <f aca="false">HYPERLINK("http://clipc-services.ceda.ac.uk/dreq/u/5917a796-9e49-11e5-803c-0d0b866b59f3.html","web")</f>
        <v>web</v>
      </c>
      <c r="H646" s="0" t="s">
        <v>1117</v>
      </c>
      <c r="I646" s="0" t="s">
        <v>1118</v>
      </c>
      <c r="J646" s="3" t="s">
        <v>1119</v>
      </c>
      <c r="K646" s="3" t="s">
        <v>1063</v>
      </c>
    </row>
    <row r="648" customFormat="false" ht="13.8" hidden="false" customHeight="false" outlineLevel="0" collapsed="false">
      <c r="A648" s="0" t="s">
        <v>1019</v>
      </c>
      <c r="B648" s="0" t="s">
        <v>1024</v>
      </c>
      <c r="C648" s="0" t="s">
        <v>31</v>
      </c>
      <c r="D648" s="0" t="s">
        <v>135</v>
      </c>
      <c r="E648" s="0" t="s">
        <v>1025</v>
      </c>
      <c r="F648" s="0" t="s">
        <v>137</v>
      </c>
      <c r="G648" s="0" t="str">
        <f aca="false">HYPERLINK("http://clipc-services.ceda.ac.uk/dreq/u/5917e2ba-9e49-11e5-803c-0d0b866b59f3.html","web")</f>
        <v>web</v>
      </c>
      <c r="H648" s="0" t="s">
        <v>1026</v>
      </c>
      <c r="I648" s="0" t="s">
        <v>36</v>
      </c>
      <c r="J648" s="0" t="s">
        <v>759</v>
      </c>
      <c r="K648" s="0" t="s">
        <v>1027</v>
      </c>
    </row>
    <row r="649" s="3" customFormat="true" ht="13.8" hidden="false" customHeight="false" outlineLevel="0" collapsed="false">
      <c r="A649" s="3" t="s">
        <v>964</v>
      </c>
      <c r="B649" s="3" t="s">
        <v>1024</v>
      </c>
      <c r="C649" s="3" t="s">
        <v>31</v>
      </c>
      <c r="D649" s="3" t="s">
        <v>135</v>
      </c>
      <c r="E649" s="3" t="s">
        <v>1750</v>
      </c>
      <c r="F649" s="3" t="s">
        <v>137</v>
      </c>
      <c r="G649" s="3" t="str">
        <f aca="false">HYPERLINK("http://clipc-services.ceda.ac.uk/dreq/u/5917e2ba-9e49-11e5-803c-0d0b866b59f3.html","web")</f>
        <v>web</v>
      </c>
      <c r="H649" s="0" t="s">
        <v>1026</v>
      </c>
      <c r="I649" s="3" t="s">
        <v>36</v>
      </c>
      <c r="J649" s="3" t="s">
        <v>759</v>
      </c>
      <c r="K649" s="3" t="s">
        <v>1027</v>
      </c>
    </row>
    <row r="652" customFormat="false" ht="13.8" hidden="false" customHeight="false" outlineLevel="0" collapsed="false">
      <c r="A652" s="0" t="s">
        <v>494</v>
      </c>
      <c r="B652" s="0" t="s">
        <v>1751</v>
      </c>
      <c r="C652" s="0" t="s">
        <v>13</v>
      </c>
      <c r="D652" s="0" t="s">
        <v>135</v>
      </c>
      <c r="E652" s="0" t="s">
        <v>1752</v>
      </c>
      <c r="F652" s="0" t="s">
        <v>137</v>
      </c>
      <c r="G652" s="0" t="str">
        <f aca="false">HYPERLINK("http://clipc-services.ceda.ac.uk/dreq/u/5912cab4-9e49-11e5-803c-0d0b866b59f3.html","web")</f>
        <v>web</v>
      </c>
      <c r="H652" s="0" t="s">
        <v>1753</v>
      </c>
      <c r="I652" s="0" t="s">
        <v>1754</v>
      </c>
      <c r="J652" s="0" t="s">
        <v>759</v>
      </c>
      <c r="K652" s="0" t="s">
        <v>604</v>
      </c>
    </row>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2019-04-16T15:20:44Z</dcterms:created>
  <dc:creator/>
  <dc:description/>
  <dc:language>en-US</dc:language>
  <cp:lastModifiedBy/>
  <dcterms:modified xsi:type="dcterms:W3CDTF">2019-04-16T22:16:29Z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