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<sst xmlns="http://schemas.openxmlformats.org/spreadsheetml/2006/main" count="4879" uniqueCount="1450">
  <si>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</si>
  <si>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</si>
  <si>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</si>
  <si>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</si>
  <si>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</si>
  <si>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</si>
  <si>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</si>
  <si>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</si>
  <si>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</si>
  <si>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</si>
  <si>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</si>
  <si>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</si>
  <si>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vegHeight</t>
  </si>
  <si>
    <t xml:space="preserve">2</t>
  </si>
  <si>
    <t xml:space="preserve">longitude latitude</t>
  </si>
  <si>
    <t xml:space="preserve">Height of the Vegetation Canopy</t>
  </si>
  <si>
    <t xml:space="preserve">m</t>
  </si>
  <si>
    <t xml:space="preserve">Can not be produced by LPJ-GUESS: Only tree that has a height</t>
  </si>
  <si>
    <t xml:space="preserve">David Warlind</t>
  </si>
  <si>
    <t xml:space="preserve">Vegetation height averaged over all vegetation types and over the vegetated fraction of a grid cell.</t>
  </si>
  <si>
    <t xml:space="preserve">CMIP,DCPP,PAMIP,PMIP</t>
  </si>
  <si>
    <t xml:space="preserve">sftflf</t>
  </si>
  <si>
    <t xml:space="preserve">longitude latitude typefis</t>
  </si>
  <si>
    <t xml:space="preserve">Floating Ice Shelf Area Percentage</t>
  </si>
  <si>
    <t xml:space="preserve">%</t>
  </si>
  <si>
    <t xml:space="preserve">Not available in LIM</t>
  </si>
  <si>
    <t xml:space="preserve">David Docquier, Thomas</t>
  </si>
  <si>
    <t xml:space="preserve">Fraction of grid cell covered by floating ice shelf, the component of the ice sheet that is flowing over sea water</t>
  </si>
  <si>
    <t xml:space="preserve">CMIP,ISMIP6</t>
  </si>
  <si>
    <t xml:space="preserve">6hrLev</t>
  </si>
  <si>
    <t xml:space="preserve">bs550aer</t>
  </si>
  <si>
    <t xml:space="preserve">1</t>
  </si>
  <si>
    <t xml:space="preserve">longitude latitude time lambda550nm scatter180</t>
  </si>
  <si>
    <t xml:space="preserve">Aerosol Backscatter Coefficient</t>
  </si>
  <si>
    <t xml:space="preserve">m-1 sr-1</t>
  </si>
  <si>
    <t xml:space="preserve">Not available in IFS, neither in TM5.</t>
  </si>
  <si>
    <t xml:space="preserve">Twan &amp; Thomas</t>
  </si>
  <si>
    <t xml:space="preserve">Aerosol  Backscatter at 550nm and 180 degrees, computed from extinction and lidar ratio</t>
  </si>
  <si>
    <t xml:space="preserve">AerChemMIP</t>
  </si>
  <si>
    <t xml:space="preserve">Oyr</t>
  </si>
  <si>
    <t xml:space="preserve">dissicnat</t>
  </si>
  <si>
    <t xml:space="preserve">longitude latitude olevel time</t>
  </si>
  <si>
    <t xml:space="preserve">Natural Dissolved Inorganic Carbon Concentration</t>
  </si>
  <si>
    <t xml:space="preserve">mol m-3</t>
  </si>
  <si>
    <t xml:space="preserve">Will be only for OMIP manually added: DIC_E3T/e3t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</si>
  <si>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Raffaele Bernardello</t>
  </si>
  <si>
    <t xml:space="preserve">Dissolved inorganic carbon (CO3+HCO3+H2CO3) concentration at preindustrial atmospheric xCO2</t>
  </si>
  <si>
    <t xml:space="preserve">AerChemMIP,CMIP,GeoMIP,LUMIP,OMIP</t>
  </si>
  <si>
    <t xml:space="preserve">dissicabio</t>
  </si>
  <si>
    <t xml:space="preserve">Abiotic Dissolved Inorganic Carbon Concentration</t>
  </si>
  <si>
    <t xml:space="preserve">Not available in PISCES</t>
  </si>
  <si>
    <t xml:space="preserve">Abiotic Dissolved inorganic carbon (CO3+HCO3+H2CO3) concentration</t>
  </si>
  <si>
    <t xml:space="preserve">dissi14cabio</t>
  </si>
  <si>
    <t xml:space="preserve">Abiotic Dissolved Inorganic Carbon-14 Concentration</t>
  </si>
  <si>
    <t xml:space="preserve">Not available</t>
  </si>
  <si>
    <t xml:space="preserve">Abiotic Dissolved inorganic carbon-14 (CO3+HCO3+H2CO3) concentration</t>
  </si>
  <si>
    <t xml:space="preserve">dissi13c</t>
  </si>
  <si>
    <t xml:space="preserve">Dissolved Inorganic Carbon-13 Concentration</t>
  </si>
  <si>
    <t xml:space="preserve">Dissolved inorganic carbon-13 (CO3+HCO3+H2CO3) concentration</t>
  </si>
  <si>
    <t xml:space="preserve">bacc</t>
  </si>
  <si>
    <t xml:space="preserve">3</t>
  </si>
  <si>
    <t xml:space="preserve">Bacterial Carbon Concentration</t>
  </si>
  <si>
    <t xml:space="preserve">Sum of bacterial carbon component concentrations</t>
  </si>
  <si>
    <t xml:space="preserve">AerChemMIP,CMIP,GeoMIP,LUMIP,OMIP,PMIP,VIACSAB</t>
  </si>
  <si>
    <t xml:space="preserve">arag</t>
  </si>
  <si>
    <t xml:space="preserve">Aragonite Concentration</t>
  </si>
  <si>
    <t xml:space="preserve">Sum of particulate aragonite components (e.g. Phytoplankton, Detrital, etc.)</t>
  </si>
  <si>
    <t xml:space="preserve">phydiaz</t>
  </si>
  <si>
    <t xml:space="preserve">Mole Concentration of Diazotrophs Expressed as Carbon in Sea Water</t>
  </si>
  <si>
    <t xml:space="preserve">carbon concentration from the diazotrophic phytoplankton component alone</t>
  </si>
  <si>
    <t xml:space="preserve">phycalc</t>
  </si>
  <si>
    <t xml:space="preserve">Mole Concentration of Calcareous Phytoplankton Expressed as Carbon in Sea Water</t>
  </si>
  <si>
    <t xml:space="preserve">carbon concentration from calcareous (calcite-producing) phytoplankton component alone</t>
  </si>
  <si>
    <t xml:space="preserve">phypico</t>
  </si>
  <si>
    <t xml:space="preserve">Mole Concentration of Picophytoplankton Expressed as Carbon in Sea Water</t>
  </si>
  <si>
    <t xml:space="preserve">Not available in NEMO-OPA. </t>
  </si>
  <si>
    <t xml:space="preserve">Torben, Raffaele Bernardello</t>
  </si>
  <si>
    <t xml:space="preserve">carbon concentration from the picophytoplankton (&lt;2 um) component alone</t>
  </si>
  <si>
    <t xml:space="preserve">volcello</t>
  </si>
  <si>
    <t xml:space="preserve">Ocean Grid-Cell Volume</t>
  </si>
  <si>
    <t xml:space="preserve">m3</t>
  </si>
  <si>
    <t xml:space="preserve">Not available in NEMO-OPA.</t>
  </si>
  <si>
    <t xml:space="preserve">grid-cell volume ca. 2000.</t>
  </si>
  <si>
    <t xml:space="preserve">zmisc</t>
  </si>
  <si>
    <t xml:space="preserve">Mole Concentration of Other Zooplankton Expressed as Carbon in Sea Water</t>
  </si>
  <si>
    <t xml:space="preserve">carbon from additional zooplankton component concentrations alone (e.g. Micro, meso).  Since the models all have different numbers of components, this variable has been included to provide a check for intercomparison between models since some phytoplankton groups are supersets.</t>
  </si>
  <si>
    <t xml:space="preserve">AerChemMIP,C4MIP,CMIP,GeoMIP,LUMIP,OMIP,PMIP,VIACSAB</t>
  </si>
  <si>
    <t xml:space="preserve">talknat</t>
  </si>
  <si>
    <t xml:space="preserve">Natural Total Alkalinity</t>
  </si>
  <si>
    <t xml:space="preserve">Torben</t>
  </si>
  <si>
    <t xml:space="preserve">total alkalinity equivalent concentration (including carbonate, borate, phosphorus, silicon, and nitrogen components) at preindustrial atmospheric xCO2</t>
  </si>
  <si>
    <t xml:space="preserve">phnat</t>
  </si>
  <si>
    <t xml:space="preserve">Natural pH</t>
  </si>
  <si>
    <t xml:space="preserve">Will be only for OMIP manually added: 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</si>
  <si>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</si>
  <si>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phabio</t>
  </si>
  <si>
    <t xml:space="preserve">Abiotic pH</t>
  </si>
  <si>
    <t xml:space="preserve">negative log10 of hydrogen ion concentration with the concentration expressed as mol H kg-1 (abiotic component)..</t>
  </si>
  <si>
    <t xml:space="preserve">chldiaz</t>
  </si>
  <si>
    <t xml:space="preserve">Mass Concentration of Diazotrophs Expressed as Chlorophyll in Sea Water</t>
  </si>
  <si>
    <t xml:space="preserve">kg m-3</t>
  </si>
  <si>
    <t xml:space="preserve">Probably not in NEMO-PISCES (at least not found in the relevant xml files). BSC check?</t>
  </si>
  <si>
    <t xml:space="preserve">Chlorophyll concentration from the diazotrophic phytoplankton component alone</t>
  </si>
  <si>
    <t xml:space="preserve">chlcalc</t>
  </si>
  <si>
    <t xml:space="preserve">Mass Concentration of Calcareous Phytoplankton Expressed as Chlorophyll in Sea Water</t>
  </si>
  <si>
    <t xml:space="preserve">chlorophyll concentration from the calcite-producing phytoplankton component alone</t>
  </si>
  <si>
    <t xml:space="preserve">chlpico</t>
  </si>
  <si>
    <t xml:space="preserve">Mass Concentration of Picophytoplankton Expressed as Chlorophyll in Sea Water</t>
  </si>
  <si>
    <t xml:space="preserve">chlorophyll concentration from the picophytoplankton (&lt;2 um) component alone</t>
  </si>
  <si>
    <t xml:space="preserve">pon</t>
  </si>
  <si>
    <t xml:space="preserve">Mole Concentration of Particulate Organic Matter expressed as Nitrogen in sea water</t>
  </si>
  <si>
    <t xml:space="preserve">sum of particulate organic nitrogen component concentrations</t>
  </si>
  <si>
    <t xml:space="preserve">pop</t>
  </si>
  <si>
    <t xml:space="preserve">Mole Concentration of Particulate Organic Matter expressed as Phosphorus in sea water</t>
  </si>
  <si>
    <t xml:space="preserve">sum of particulate organic phosphorus component concentrations</t>
  </si>
  <si>
    <t xml:space="preserve">phyn</t>
  </si>
  <si>
    <t xml:space="preserve">Mole Concentration of Total Phytoplankton expressed as Nitrogen in sea water</t>
  </si>
  <si>
    <t xml:space="preserve">sum of phytoplankton nitrogen component concentrations</t>
  </si>
  <si>
    <t xml:space="preserve">phyp</t>
  </si>
  <si>
    <t xml:space="preserve">Mole Concentration of Total Phytoplankton expressed as Phosphorus in sea water</t>
  </si>
  <si>
    <t xml:space="preserve">sum of phytoplankton phosphorus components</t>
  </si>
  <si>
    <t xml:space="preserve">dmso</t>
  </si>
  <si>
    <t xml:space="preserve">Mole Concentration of Dimethyl Sulphide in Sea Water</t>
  </si>
  <si>
    <t xml:space="preserve">Probably not in NEMO-PISCES (at least not found in the relevant xml files). Not available.</t>
  </si>
  <si>
    <t xml:space="preserve">Mole concentration of dimethyl sulphide in water</t>
  </si>
  <si>
    <t xml:space="preserve">AerChemMIP,CMIP,GeoMIP,LUMIP,OMIP,VIACSAB</t>
  </si>
  <si>
    <t xml:space="preserve">co3satarag</t>
  </si>
  <si>
    <t xml:space="preserve">Mole Concentration of Carbonate Ion in Equilibrium with Pure Aragonite in Sea Water</t>
  </si>
  <si>
    <t xml:space="preserve">Mole concentration (number of moles per unit volume: molarity) of the carbonate anion (CO3) for sea water in equilibrium with pure Aragonite. Aragonite  (CaCO3) is a mineral that is a polymorph of calcium carbonate.</t>
  </si>
  <si>
    <t xml:space="preserve">parag</t>
  </si>
  <si>
    <t xml:space="preserve">Aragonite Production</t>
  </si>
  <si>
    <t xml:space="preserve">mol m-3 s-1</t>
  </si>
  <si>
    <t xml:space="preserve">Production rate of Aragonite, a mineral that is a polymorph of calcium carbonate. The chemical formula of aragonite is CaCO3.</t>
  </si>
  <si>
    <t xml:space="preserve">exparag</t>
  </si>
  <si>
    <t xml:space="preserve">Downward Flux of Aragonite</t>
  </si>
  <si>
    <t xml:space="preserve">mol m-2 s-1</t>
  </si>
  <si>
    <t xml:space="preserve">Not available inLPJ-GUESS. Not available in PISCES, which means not available in NEMO.</t>
  </si>
  <si>
    <t xml:space="preserve">David Warlind, Raffaele Bernardello</t>
  </si>
  <si>
    <t xml:space="preserve">Downward flux of Aragonite</t>
  </si>
  <si>
    <t xml:space="preserve">darag</t>
  </si>
  <si>
    <t xml:space="preserve">Aragonite Dissolution</t>
  </si>
  <si>
    <t xml:space="preserve">Rate of change of Aragonite carbon mole concentration  due to dissolution</t>
  </si>
  <si>
    <t xml:space="preserve">ppdiaz</t>
  </si>
  <si>
    <t xml:space="preserve">Net Primary Mole Productivity of Carbon by Diazotrophs</t>
  </si>
  <si>
    <t xml:space="preserve">Primary (organic carbon) production by the diazotrophic phytoplankton component alone</t>
  </si>
  <si>
    <t xml:space="preserve">ppcalc</t>
  </si>
  <si>
    <t xml:space="preserve">Net Primary Mole Productivity of Carbon by Calcareous Phytoplankton</t>
  </si>
  <si>
    <t xml:space="preserve">Primary (organic carbon) production by the calcite-producing phytoplankton component alone</t>
  </si>
  <si>
    <t xml:space="preserve">pppico</t>
  </si>
  <si>
    <t xml:space="preserve">Net Primary Mole Productivity of Carbon by Picophytoplankton</t>
  </si>
  <si>
    <t xml:space="preserve">Primary (organic carbon) production by the picophytoplankton (&lt;2 um) component alone</t>
  </si>
  <si>
    <t xml:space="preserve">bddtdic</t>
  </si>
  <si>
    <t xml:space="preserve">Rate of Change of Dissolved Inorganic Carbon Due to Biological Activity</t>
  </si>
  <si>
    <t xml:space="preserve">Not available in NEMO-PISCES. Only available in vertically integrated form: INTdtDIC</t>
  </si>
  <si>
    <t xml:space="preserve">Net total of biological terms in time rate of change of dissolved inorganic carbon</t>
  </si>
  <si>
    <t xml:space="preserve">bddtdin</t>
  </si>
  <si>
    <t xml:space="preserve">Rate of Change of Nitrogen Nutrient Due to Biological Activity</t>
  </si>
  <si>
    <t xml:space="preserve">Not available in NEMO-PISCES. Only available in vertically integrated form: INTdtDIN</t>
  </si>
  <si>
    <t xml:space="preserve">Net total of biological terms in time rate of change of nitrogen nutrients (e.g. NO3+NH4)</t>
  </si>
  <si>
    <t xml:space="preserve">bddtdip</t>
  </si>
  <si>
    <t xml:space="preserve">Rate of Change of Dissolved Phosphorus Due to Biological Activity</t>
  </si>
  <si>
    <t xml:space="preserve">Not available in NEMO-PISCES. Only available in vertically integrated form: INTdtDIP</t>
  </si>
  <si>
    <t xml:space="preserve">Net of biological terms in time rate of change of dissolved phosphate</t>
  </si>
  <si>
    <t xml:space="preserve">bddtdife</t>
  </si>
  <si>
    <t xml:space="preserve">Rate of Change of Dissolved Inorganic Iron Due to Biological Activity</t>
  </si>
  <si>
    <t xml:space="preserve">Not available in NEMO-PISCES. Only available in vertically integrated form: INTdtFer</t>
  </si>
  <si>
    <t xml:space="preserve">Net total of biological terms in time rate of change of dissolved inorganic iron</t>
  </si>
  <si>
    <t xml:space="preserve">bddtdisi</t>
  </si>
  <si>
    <t xml:space="preserve">Rate of Change of Dissolved Inorganic Silicon Due to Biological Activity</t>
  </si>
  <si>
    <t xml:space="preserve">Not available in NEMO-PISCES. Only available in vertically integrated form: INTdtSil</t>
  </si>
  <si>
    <t xml:space="preserve">Net of biological terms in time rate of change of dissolved inorganic silicon</t>
  </si>
  <si>
    <t xml:space="preserve">bddtalk</t>
  </si>
  <si>
    <t xml:space="preserve">Rate of Change of Alkalinity Due to Biological Activity</t>
  </si>
  <si>
    <t xml:space="preserve">Not available in NEMO-PISCES. Only available in vertically integrated form: INTdtAlk</t>
  </si>
  <si>
    <t xml:space="preserve">Net total of biological terms in time rate of change of alkalinity</t>
  </si>
  <si>
    <t xml:space="preserve">fescav</t>
  </si>
  <si>
    <t xml:space="preserve">Non-Biogenic Iron Scavenging</t>
  </si>
  <si>
    <t xml:space="preserve">Dissolved Fe removed through nonbiogenic scavenging onto particles</t>
  </si>
  <si>
    <t xml:space="preserve">fgco2nat</t>
  </si>
  <si>
    <t xml:space="preserve">longitude latitude time</t>
  </si>
  <si>
    <t xml:space="preserve">Surface Downward Flux of Natural CO2</t>
  </si>
  <si>
    <t xml:space="preserve">kg m-2 s-1</t>
  </si>
  <si>
    <t xml:space="preserve">Can not be produced by LPJ-GUESS. In PISCES: Cflx*12/1.e3 -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</si>
  <si>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Gas exchange flux of natural CO2 (positive into ocean)</t>
  </si>
  <si>
    <t xml:space="preserve">fgco2abio</t>
  </si>
  <si>
    <t xml:space="preserve">Surface Downward Flux of Abiotic CO2</t>
  </si>
  <si>
    <t xml:space="preserve">Gas exchange flux of abiotic CO2 (positive into ocean)</t>
  </si>
  <si>
    <t xml:space="preserve">fg14co2abio</t>
  </si>
  <si>
    <t xml:space="preserve">Surface Downward Flux of Abiotic 14CO2</t>
  </si>
  <si>
    <t xml:space="preserve">Can not be produced by LPJ-GUESS: Not available in Pisces.</t>
  </si>
  <si>
    <t xml:space="preserve">Gas exchange flux of abiotic 14CO2 (positive into ocean)</t>
  </si>
  <si>
    <t xml:space="preserve">fg13co2</t>
  </si>
  <si>
    <t xml:space="preserve">Surface Downward Flux of 13CO2</t>
  </si>
  <si>
    <t xml:space="preserve">Gas exchange flux of carbon-13 as CO2 (positive into ocean)</t>
  </si>
  <si>
    <t xml:space="preserve">CFday</t>
  </si>
  <si>
    <t xml:space="preserve">ccb</t>
  </si>
  <si>
    <t xml:space="preserve">Air Pressure at Convective Cloud Base</t>
  </si>
  <si>
    <t xml:space="preserve">Pa</t>
  </si>
  <si>
    <t xml:space="preserve">Too much effort?: convective cloud cover ccc[128185 i.e in table 128] &gt; 0.5 or &gt; 0.0, this mask combine with cloud base height cbh[228023], therafter with surface pressure sp[134] and lapse rate the cct can be calculated</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</si>
  <si>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</si>
  <si>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CFMIP,HighResMIP</t>
  </si>
  <si>
    <t xml:space="preserve">cct</t>
  </si>
  <si>
    <t xml:space="preserve">Air Pressure at Convective Cloud Top</t>
  </si>
  <si>
    <t xml:space="preserve">No cloud top height in IFS output, thus no</t>
  </si>
  <si>
    <t xml:space="preserve">Gijs &amp; Thomas</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</si>
  <si>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</si>
  <si>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mc</t>
  </si>
  <si>
    <t xml:space="preserve">longitude latitude alevhalf time</t>
  </si>
  <si>
    <t xml:space="preserve">Convective Mass Flux</t>
  </si>
  <si>
    <t xml:space="preserve">Too much effort?: IFS var in PEXTRA, the CUFLXN routine produces PFMU (MASSFLUX IN UPDRAFTS) and PFMD (MASSFLUX DOWNDRAFTS) KG/(M2*S) which can be combined. Which gib code?, via?: sources/ifs-36r4/src/ifs/phys_ec/callpar.F90 in variables PGFL(JL,JK,YERA40(5)%MP) and PGFL(JL,JK,YERA40(6)%MP)</t>
  </si>
  <si>
    <t xml:space="preserve">The net mass flux should represent the difference between the updraft and downdraft components.  The flux is computed as the mass divided by the area of the grid cell.</t>
  </si>
  <si>
    <t xml:space="preserve">clcalipso</t>
  </si>
  <si>
    <t xml:space="preserve">longitude latitude alt40 time</t>
  </si>
  <si>
    <t xml:space="preserve">CALIPSO Percentage Cloud Cover</t>
  </si>
  <si>
    <t xml:space="preserve">COSP output, currently not available from IFS</t>
  </si>
  <si>
    <t xml:space="preserve">Klaus</t>
  </si>
  <si>
    <t xml:space="preserve">Percentage cloud cover at CALIPSO standard heights.</t>
  </si>
  <si>
    <t xml:space="preserve">clisccp</t>
  </si>
  <si>
    <t xml:space="preserve">longitude latitude plev7c tau time</t>
  </si>
  <si>
    <t xml:space="preserve">ISCCP Cloud Area Percentage</t>
  </si>
  <si>
    <t xml:space="preserve">Percentage cloud cover in optical depth categories.</t>
  </si>
  <si>
    <t xml:space="preserve">Eyr</t>
  </si>
  <si>
    <t xml:space="preserve">zfullo</t>
  </si>
  <si>
    <t xml:space="preserve">Depth Below Geoid of Ocean Layer</t>
  </si>
  <si>
    <t xml:space="preserve">Depth below geoid</t>
  </si>
  <si>
    <t xml:space="preserve">C4MIP,DCPP,LUMIP,PAMIP</t>
  </si>
  <si>
    <t xml:space="preserve">EdayZ</t>
  </si>
  <si>
    <t xml:space="preserve">vtem</t>
  </si>
  <si>
    <t xml:space="preserve">latitude plev39 time</t>
  </si>
  <si>
    <t xml:space="preserve">Transformed Eulerian Mean Northward Wind</t>
  </si>
  <si>
    <t xml:space="preserve">m s-1</t>
  </si>
  <si>
    <t xml:space="preserve">Not available in IFS.</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</si>
  <si>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</si>
  <si>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DynVar</t>
  </si>
  <si>
    <t xml:space="preserve">wtem</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</si>
  <si>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</si>
  <si>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</si>
  <si>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epfy</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</si>
  <si>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</si>
  <si>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</si>
  <si>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</si>
  <si>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epfz</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</si>
  <si>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</si>
  <si>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</si>
  <si>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utendepfd</t>
  </si>
  <si>
    <t xml:space="preserve">Tendency of Eastward Wind Due to Eliassen-Palm Flux Divergence</t>
  </si>
  <si>
    <t xml:space="preserve">m s-2</t>
  </si>
  <si>
    <t xml:space="preserve">Tendency of the zonal mean zonal wind due to the divergence of the Eliassen-Palm flux.</t>
  </si>
  <si>
    <t xml:space="preserve">utendogw</t>
  </si>
  <si>
    <t xml:space="preserve">Eastward Acceleration Due to Orographic Gravity Wave Drag</t>
  </si>
  <si>
    <t xml:space="preserve">Not separately available in IFS.</t>
  </si>
  <si>
    <t xml:space="preserve">Tendency of the eastward wind by parameterized orographic gravity waves.</t>
  </si>
  <si>
    <t xml:space="preserve">utendnogw</t>
  </si>
  <si>
    <t xml:space="preserve">Eastward Acceleration Due to Non-Orographic Gravity Wave Drag</t>
  </si>
  <si>
    <t xml:space="preserve">Tendency of the eastward wind by parameterized nonorographic gravity waves.</t>
  </si>
  <si>
    <t xml:space="preserve">psitem</t>
  </si>
  <si>
    <t xml:space="preserve">Transformed Eulerian Mean Mass Streamfunction</t>
  </si>
  <si>
    <t xml:space="preserve">kg s-1</t>
  </si>
  <si>
    <t xml:space="preserve">Residual mass streamfunction, computed from vstar and integrated from the top of the atmosphere (on the native model grid). Reference: Andrews et al (1987): Middle Atmospheric Dynamics. Academic Press.</t>
  </si>
  <si>
    <t xml:space="preserve">utendvtem</t>
  </si>
  <si>
    <t xml:space="preserve">Tendency of Eastward Wind Due to TEM Northward Advection and Coriolis Term</t>
  </si>
  <si>
    <t xml:space="preserve">m s-1 d-1</t>
  </si>
  <si>
    <t xml:space="preserve">Tendency of zonally averaged eastward wind, by the residual upward wind advection (on the native model grid). Reference: Andrews et al (1987): Middle Atmospheric Dynamics. Academic Press.</t>
  </si>
  <si>
    <t xml:space="preserve">utendwtem</t>
  </si>
  <si>
    <t xml:space="preserve">Tendency of Eastward Wind Due to TEM Upward Advection</t>
  </si>
  <si>
    <t xml:space="preserve">Tendency of zonally averaged eastward wind, by the residual northward wind advection (on the native model grid). Reference: Andrews et al (1987): Middle Atmospheric Dynamics. Academic Press.</t>
  </si>
  <si>
    <t xml:space="preserve">LImon</t>
  </si>
  <si>
    <t xml:space="preserve">longitude latitude time typefis</t>
  </si>
  <si>
    <t xml:space="preserve">agesno</t>
  </si>
  <si>
    <t xml:space="preserve">Mean Age of Snow</t>
  </si>
  <si>
    <t xml:space="preserve">day</t>
  </si>
  <si>
    <t xml:space="preserve">Can not be produced by LPJ-GUESS or else</t>
  </si>
  <si>
    <t xml:space="preserve">David Warlind &amp; Thomas</t>
  </si>
  <si>
    <t xml:space="preserve">Age of Snow (when computing the time-mean here, the time samples, weighted by the mass of snow on the land portion of the grid cell, are accumulated and then divided by the sum of the weights.  Reported as missing data in regions free of snow on land.</t>
  </si>
  <si>
    <t xml:space="preserve">C4MIP,CMIP,DAMIP,FAFMIP,GMMIP,GeoMIP,HighResMIP,LS3MIP,LUMIP,PMIP,VolMIP</t>
  </si>
  <si>
    <t xml:space="preserve">tpf</t>
  </si>
  <si>
    <t xml:space="preserve">Permafrost Layer Thickness</t>
  </si>
  <si>
    <t xml:space="preserve">Not available in PISM or H-TESSEL.</t>
  </si>
  <si>
    <t xml:space="preserve">Shuting</t>
  </si>
  <si>
    <t xml:space="preserve">The mean thickness of the permafrost layer in the land portion of the grid cell.  Reported as zero in permafrost-free regions.</t>
  </si>
  <si>
    <t xml:space="preserve">C4MIP,CDRMIP,CMIP,FAFMIP,GMMIP,GeoMIP,HighResMIP,LS3MIP,LUMIP,PMIP,VIACSAB,VolMIP</t>
  </si>
  <si>
    <t xml:space="preserve">CFsubhr</t>
  </si>
  <si>
    <t xml:space="preserve">alevhalf site time1</t>
  </si>
  <si>
    <t xml:space="preserve">AerChemMIP,CFMIP</t>
  </si>
  <si>
    <t xml:space="preserve">rlu</t>
  </si>
  <si>
    <t xml:space="preserve">Upwelling Longwave Radiation</t>
  </si>
  <si>
    <t xml:space="preserve">W m-2</t>
  </si>
  <si>
    <t xml:space="preserve">Not available in IFS: All Up and downwelling radiation is only at the TOA and the surface available in IFS standard output</t>
  </si>
  <si>
    <t xml:space="preserve">Upwelling longwave radiation (includes the fluxes at the surface and TOA)</t>
  </si>
  <si>
    <t xml:space="preserve">rsu</t>
  </si>
  <si>
    <t xml:space="preserve">Upwelling Shortwave Radiation</t>
  </si>
  <si>
    <t xml:space="preserve">Upwelling shortwave radiation  (includes also the fluxes at the surface and top of atmosphere)</t>
  </si>
  <si>
    <t xml:space="preserve">rld</t>
  </si>
  <si>
    <t xml:space="preserve">Downwelling Longwave Radiation</t>
  </si>
  <si>
    <t xml:space="preserve">Downwelling Longwave Radiation (includes the fluxes at the surface and TOA)</t>
  </si>
  <si>
    <t xml:space="preserve">rsd</t>
  </si>
  <si>
    <t xml:space="preserve">Downwelling Shortwave Radiation</t>
  </si>
  <si>
    <t xml:space="preserve">Downwelling shortwave radiation (includes the fluxes at the surface and top-of-atmosphere)</t>
  </si>
  <si>
    <t xml:space="preserve">rlucs</t>
  </si>
  <si>
    <t xml:space="preserve">Upwelling Clear-Sky Longwave Radiation</t>
  </si>
  <si>
    <t xml:space="preserve">Upwelling clear-sky longwave radiation  (includes the fluxes at the surface and TOA)</t>
  </si>
  <si>
    <t xml:space="preserve">rsucs</t>
  </si>
  <si>
    <t xml:space="preserve">Upwelling Clear-Sky Shortwave Radiation</t>
  </si>
  <si>
    <t xml:space="preserve">Not available: All Up and downwelling radiation is only at the TOA and the surface available in IFS standard output</t>
  </si>
  <si>
    <t xml:space="preserve">Upwelling clear-sky shortwave radiation  (includes the fluxes at the surface and TOA)</t>
  </si>
  <si>
    <t xml:space="preserve">rldcs</t>
  </si>
  <si>
    <t xml:space="preserve">Downwelling Clear-Sky Longwave Radiation</t>
  </si>
  <si>
    <t xml:space="preserve">Downwelling clear-sky longwave radiation (includes the fluxes at the surface and TOA)</t>
  </si>
  <si>
    <t xml:space="preserve">rsdcs</t>
  </si>
  <si>
    <t xml:space="preserve">Downwelling Clear-Sky Shortwave Radiation</t>
  </si>
  <si>
    <t xml:space="preserve">Downwelling clear-sky shortwave radiation (includes the fluxes at the surface and top-of-atmosphere)</t>
  </si>
  <si>
    <t xml:space="preserve">tnta</t>
  </si>
  <si>
    <t xml:space="preserve">alevel site time1</t>
  </si>
  <si>
    <t xml:space="preserve">Tendency of Air Temperature Due to Advection</t>
  </si>
  <si>
    <t xml:space="preserve">K s-1</t>
  </si>
  <si>
    <t xml:space="preserve">Not available in IFS, it would require additional coding in IFS. Note that Gijs checked with ECMWF that the T-tendency from explicit dynamics (grib 128.93)  is not the same as T-tendency due to advection, see https://software.ecmwf.int/wiki/pages/viewpage.action?pageId=97384581.</t>
  </si>
  <si>
    <t xml:space="preserve">Twan, Thomas &amp; Gijs</t>
  </si>
  <si>
    <t xml:space="preserve">Tendency of Air Temperature due to Advection</t>
  </si>
  <si>
    <t xml:space="preserve">tntmp</t>
  </si>
  <si>
    <t xml:space="preserve">Tendency of Air Temperature Due to Model Physics</t>
  </si>
  <si>
    <t xml:space="preserve">Not available in IFS cycle 36. In IFS from Cycle 39R1: add all the T-Tendencies without advection: grib 128.95 + 128.98 + 128.102 + 128.105 + 128.109. But with IFS cycle 36 the T-tendency of gravity wave drag grib 128.102 is bugged until Cycle 39R1. This has been checked by Gijs with ECMWF: https://software.ecmwf.int/wiki/pages/viewpage.action?pageId=97384581</t>
  </si>
  <si>
    <t xml:space="preserve">Tendency of air temperature due to model physics. 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</si>
  <si>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tntscpbl</t>
  </si>
  <si>
    <t xml:space="preserve">Tendency of Air Temperature Due to Stratiform Cloud and Precipitation and Boundary Layer Mixing</t>
  </si>
  <si>
    <t xml:space="preserve">Not available in IFS. This is not requested for a model like IFS (see description).</t>
  </si>
  <si>
    <t xml:space="preserve">Tendency of Air Temperature Due to Stratiform Cloud and Precipitation and Boundary Layer Mixing (to be specified only in  models which do not separate cloud, precipitation and boundary layer terms.  Includes all boundary layer terms including diffusive ones.)</t>
  </si>
  <si>
    <t xml:space="preserve">tnhusa</t>
  </si>
  <si>
    <t xml:space="preserve">Tendency of Specific Humidity Due to Advection</t>
  </si>
  <si>
    <t xml:space="preserve">s-1</t>
  </si>
  <si>
    <t xml:space="preserve">Not available in IFS, it would require additional coding in IFS. Note that Gijs checked with ECMWF that the q-tendency from explicit dynamics (grib 128.94)  is not the same as q-tendency due to advection, see https://software.ecmwf.int/wiki/pages/viewpage.action?pageId=97384581.</t>
  </si>
  <si>
    <t xml:space="preserve">Tendency of Specific Humidity due to Advection</t>
  </si>
  <si>
    <t xml:space="preserve">tnhusd</t>
  </si>
  <si>
    <t xml:space="preserve">Tendency of Specific Humidity Due to Numerical Diffusion</t>
  </si>
  <si>
    <t xml:space="preserve">Tendency of specific humidity due to numerical diffusion.This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</si>
  <si>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tnhusscpbl</t>
  </si>
  <si>
    <t xml:space="preserve">Tendency of Specific Humidity Due to Stratiform Cloud and Precipitation and Boundary Layer Mixing</t>
  </si>
  <si>
    <t xml:space="preserve">This is not requested for a model like IFS (see description).</t>
  </si>
  <si>
    <t xml:space="preserve">Tendency of Specific Humidity Due to Stratiform Cloud and Precipitation and Boundary Layer Mixing  (to be specified only in  models which do not separate budget terms for stratiform cloud, precipitation and boundary layer schemes.  Includes all boundary layer terms including and diffusive terms.)</t>
  </si>
  <si>
    <t xml:space="preserve">evu</t>
  </si>
  <si>
    <t xml:space="preserve">Eddy Viscosity Coefficient for Momentum</t>
  </si>
  <si>
    <t xml:space="preserve">m2 s-1</t>
  </si>
  <si>
    <t xml:space="preserve">Vertical diffusion coefficient for momentum due to parametrised eddies</t>
  </si>
  <si>
    <t xml:space="preserve">edt</t>
  </si>
  <si>
    <t xml:space="preserve">Eddy Diffusivity Coefficient for Temperature</t>
  </si>
  <si>
    <t xml:space="preserve">Vertical diffusion coefficient for temperature due to parametrised eddies</t>
  </si>
  <si>
    <t xml:space="preserve">site time1</t>
  </si>
  <si>
    <t xml:space="preserve">ci</t>
  </si>
  <si>
    <t xml:space="preserve">Fraction of Time Convection Occurs in Cell</t>
  </si>
  <si>
    <t xml:space="preserve">Not in IFS output, thus no</t>
  </si>
  <si>
    <t xml:space="preserve">Thomas</t>
  </si>
  <si>
    <t xml:space="preserve">Fraction of time that convection occurs in the grid cell.</t>
  </si>
  <si>
    <t xml:space="preserve">sci</t>
  </si>
  <si>
    <t xml:space="preserve">Fraction of Time Shallow Convection Occurs</t>
  </si>
  <si>
    <t xml:space="preserve">Fraction of time that shallow convection occurs in the grid cell.</t>
  </si>
  <si>
    <t xml:space="preserve">fco2fos</t>
  </si>
  <si>
    <t xml:space="preserve">Carbon Mass Flux into Atmosphere Due to Fossil Fuel Emissions of CO2</t>
  </si>
  <si>
    <t xml:space="preserve">Not available in TM5.</t>
  </si>
  <si>
    <t xml:space="preserve">Tommi Bergman, Thomas</t>
  </si>
  <si>
    <t xml:space="preserve">This is the prescribed anthropogenic CO2 flux from fossil fuel use, including cement production, and flaring (but not from land-use changes, agricultural burning, forest regrowth, etc.)</t>
  </si>
  <si>
    <t xml:space="preserve">3hr</t>
  </si>
  <si>
    <t xml:space="preserve">rsdsdiff</t>
  </si>
  <si>
    <t xml:space="preserve">Surface Diffuse Downwelling Shortwave Radiation</t>
  </si>
  <si>
    <t xml:space="preserve">No, probably not. There is a GRIB code: 228242 (=242 in table 228), no idea if it can be used in EC-Earth. Give up this one?</t>
  </si>
  <si>
    <t xml:space="preserve">Gijs &amp; Klaus</t>
  </si>
  <si>
    <t xml:space="preserve">Surface downwelling solar irradiance from diffuse radiation for UV calculations.</t>
  </si>
  <si>
    <t xml:space="preserve">CMIP,HighResMIP,VIACSAB</t>
  </si>
  <si>
    <t xml:space="preserve">SImon</t>
  </si>
  <si>
    <t xml:space="preserve">sisnconc</t>
  </si>
  <si>
    <t xml:space="preserve">Snow Area Percentage</t>
  </si>
  <si>
    <t xml:space="preserve">Not available in PISCES. Not available in LIM.</t>
  </si>
  <si>
    <t xml:space="preserve">Raffaele Bernardello, David Docquier, Thomas Reerink</t>
  </si>
  <si>
    <t xml:space="preserve">Fraction of sea ice, by area, which is covered by snow, giving equal weight to every square metre of sea ice . Exclude snow that lies on land or land ice.</t>
  </si>
  <si>
    <t xml:space="preserve">C4MIP,CFMIP,CMIP,DAMIP,FAFMIP,GMMIP,GeoMIP,HighResMIP,LS3MIP,PMIP,RFMIP,SIMIP,VIACSAB</t>
  </si>
  <si>
    <t xml:space="preserve">simpconc</t>
  </si>
  <si>
    <t xml:space="preserve">longitude latitude time typemp</t>
  </si>
  <si>
    <t xml:space="preserve">Percentage Cover of Sea Ice by Meltpond</t>
  </si>
  <si>
    <t xml:space="preserve">Not available in LIM in EC-Earth3's CMIP6 version. In a newer version: simpconc = iceamp / siconc  according to David, and probably not  simpconc =  ( iceamp (= melt-pond fraction per grid-cell area, no unit) / grid-cell area ) * 100 [in %]</t>
  </si>
  <si>
    <t xml:space="preserve">Percentage of sea ice, by area, which is covered by melt ponds, giving equal weight to every square metre of sea ice .</t>
  </si>
  <si>
    <t xml:space="preserve">C4MIP,CMIP,FAFMIP,GMMIP,GeoMIP,HighResMIP,LS3MIP,RFMIP,SIMIP</t>
  </si>
  <si>
    <t xml:space="preserve">sirdgconc</t>
  </si>
  <si>
    <t xml:space="preserve">longitude latitude time typesirdg</t>
  </si>
  <si>
    <t xml:space="preserve">Percentage Cover of Sea Ice by Ridging</t>
  </si>
  <si>
    <t xml:space="preserve">Fraction of sea ice, by area, which is covered by sea ice ridges, giving equal weight to every square metre of sea ice .</t>
  </si>
  <si>
    <t xml:space="preserve">siflswutop</t>
  </si>
  <si>
    <t xml:space="preserve">Upwelling Shortwave Flux over Sea Ice</t>
  </si>
  <si>
    <t xml:space="preserve">Not available in NEMO-LIM. Though potentially possible to provide by NEMO-LIM, but not in the current output of NEMO-LIM.</t>
  </si>
  <si>
    <t xml:space="preserve">David Docquier</t>
  </si>
  <si>
    <t xml:space="preserve">The upwelling shortwave flux over sea ice (always negative)</t>
  </si>
  <si>
    <t xml:space="preserve">C4MIP,CMIP,FAFMIP,GMMIP,GeoMIP,HighResMIP,LS3MIP,PMIP,RFMIP,SIMIP,VIACSAB</t>
  </si>
  <si>
    <t xml:space="preserve">sifllwdtop</t>
  </si>
  <si>
    <t xml:space="preserve">Downwelling Longwave Flux over Sea Ice</t>
  </si>
  <si>
    <t xml:space="preserve">Not available in NEMO-LIM (qns_ice, non-solar heat flux, takes into account longwave, sensible and latent heat fluxes)</t>
  </si>
  <si>
    <t xml:space="preserve">the downwelling longwave flux over sea ice (always positive)</t>
  </si>
  <si>
    <t xml:space="preserve">sifllwutop</t>
  </si>
  <si>
    <t xml:space="preserve">Upwelling Longwave Flux over Sea Ice</t>
  </si>
  <si>
    <t xml:space="preserve">the upwelling longwave flux over sea ice (always negative)</t>
  </si>
  <si>
    <t xml:space="preserve">siflsenstop</t>
  </si>
  <si>
    <t xml:space="preserve">Net Upward Sensible Heat Flux over Sea Ice</t>
  </si>
  <si>
    <t xml:space="preserve">the net sensible heat flux over sea ice</t>
  </si>
  <si>
    <t xml:space="preserve">C4MIP,CMIP,DCPP,FAFMIP,GMMIP,GeoMIP,HighResMIP,LS3MIP,PAMIP,PMIP,RFMIP,SIMIP,VIACSAB</t>
  </si>
  <si>
    <t xml:space="preserve">sifllatstop</t>
  </si>
  <si>
    <t xml:space="preserve">Net Latent Heat Flux over Sea Ice</t>
  </si>
  <si>
    <t xml:space="preserve">the net latent heat flux over sea ice</t>
  </si>
  <si>
    <t xml:space="preserve">sipr</t>
  </si>
  <si>
    <t xml:space="preserve">Rainfall Rate over Sea Ice</t>
  </si>
  <si>
    <t xml:space="preserve">mass of liquid precipitation falling onto sea ice divided by grid-cell area</t>
  </si>
  <si>
    <t xml:space="preserve">C4MIP,CFMIP,CMIP,FAFMIP,GMMIP,GeoMIP,HighResMIP,LS3MIP,PMIP,RFMIP,SIMIP,VIACSAB</t>
  </si>
  <si>
    <t xml:space="preserve">CFmon</t>
  </si>
  <si>
    <t xml:space="preserve">AerChemMIP,CFMIP,CMIP,DAMIP,GeoMIP,HighResMIP,PMIP,VIACSAB</t>
  </si>
  <si>
    <t xml:space="preserve">longitude latitude alevel time</t>
  </si>
  <si>
    <t xml:space="preserve">AerChemMIP,CFMIP,DAMIP,GeoMIP,HighResMIP,PMIP</t>
  </si>
  <si>
    <t xml:space="preserve">AerChemMIP,CFMIP,DAMIP,GeoMIP,HighResMIP</t>
  </si>
  <si>
    <t xml:space="preserve">clc</t>
  </si>
  <si>
    <t xml:space="preserve">Convective Cloud Area Percentage</t>
  </si>
  <si>
    <t xml:space="preserve">Include only convective cloud.</t>
  </si>
  <si>
    <t xml:space="preserve">cls</t>
  </si>
  <si>
    <t xml:space="preserve">Percentage Cover of Stratiform Cloud</t>
  </si>
  <si>
    <t xml:space="preserve">Not available in IFS. This can not just be linked with one of these layers: grib 128.186, 128.187 or 128.188</t>
  </si>
  <si>
    <t xml:space="preserve">'Layer'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'X_area_fraction' means the fraction of horizontal area occupied by X. 'X_area' means the horizontal area occupied by X within the grid cell. Cloud area fraction is also called 'cloud amount' and 'cloud cover'. In an atmosphere model, stratiform cloud is that produced by large-scale convergence (not the convection schemes).</t>
  </si>
  <si>
    <t xml:space="preserve">AerChemMIP,CFMIP,GeoMIP,HighResMIP,PMIP</t>
  </si>
  <si>
    <t xml:space="preserve">mcu</t>
  </si>
  <si>
    <t xml:space="preserve">Convective Updraft Mass Flux</t>
  </si>
  <si>
    <t xml:space="preserve">Not available in IFS. This can not just be linked with one of these layers: grib 128.186, 128.187 or 128.189</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</si>
  <si>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</si>
  <si>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rsut4co2</t>
  </si>
  <si>
    <t xml:space="preserve">TOA Outgoing Shortwave Radiation in 4XCO2 Atmosphere</t>
  </si>
  <si>
    <t xml:space="preserve">--why 4XCO2 label - data request error?</t>
  </si>
  <si>
    <t xml:space="preserve">TOA Outgoing Shortwave Radiation calculated using carbon dioxide concentrations increased fourfold</t>
  </si>
  <si>
    <t xml:space="preserve">AerChemMIP,CFMIP,HighResMIP,VIACSAB</t>
  </si>
  <si>
    <t xml:space="preserve">rlut4co2</t>
  </si>
  <si>
    <t xml:space="preserve">TOA Outgoing Longwave Radiation 4XCO2 Atmosphere</t>
  </si>
  <si>
    <t xml:space="preserve">Top-of-atmosphere outgoing longwave radiation calculated using carbon dioxide concentrations increased fourfold</t>
  </si>
  <si>
    <t xml:space="preserve">rsutcs4co2</t>
  </si>
  <si>
    <t xml:space="preserve">TOA Outgoing Clear-Sky Shortwave Radiation 4XCO2 Atmosphere</t>
  </si>
  <si>
    <t xml:space="preserve">TOA Outgoing Clear-Sky Shortwave Radiation calculated using carbon dioxide concentrations increased fourfold</t>
  </si>
  <si>
    <t xml:space="preserve">rlutcs4co2</t>
  </si>
  <si>
    <t xml:space="preserve">TOA Outgoing Clear-Sky Longwave Radiation 4XCO2 Atmosphere</t>
  </si>
  <si>
    <t xml:space="preserve">Top-of-atmosphere outgoing clear-sky longwave radiation calculated using carbon dioxide concentrations increased fourfold</t>
  </si>
  <si>
    <t xml:space="preserve">rlu4co2</t>
  </si>
  <si>
    <t xml:space="preserve">Upwelling Longwave Radiation 4XCO2 Atmosphere</t>
  </si>
  <si>
    <t xml:space="preserve">Upwelling longwave radiation calculated using carbon dioxide concentrations increased fourfold (includes the fluxes at the surface and TOA)</t>
  </si>
  <si>
    <t xml:space="preserve">AerChemMIP,CFMIP,HighResMIP</t>
  </si>
  <si>
    <t xml:space="preserve">rsu4co2</t>
  </si>
  <si>
    <t xml:space="preserve">Upwelling Shortwave Radiation 4XCO2 Atmosphere</t>
  </si>
  <si>
    <t xml:space="preserve">Upwelling Shortwave Radiation calculated using carbon dioxide concentrations increased fourfold</t>
  </si>
  <si>
    <t xml:space="preserve">rld4co2</t>
  </si>
  <si>
    <t xml:space="preserve">Downwelling Longwave Radiation 4XCO2 Atmosphere</t>
  </si>
  <si>
    <t xml:space="preserve">Downwelling longwave radiation calculated using carbon dioxide concentrations increased fourfold (includes the fluxes at the surface and TOA)</t>
  </si>
  <si>
    <t xml:space="preserve">rsd4co2</t>
  </si>
  <si>
    <t xml:space="preserve">Downwelling Shortwave Radiation 4XCO2 Atmosphere</t>
  </si>
  <si>
    <t xml:space="preserve">Downwelling shortwave radiation calculated using carbon dioxide concentrations increased fourfold</t>
  </si>
  <si>
    <t xml:space="preserve">rlucs4co2</t>
  </si>
  <si>
    <t xml:space="preserve">Upwelling Clear-Sky Longwave Radiation 4XCO2 Atmosphere</t>
  </si>
  <si>
    <t xml:space="preserve">Upwelling clear-sky longwave radiation calculated using carbon dioxide concentrations increased fourfold (includes the fluxes at the surface and TOA)</t>
  </si>
  <si>
    <t xml:space="preserve">rsucs4co2</t>
  </si>
  <si>
    <t xml:space="preserve">Upwelling Clear-Sky Shortwave Radiation 4XCO2 Atmosphere</t>
  </si>
  <si>
    <t xml:space="preserve">Upwelling clear-sky shortwave radiation calculated using carbon dioxide concentrations increased fourfold</t>
  </si>
  <si>
    <t xml:space="preserve">rldcs4co2</t>
  </si>
  <si>
    <t xml:space="preserve">Downwelling Clear-Sky Longwave Radiation 4XCO2 Atmosphere</t>
  </si>
  <si>
    <t xml:space="preserve">Downwelling clear-sky longwave radiation calculated using carbon dioxide concentrations increased fourfold (includes the fluxes at the surface and TOA)</t>
  </si>
  <si>
    <t xml:space="preserve">rsdcs4co2</t>
  </si>
  <si>
    <t xml:space="preserve">Downwelling Clear-Sky Shortwave Radiation 4XCO2 Atmosphere</t>
  </si>
  <si>
    <t xml:space="preserve">Downwelling clear-sky shortwave radiation calculated using carbon dioxide concentrations increased fourfold</t>
  </si>
  <si>
    <t xml:space="preserve">AerChemMIP,CFMIP,DAMIP,HighResMIP,PMIP,RFMIP,VIACSAB</t>
  </si>
  <si>
    <t xml:space="preserve">AerChemMIP,CFMIP,DAMIP,HighResMIP,RFMIP,VIACSAB</t>
  </si>
  <si>
    <t xml:space="preserve">Omon</t>
  </si>
  <si>
    <t xml:space="preserve">dissicabioos</t>
  </si>
  <si>
    <t xml:space="preserve">Surface Abiotic Dissolved Inorganic Carbon Concentration</t>
  </si>
  <si>
    <t xml:space="preserve">AerChemMIP,C4MIP,CMIP,GMMIP,GeoMIP,HighResMIP,LS3MIP,OMIP</t>
  </si>
  <si>
    <t xml:space="preserve">dissi14cabioos</t>
  </si>
  <si>
    <t xml:space="preserve">Surface Abiotic Dissolved Inorganic Carbon-14 Concentration</t>
  </si>
  <si>
    <t xml:space="preserve">dissi13cos</t>
  </si>
  <si>
    <t xml:space="preserve">Surface Dissolved Inorganic Carbon-13 Concentration</t>
  </si>
  <si>
    <t xml:space="preserve">Near surface dissolved inorganic carbon-13 (CO3+HCO3+H2CO3) concentration</t>
  </si>
  <si>
    <t xml:space="preserve">AerChemMIP,C4MIP,CMIP,GMMIP,GeoMIP,HighResMIP,LS3MIP,OMIP,PMIP</t>
  </si>
  <si>
    <t xml:space="preserve">CMIP,HighResMIP,LS3MIP</t>
  </si>
  <si>
    <t xml:space="preserve">o2satos</t>
  </si>
  <si>
    <t xml:space="preserve">Surface Dissolved Oxygen Concentration at Saturation</t>
  </si>
  <si>
    <t xml:space="preserve">'Mole concentration at saturation' means the mole concentration in a saturated solution.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t>
  </si>
  <si>
    <t xml:space="preserve">msftmz</t>
  </si>
  <si>
    <t xml:space="preserve">latitude olevel basin time</t>
  </si>
  <si>
    <t xml:space="preserve">Ocean Meridional Overturning Mass Streamfunction</t>
  </si>
  <si>
    <t xml:space="preserve">Not available in NEMO-OPA before CMIP6 starts. zomsflgo requires the subasins.nc file and a namelist parameter (Poleward Transport Diagnostic) / basin-wide variables are: zomsfatl zomsfpac zomsfind zomsfipc. NEMO-OPA - volume meridional stream function is available (zomsfglo). Maybe mass streamfunction can be obtained multiplying it by potential density (sea_water_sigma_theta) in the file_def xml ?</t>
  </si>
  <si>
    <t xml:space="preserve">Etienne Tourigny</t>
  </si>
  <si>
    <t xml:space="preserve">Overturning mass streamfunction arising from all advective mass transport processes, resolved and parameterized.</t>
  </si>
  <si>
    <t xml:space="preserve">AerChemMIP,C4MIP,CMIP,DAMIP,DCPP,GMMIP,GeoMIP,HighResMIP,LS3MIP,OMIP,PAMIP,VolMIP</t>
  </si>
  <si>
    <t xml:space="preserve">msftmrho</t>
  </si>
  <si>
    <t xml:space="preserve">latitude rho basin time</t>
  </si>
  <si>
    <t xml:space="preserve">Not available in NEMO-OPA before CMIP6 starts. NEMO-OPA - volume meridional stream function is available (zomsfglo). Maybe mass streamfunction can be obtained multiplying it by potential density (sea_water_sigma_theta) in the file_def xml ?  - I agree (Raffa), it can be done that way.</t>
  </si>
  <si>
    <t xml:space="preserve">AerChemMIP,C4MIP,CMIP,DAMIP,GMMIP,GeoMIP,HighResMIP,LS3MIP,OMIP,VolMIP</t>
  </si>
  <si>
    <t xml:space="preserve">msftyrho</t>
  </si>
  <si>
    <t xml:space="preserve">gridlatitude rho basin time</t>
  </si>
  <si>
    <t xml:space="preserve">Ocean Y Overturning Mass Streamfunction</t>
  </si>
  <si>
    <t xml:space="preserve">Not available in NEMO-OPA before CMIP6 starts. NEMO-OPA - I guess it's the same as above only rotated in case y does not align exactly with north-south direction.</t>
  </si>
  <si>
    <t xml:space="preserve">AerChemMIP,C4MIP,CMIP,DAMIP,GMMIP,GeoMIP,HighResMIP,LS3MIP,OMIP</t>
  </si>
  <si>
    <t xml:space="preserve">msftmzmpa</t>
  </si>
  <si>
    <t xml:space="preserve">Ocean Meridional Overturning Mass Streamfunction Due to Parameterized Mesoscale Advection</t>
  </si>
  <si>
    <t xml:space="preserve">Not available in NEMO-OPA before CMIP6 starts. There are bolus mass transports and velocity (Eddy-Induced-Velocity EIV) but no streamfunctions.</t>
  </si>
  <si>
    <t xml:space="preserve">CMIP5 called this 'due to Bolus Advection'.  Name change respects the more general physics of the mesoscale parameterizations.</t>
  </si>
  <si>
    <t xml:space="preserve">AerChemMIP,C4MIP,CMIP,DAMIP,DCPP,GMMIP,GeoMIP,HighResMIP,LS3MIP,OMIP,PAMIP</t>
  </si>
  <si>
    <t xml:space="preserve">msftmrhompa</t>
  </si>
  <si>
    <t xml:space="preserve">msftyzmpa</t>
  </si>
  <si>
    <t xml:space="preserve">gridlatitude olevel basin time</t>
  </si>
  <si>
    <t xml:space="preserve">Ocean Y Overturning Mass Streamfunction Due to Parameterized Mesoscale Advection</t>
  </si>
  <si>
    <t xml:space="preserve">msftyrhompa</t>
  </si>
  <si>
    <t xml:space="preserve">msftmzsmpa</t>
  </si>
  <si>
    <t xml:space="preserve">Ocean Meridional Overturning Mass Streamfunction Due to Parameterized Submesoscale Advection</t>
  </si>
  <si>
    <t xml:space="preserve">Not available in NEMO-OPA before CMIP6 starts.</t>
  </si>
  <si>
    <t xml:space="preserve">Report only if there is a submesoscale eddy parameterization.</t>
  </si>
  <si>
    <t xml:space="preserve">msftyzsmpa</t>
  </si>
  <si>
    <t xml:space="preserve">Ocean Y Overturning Mass Streamfunction Due to Parameterized Submesoscale Advection</t>
  </si>
  <si>
    <t xml:space="preserve">psiv_mle is the Mixed Layer Eddy streamfunction along j-axis. This is the Fox-Kemper parameterization of baroclinic instabilities in the mixed layer. I think it is considered a submesoscale parameterization but we should double-check with someone in the NEMO community.</t>
  </si>
  <si>
    <t xml:space="preserve">hfbasinpmdiff</t>
  </si>
  <si>
    <t xml:space="preserve">latitude basin time</t>
  </si>
  <si>
    <t xml:space="preserve">Northward Ocean Heat Transport Due to Parameterized Mesoscale Diffusion</t>
  </si>
  <si>
    <t xml:space="preserve">W</t>
  </si>
  <si>
    <t xml:space="preserve">we have diffusive heat transport but it includes all diffusive contributions, not only mesoscale</t>
  </si>
  <si>
    <t xml:space="preserve">Contributions to heat transport from parameterized mesoscale eddy-induced diffusive transport (i.e., neutral diffusion). Diagnosed here as a function of latitude and basin.</t>
  </si>
  <si>
    <t xml:space="preserve">hfbasinpsmadv</t>
  </si>
  <si>
    <t xml:space="preserve">Northward Ocean Heat Transport Due to Parameterized Submesoscale Advection</t>
  </si>
  <si>
    <t xml:space="preserve">Contributions to heat transport from parameterized mesoscale eddy-induced advective transport. Diagnosed here as a function of latitude and basin.  Use Celsius for temperature scale.</t>
  </si>
  <si>
    <t xml:space="preserve">hfbasinpadv</t>
  </si>
  <si>
    <t xml:space="preserve">Northward Ocean Heat Transport Due to Parameterized Eddy Advection</t>
  </si>
  <si>
    <t xml:space="preserve">check sophteiv</t>
  </si>
  <si>
    <t xml:space="preserve">Contributions to heat transport from parameterized eddy-induced advective transport due to any subgrid advective process. Diagnosed here as a function of latitude and basin.  Use Celsius for temperature scale.</t>
  </si>
  <si>
    <t xml:space="preserve">ficeberg</t>
  </si>
  <si>
    <t xml:space="preserve">Water Flux into Sea Water from Icebergs</t>
  </si>
  <si>
    <t xml:space="preserve">computed as the iceberg melt water  flux into the ocean divided by the area of the ocean portion of the grid cell.</t>
  </si>
  <si>
    <t xml:space="preserve">AerChemMIP,C4MIP,CMIP,GMMIP,GeoMIP,HighResMIP,ISMIP6,LS3MIP,OMIP,VolMIP</t>
  </si>
  <si>
    <t xml:space="preserve">vsfpr</t>
  </si>
  <si>
    <t xml:space="preserve">Virtual Salt Flux into Sea Water Due to Rainfall</t>
  </si>
  <si>
    <t xml:space="preserve">zero for models using real water fluxes.</t>
  </si>
  <si>
    <t xml:space="preserve">AerChemMIP,C4MIP,CMIP,GMMIP,GeoMIP,HighResMIP,LS3MIP,OMIP,VIACSAB</t>
  </si>
  <si>
    <t xml:space="preserve">vsfevap</t>
  </si>
  <si>
    <t xml:space="preserve">Virtual Salt Flux into Sea Water Due to Evaporation</t>
  </si>
  <si>
    <t xml:space="preserve">vsfriver</t>
  </si>
  <si>
    <t xml:space="preserve">Virtual Salt Flux into Sea Water from Rivers</t>
  </si>
  <si>
    <t xml:space="preserve">vsf</t>
  </si>
  <si>
    <t xml:space="preserve">Virtual Salt Flux into Sea Water</t>
  </si>
  <si>
    <t xml:space="preserve">It is set to zero in models which receive a real water flux.</t>
  </si>
  <si>
    <t xml:space="preserve">AerChemMIP,C4MIP,CMIP,DCPP,GMMIP,GeoMIP,HighResMIP,LS3MIP,OMIP,PAMIP,VIACSAB</t>
  </si>
  <si>
    <t xml:space="preserve">vsfcorr</t>
  </si>
  <si>
    <t xml:space="preserve">Virtual Salt Flux Correction</t>
  </si>
  <si>
    <t xml:space="preserve">sfriver</t>
  </si>
  <si>
    <t xml:space="preserve">Salt Flux into Sea Water from Rivers</t>
  </si>
  <si>
    <t xml:space="preserve">Not available in NEMO-OPA, i.e. it makes no sence to make it availble because it is zero. It looks like it is assumed zero in NEMO, not 100% sure though.</t>
  </si>
  <si>
    <t xml:space="preserve">This field is physical, and it arises when rivers carry a nonzero salt content.  Often this is zero, with rivers assumed to be fresh.</t>
  </si>
  <si>
    <t xml:space="preserve">AerChemMIP,C4MIP,CMIP,DAMIP,GMMIP,GeoMIP,HighResMIP,LS3MIP,OMIP,VIACSAB</t>
  </si>
  <si>
    <t xml:space="preserve">hfsifrazil</t>
  </si>
  <si>
    <t xml:space="preserve">Heat Flux into Sea Water Due to Frazil Ice Formation</t>
  </si>
  <si>
    <t xml:space="preserve">Not available in NEMO-LIM, not in NEMO anywhere</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</si>
  <si>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'Frazil' consists of needle like crystals of ice, typically between three and four millimeters in diameter, which form as sea water begins to freeze. Salt is expelled during the freezing process and frazil ice consists of nearly pure fresh water.</t>
  </si>
  <si>
    <t xml:space="preserve">hfsifrazil2d</t>
  </si>
  <si>
    <t xml:space="preserve">tauucorr</t>
  </si>
  <si>
    <t xml:space="preserve">Surface Downward X Stress Correction</t>
  </si>
  <si>
    <t xml:space="preserve">N m-2</t>
  </si>
  <si>
    <t xml:space="preserve">This is the stress on the liquid ocean from overlying atmosphere, sea ice, ice shelf, etc.</t>
  </si>
  <si>
    <t xml:space="preserve">tauvcorr</t>
  </si>
  <si>
    <t xml:space="preserve">Surface Downward Y Stress Correction</t>
  </si>
  <si>
    <t xml:space="preserve">AerChemMIP,C4MIP,CFMIP,CMIP,DAMIP,GMMIP,GeoMIP,HighResMIP,LS3MIP,OMIP,VIACSAB</t>
  </si>
  <si>
    <t xml:space="preserve">AerChemMIP,C4MIP,CMIP,GMMIP,GeoMIP,HighResMIP,LS3MIP,LUMIP,OMIP</t>
  </si>
  <si>
    <t xml:space="preserve">intppdiaz</t>
  </si>
  <si>
    <t xml:space="preserve">Not available: INTNFIX is the production by Diazotrophs but they do not contribute to carbon so I think this one is missing. </t>
  </si>
  <si>
    <t xml:space="preserve">Raffaele Bernardello, Thomas</t>
  </si>
  <si>
    <t xml:space="preserve">Vertically integrated primary (organic carbon) production by the diazotrophs alone</t>
  </si>
  <si>
    <t xml:space="preserve">intpppico</t>
  </si>
  <si>
    <t xml:space="preserve">Vertically integrated primary (organic carbon) production by the picophytoplankton component alone</t>
  </si>
  <si>
    <t xml:space="preserve">intparag</t>
  </si>
  <si>
    <t xml:space="preserve">Not available in NEMO-OPA. Not available in PISCES.</t>
  </si>
  <si>
    <t xml:space="preserve">Vertically integrated aragonite production</t>
  </si>
  <si>
    <t xml:space="preserve">epn100</t>
  </si>
  <si>
    <t xml:space="preserve">longitude latitude time depth100m</t>
  </si>
  <si>
    <t xml:space="preserve">Downward Flux of Particulate Nitrogen</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</si>
  <si>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</si>
  <si>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epp100</t>
  </si>
  <si>
    <t xml:space="preserve">Downward Flux of Particulate Phosphorus</t>
  </si>
  <si>
    <t xml:space="preserve">eparag100</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</si>
  <si>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Aragonite is a mineral that is a polymorph of calcium carbonate. The chemical formula of aragonite is CaCO3. Standard names also exist for calcite, another polymorph of calcium carbonate.</t>
  </si>
  <si>
    <t xml:space="preserve">spco2nat</t>
  </si>
  <si>
    <t xml:space="preserve">longitude latitude time depth0m</t>
  </si>
  <si>
    <t xml:space="preserve">Natural Surface Aqueous Partial Pressure of CO2</t>
  </si>
  <si>
    <t xml:space="preserve">Will be only for OMIP manually added: 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</si>
  <si>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</si>
  <si>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spco2abio</t>
  </si>
  <si>
    <t xml:space="preserve">Abiotic Surface Aqueous Partial Pressure of CO2</t>
  </si>
  <si>
    <t xml:space="preserve">The surface called 'surface' means the lower boundary of the atmosphere. The chemical formula for carbon dioxide is CO2. In ocean biogeochemistry models, an 'abiotic analogue' is used to simulate the effect on a modelled variable when biological effects on ocean carbon concentration and alkalinity are ignored.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</si>
  <si>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AerChemMIP,C4MIP,CMIP,GMMIP,GeoMIP,HighResMIP,LS3MIP,LUMIP,OMIP,PMIP</t>
  </si>
  <si>
    <t xml:space="preserve">fgdms</t>
  </si>
  <si>
    <t xml:space="preserve">Surface Upward Flux of DMS</t>
  </si>
  <si>
    <t xml:space="preserve">Gas exchange flux of DMS (positive into atmosphere)</t>
  </si>
  <si>
    <t xml:space="preserve">frfe</t>
  </si>
  <si>
    <t xml:space="preserve">Iron Loss to Sediments</t>
  </si>
  <si>
    <t xml:space="preserve">'Content' indicates a quantity per unit area.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</si>
  <si>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zsatcalc</t>
  </si>
  <si>
    <t xml:space="preserve">Calcite Saturation Depth</t>
  </si>
  <si>
    <t xml:space="preserve">Depth of calcite saturation horizon (0 if undersaturated at all depths, and missing saturated through whole depth; if two or more horizons exist, then the shallowest is reported)</t>
  </si>
  <si>
    <t xml:space="preserve">AerChemMIP,C4MIP,CDRMIP,CMIP,GMMIP,GeoMIP,HighResMIP,LS3MIP,OMIP,VIACSAB</t>
  </si>
  <si>
    <t xml:space="preserve">zsatarag</t>
  </si>
  <si>
    <t xml:space="preserve">Aragonite Saturation Depth</t>
  </si>
  <si>
    <t xml:space="preserve">Depth of aragonite saturation horizon (0 if undersaturated at all depths, 'missing' if supersaturated at all depths; if multiple horizons exist, the shallowest should be taken).</t>
  </si>
  <si>
    <t xml:space="preserve">fddtdic</t>
  </si>
  <si>
    <t xml:space="preserve">longitude latitude time olayer100m</t>
  </si>
  <si>
    <t xml:space="preserve">Rate of Change of Net Dissolved Inorganic Carbon</t>
  </si>
  <si>
    <t xml:space="preserve">Can not be produced by LPJ-GUESS: Pisces?</t>
  </si>
  <si>
    <t xml:space="preserve">'Content' indicates a quantity per unit area.  'tendency_of_X' means derivative of X with respect to time. 'Dissolved inorganic carbon' describes a family of chemical species in solution, including carbon dioxide, carbonic acid and the carbonate and bicarbonate anions. 'Dissolved inorganic carbon' is the term used in standard names for all species belonging to the family that are represented within a given model. The list of individual species that are included in a quantity having a group chemical standard name can vary between models.  Where possible, the data variable should be accompanied by a complete description of the species represented, for example, by using a comment attribute.</t>
  </si>
  <si>
    <t xml:space="preserve">fddtdin</t>
  </si>
  <si>
    <t xml:space="preserve">Rate of Change of Net Dissolved Inorganic Nitrogen</t>
  </si>
  <si>
    <t xml:space="preserve">Net time rate of change of nitrogen nutrients (e.g. NO3+NH4)</t>
  </si>
  <si>
    <t xml:space="preserve">fddtdip</t>
  </si>
  <si>
    <t xml:space="preserve">Rate of Change of Net Dissolved Inorganic Phosphorus</t>
  </si>
  <si>
    <t xml:space="preserve">vertical integral of net  time rate of change of phosphate</t>
  </si>
  <si>
    <t xml:space="preserve">fddtdife</t>
  </si>
  <si>
    <t xml:space="preserve">Rate of Change of Net Dissolved Inorganic Iron</t>
  </si>
  <si>
    <t xml:space="preserve">vertical integral of net time rate of change of dissolved inorganic iron</t>
  </si>
  <si>
    <t xml:space="preserve">fddtdisi</t>
  </si>
  <si>
    <t xml:space="preserve">Rate of Change of Net Dissolved Inorganic Silicon</t>
  </si>
  <si>
    <t xml:space="preserve">vertical integral of net time rate of change of dissolved inorganic silicate</t>
  </si>
  <si>
    <t xml:space="preserve">fddtalk</t>
  </si>
  <si>
    <t xml:space="preserve">Rate of Change of Total Alkalinity</t>
  </si>
  <si>
    <t xml:space="preserve">vertical integral of net time rate of change of alkalinity</t>
  </si>
  <si>
    <t xml:space="preserve">AerChemMIP,C4MIP,DAMIP,GMMIP,GeoMIP,OMIP</t>
  </si>
  <si>
    <t xml:space="preserve">AerChemMIP,C4MIP,CMIP,DAMIP,GMMIP,GeoMIP,OMIP</t>
  </si>
  <si>
    <t xml:space="preserve">AerChemMIP,C4MIP,CMIP,GMMIP,GeoMIP,LUMIP,OMIP,PMIP</t>
  </si>
  <si>
    <t xml:space="preserve">AerChemMIP,C4MIP,GMMIP,GeoMIP,OMIP</t>
  </si>
  <si>
    <t xml:space="preserve">EmonZ</t>
  </si>
  <si>
    <t xml:space="preserve">zmtnt</t>
  </si>
  <si>
    <t xml:space="preserve">Zonal Mean Diabatic Heating Rates</t>
  </si>
  <si>
    <t xml:space="preserve">Not available. Not available in IFS.</t>
  </si>
  <si>
    <t xml:space="preserve">The diabatic heating rates due to all the processes that may change potential temperature</t>
  </si>
  <si>
    <t xml:space="preserve">DAMIP</t>
  </si>
  <si>
    <t xml:space="preserve">jo3</t>
  </si>
  <si>
    <t xml:space="preserve">Photolysis Rate of Ozone (O3)</t>
  </si>
  <si>
    <t xml:space="preserve">Not available. Not available in IFS. TM5 can produce this, but not in stratosphere. So skip.</t>
  </si>
  <si>
    <t xml:space="preserve">Sum of photolysis rates o3 -&gt; o1d+o2 and o3 -&gt; o+o2</t>
  </si>
  <si>
    <t xml:space="preserve">jo2</t>
  </si>
  <si>
    <t xml:space="preserve">Photolysis Rate of Diatomic Molecular Oxygen</t>
  </si>
  <si>
    <t xml:space="preserve">Not available. Not available in IFS. Not available in TM5.</t>
  </si>
  <si>
    <t xml:space="preserve">Rate of photolysis of molecular oxygen to atomic oxygen (o2 -&gt; o1d+o)</t>
  </si>
  <si>
    <t xml:space="preserve">oxprod</t>
  </si>
  <si>
    <t xml:space="preserve">Total Odd Oxygen (Ox) Production Rate</t>
  </si>
  <si>
    <t xml:space="preserve">total production rate of o+o1d+o3 including o2 photolysis and all o3 producing reactions</t>
  </si>
  <si>
    <t xml:space="preserve">oxloss</t>
  </si>
  <si>
    <t xml:space="preserve">Total Odd Oxygen (Ox) Loss Rate</t>
  </si>
  <si>
    <t xml:space="preserve">total chemical loss rate for o+o1d+o3</t>
  </si>
  <si>
    <t xml:space="preserve">vmrox</t>
  </si>
  <si>
    <t xml:space="preserve">Mole Fraction of Odd Oxygen (O, O3 and O1D)</t>
  </si>
  <si>
    <t xml:space="preserve">mol mol-1</t>
  </si>
  <si>
    <t xml:space="preserve">Mole Fraction of Ox</t>
  </si>
  <si>
    <t xml:space="preserve">DynVar,VolMIP</t>
  </si>
  <si>
    <t xml:space="preserve">tntrl</t>
  </si>
  <si>
    <t xml:space="preserve">Tendency of Air Temperature Due to Longwave Radiative Heating</t>
  </si>
  <si>
    <t xml:space="preserve">Not available in IFS output without additional effort. Only total heating rate due to radiation.</t>
  </si>
  <si>
    <t xml:space="preserve">Tendency of air temperature due to longwave radiative heating</t>
  </si>
  <si>
    <t xml:space="preserve">tntrs</t>
  </si>
  <si>
    <t xml:space="preserve">Tendency of Air Temperature Due to Shortwave Radiative Heating</t>
  </si>
  <si>
    <t xml:space="preserve">Tendency of air temperature due to shortwave radiative heating</t>
  </si>
  <si>
    <t xml:space="preserve">tntrlcs</t>
  </si>
  <si>
    <t xml:space="preserve">Tendency of Air Temperature Due to Clear Sky Longwave Radiative Heating</t>
  </si>
  <si>
    <t xml:space="preserve">Tendency of Air Temperature due to Clear Sky Longwave Radiative Heating</t>
  </si>
  <si>
    <t xml:space="preserve">tntrscs</t>
  </si>
  <si>
    <t xml:space="preserve">Tendency of Air Temperature Due to Clear Sky Shortwave Radiative Heating</t>
  </si>
  <si>
    <t xml:space="preserve">Tendency of Air Temperature due to Clear Sky Shortwave Radiative Heating</t>
  </si>
  <si>
    <t xml:space="preserve">tntscp</t>
  </si>
  <si>
    <t xml:space="preserve">Tendency of Air Temperature Due to Stratiform Clouds and Precipitation</t>
  </si>
  <si>
    <t xml:space="preserve">The phrase 'tendency_of_X' means derivative of X with respect to time. Air temperature is the bulk temperature of the air, not the surface (skin) temperature. The specification of a physical process by the phrase 'due_to_' process means that the quantity named is a single term in a sum of terms which together compose the general quantity named by omitting the phrase. A variable with the standard name tendency_of_air_temperature_due_to_stratiform_cloud_and_precipitation should contain net latent heating effects of all processes which convert stratiform clouds and precipitation between water vapour, liquid or ice phases. In an atmosphere model, stratiform cloud is that produced by large-scale convergence (not the convection schemes).</t>
  </si>
  <si>
    <t xml:space="preserve">DAMIP,DCPP,DynVar,HighResMIP,PAMIP,VolMIP</t>
  </si>
  <si>
    <t xml:space="preserve">HighResMIP</t>
  </si>
  <si>
    <t xml:space="preserve">Amon</t>
  </si>
  <si>
    <t xml:space="preserve">AerChemMIP,C4MIP,CFMIP,CMIP,DAMIP,FAFMIP,GMMIP,GeoMIP,HighResMIP,LS3MIP,LUMIP,RFMIP,VolMIP</t>
  </si>
  <si>
    <t xml:space="preserve">AerChemMIP,C4MIP,CFMIP,CMIP,DAMIP,FAFMIP,GMMIP,GeoMIP,HighResMIP,ISMIP6,LS3MIP,LUMIP,PMIP,RFMIP,VIACSAB,VolMIP</t>
  </si>
  <si>
    <t xml:space="preserve">AerChemMIP,C4MIP,CFMIP,CMIP,DAMIP,FAFMIP,GMMIP,GeoMIP,HighResMIP,ISMIP6,LS3MIP,LUMIP,RFMIP,VIACSAB,VolMIP</t>
  </si>
  <si>
    <t xml:space="preserve">AerChemMIP,C4MIP,CMIP,DAMIP,FAFMIP,GMMIP,GeoMIP,HighResMIP,LS3MIP,LUMIP,RFMIP,VIACSAB,VolMIP</t>
  </si>
  <si>
    <t xml:space="preserve">AerChemMIP,C4MIP,CFMIP,CMIP,DAMIP,FAFMIP,GMMIP,GeoMIP,HighResMIP,LS3MIP,LUMIP,RFMIP,VIACSAB,VolMIP</t>
  </si>
  <si>
    <t xml:space="preserve">co2</t>
  </si>
  <si>
    <t xml:space="preserve">longitude latitude plev19 time</t>
  </si>
  <si>
    <t xml:space="preserve">Mole Fraction of CO2</t>
  </si>
  <si>
    <t xml:space="preserve">Not available in TM5. CO2 only transported in C-Cycle version, unclear if it is needed as output from TM5?</t>
  </si>
  <si>
    <t xml:space="preserve">Mole fraction is used in the construction mole_fraction_of_X_in_Y, where X is a material constituent of Y.</t>
  </si>
  <si>
    <t xml:space="preserve">AerChemMIP,C4MIP,CFMIP,CMIP,DAMIP,FAFMIP,GMMIP,GeoMIP,HighResMIP,LS3MIP,LUMIP,PMIP,RFMIP,VolMIP</t>
  </si>
  <si>
    <t xml:space="preserve">co2mass</t>
  </si>
  <si>
    <t xml:space="preserve">time</t>
  </si>
  <si>
    <t xml:space="preserve">Total Atmospheric Mass of CO2</t>
  </si>
  <si>
    <t xml:space="preserve">kg</t>
  </si>
  <si>
    <t xml:space="preserve">Total atmospheric mass of Carbon Dioxide</t>
  </si>
  <si>
    <t xml:space="preserve">AerChemMIP,C4MIP,CDRMIP,CFMIP,CMIP,DAMIP,FAFMIP,GMMIP,GeoMIP,HighResMIP,LS3MIP,LUMIP,PMIP,RFMIP,VolMIP</t>
  </si>
  <si>
    <t xml:space="preserve">n2o</t>
  </si>
  <si>
    <t xml:space="preserve">Mole Fraction of N2O</t>
  </si>
  <si>
    <t xml:space="preserve">Component not available in TM5. It is one of the prescribed greenhouse gases in IFS. WMO grib code: 210063, but not available in IFS output.</t>
  </si>
  <si>
    <t xml:space="preserve">Tommi Bergman</t>
  </si>
  <si>
    <t xml:space="preserve">Mole fraction is used in the construction mole_fraction_of_X_in_Y, where X is a material constituent of Y.   The chemical formula of  nitrous oxide is N2O.</t>
  </si>
  <si>
    <t xml:space="preserve">n2oClim</t>
  </si>
  <si>
    <t xml:space="preserve">longitude latitude plev19 time2</t>
  </si>
  <si>
    <t xml:space="preserve">Not available in the AOGCM, neither in TM5.</t>
  </si>
  <si>
    <t xml:space="preserve">Twan, Tommi Bergman</t>
  </si>
  <si>
    <t xml:space="preserve">n2oglobal</t>
  </si>
  <si>
    <t xml:space="preserve">Global Mean Mole Fraction of N2O</t>
  </si>
  <si>
    <t xml:space="preserve">1e-09</t>
  </si>
  <si>
    <t xml:space="preserve">Global mean Nitrous Oxide (N2O)</t>
  </si>
  <si>
    <t xml:space="preserve">n2oglobalClim</t>
  </si>
  <si>
    <t xml:space="preserve">time2</t>
  </si>
  <si>
    <t xml:space="preserve">6hrPlev</t>
  </si>
  <si>
    <t xml:space="preserve">prhmax</t>
  </si>
  <si>
    <t xml:space="preserve">Maximum Hourly Precipitation Rate</t>
  </si>
  <si>
    <t xml:space="preserve">In accordance with common usage in geophysical disciplines, 'flux' implies per unit area, called 'flux density' in physics.</t>
  </si>
  <si>
    <t xml:space="preserve">DCPP,PAMIP</t>
  </si>
  <si>
    <t xml:space="preserve">wsgmax100m</t>
  </si>
  <si>
    <t xml:space="preserve">longitude latitude time height100m</t>
  </si>
  <si>
    <t xml:space="preserve">Maximum Wind Speed of Gust at 100m</t>
  </si>
  <si>
    <t xml:space="preserve">Wind speed gust maximum at 100m above surface</t>
  </si>
  <si>
    <t xml:space="preserve">VIACSAB</t>
  </si>
  <si>
    <t xml:space="preserve">AERmon</t>
  </si>
  <si>
    <t xml:space="preserve">aoanh</t>
  </si>
  <si>
    <t xml:space="preserve">Northern Hemisphere Tracer Lifetime</t>
  </si>
  <si>
    <t xml:space="preserve">yr</t>
  </si>
  <si>
    <t xml:space="preserve">Component not available in TM5</t>
  </si>
  <si>
    <t xml:space="preserve">Fixed surface layer mixing ratio over 30o-50oN (0 ppbv), uniform fixed source (at all levels) everywhere else (source is unspecified but must be constant in space and time and documented). Note that the source could be 1yr/yr, so the tracer concentration provides mean age in years. For method using linearly increasing tracer include a method attribute: 'linearly increasing tracer'For method using uniform source (1yr/yr) include a method attribute: 'uniform source'</t>
  </si>
  <si>
    <t xml:space="preserve">AerChemMIP,DAMIP</t>
  </si>
  <si>
    <t xml:space="preserve">c2h2</t>
  </si>
  <si>
    <t xml:space="preserve">C2H2 Volume Mixing Ratio</t>
  </si>
  <si>
    <t xml:space="preserve">ccn</t>
  </si>
  <si>
    <t xml:space="preserve">Cloud Condensation Nuclei Concentration at Liquid Cloud Top</t>
  </si>
  <si>
    <t xml:space="preserve">m-3</t>
  </si>
  <si>
    <t xml:space="preserve">Probably we are not going to provide this. It is unclear what the request is asking for. CCN is the number concentration of particles activated to cloud droplets at a specified supersaturation ratio. The actual number concentration in a given cloud is the cloud droplet number concentration, CDNC (which is what I guess the request actually wants), but in the 'extensive variable description' column it says: proposed name: number_concentration_of_ambient_aerosol_in_air_at_liquid_cloud_top which is something different again. Not all aerosol particles are CCN.  Also, I could interpret 'liquid cloud top" as meaning a cloud that contains only liquid water or as a cloud that contains liquid water (and possibly ice). What IFS can provide today is CDNC as a 3-dimensional diagnostic, which is produced for all clouds. It could be easy enough to make a 2-D cloud top CDNC diagnostic instead, but I think the specification is too ambiguous and would likely be interpreted and implemented in different ways between models, so I doubt that it is of any use to try to fulfil this part of the request.</t>
  </si>
  <si>
    <t xml:space="preserve">Declan, Thomas</t>
  </si>
  <si>
    <t xml:space="preserve">proposed name: number_concentration_of_ambient_aerosol_in_air_at_liquid_water_cloud_top</t>
  </si>
  <si>
    <t xml:space="preserve">AerChemMIP,DAMIP,HighResMIP</t>
  </si>
  <si>
    <t xml:space="preserve">chepasoa</t>
  </si>
  <si>
    <t xml:space="preserve">Total Net Production of Anthropogenic Secondary Organic Aerosol</t>
  </si>
  <si>
    <t xml:space="preserve">anthropogenic part of chepsoa</t>
  </si>
  <si>
    <t xml:space="preserve">cod</t>
  </si>
  <si>
    <t xml:space="preserve">Cloud Optical Depth</t>
  </si>
  <si>
    <t xml:space="preserve">Declan, Gijs &amp; Thomas</t>
  </si>
  <si>
    <t xml:space="preserve">The optical thickness is the integral along the path of radiation of a volume scattering/absorption/attenuation coefficient. The radiative flux is reduced by a factor exp(-optical_thickness) on traversing the path. A coordinate variable of radiation_wavelength or radiation_frequency can be specified to indicate that the optical thickness applies at specific wavelengths or frequencies. The atmosphere optical thickness applies to radiation passing through the entire atmosphere. 'Cloud' means the component of extinction owing to the presence of liquid or ice water particles. The specification of a physical process by the phrase due_to_process means that the quantity named is a  single term in a sum of terms which together compose the general quantity named by omitting the phrase.</t>
  </si>
  <si>
    <t xml:space="preserve">emiaco</t>
  </si>
  <si>
    <t xml:space="preserve">Total Emission Rate of Anthropogenic CO</t>
  </si>
  <si>
    <t xml:space="preserve">Anthropogenic  emission of CO.</t>
  </si>
  <si>
    <t xml:space="preserve">emianox</t>
  </si>
  <si>
    <t xml:space="preserve">Total Emission Rate of Anthropogenic NOx</t>
  </si>
  <si>
    <t xml:space="preserve">Store flux as Nitrogen. Anthropogenic fraction. NOx=NO+NO2, Includes agricultural waste burning but no other biomass burning. Integrate 3D emission field vertically to 2d field.</t>
  </si>
  <si>
    <t xml:space="preserve">emiaoa</t>
  </si>
  <si>
    <t xml:space="preserve">Total Emission Rate of Anthropogenic Organic Aerosol</t>
  </si>
  <si>
    <t xml:space="preserve">anthropogenic part of emioa</t>
  </si>
  <si>
    <t xml:space="preserve">h2o</t>
  </si>
  <si>
    <t xml:space="preserve">Mass Fraction of Water</t>
  </si>
  <si>
    <t xml:space="preserve">Not available in TM5. For h2o, TM5 cannot do all phases of water, should therefore come from IFS if anywhere.</t>
  </si>
  <si>
    <t xml:space="preserve">includes all phases of water</t>
  </si>
  <si>
    <t xml:space="preserve">hcl</t>
  </si>
  <si>
    <t xml:space="preserve">HCl Volume Mixing Ratio</t>
  </si>
  <si>
    <t xml:space="preserve">Mole fraction is used in the construction mole_fraction_of_X_in_Y, where X is a material constituent of Y.  The chemical formula of hydrogen chloride is HCl.</t>
  </si>
  <si>
    <t xml:space="preserve">lossn2o</t>
  </si>
  <si>
    <t xml:space="preserve">Monthly Loss of Atmospheric Nitrous Oxide</t>
  </si>
  <si>
    <t xml:space="preserve">monthly averaged atmospheric loss</t>
  </si>
  <si>
    <t xml:space="preserve">nh50</t>
  </si>
  <si>
    <t xml:space="preserve">Artificial Tracer with 50 Day Lifetime</t>
  </si>
  <si>
    <t xml:space="preserve">Fixed surface layer mixing ratio over 30o-50oN (100ppbv), uniform fixed 50-day exponential decay.</t>
  </si>
  <si>
    <t xml:space="preserve">od550bb</t>
  </si>
  <si>
    <t xml:space="preserve">longitude latitude time lambda550nm</t>
  </si>
  <si>
    <t xml:space="preserve">Aerosol Optical Depth at 550nm Due to Biomass Burning</t>
  </si>
  <si>
    <t xml:space="preserve">total organic aerosol AOD due to biomass burning (excluding so4, nitrate BB components)</t>
  </si>
  <si>
    <t xml:space="preserve">AerChemMIP,DAMIP,HighResMIP,RFMIP</t>
  </si>
  <si>
    <t xml:space="preserve">od550csaer</t>
  </si>
  <si>
    <t xml:space="preserve">Ambient Aerosol Optical Thickness at 550nm</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</si>
  <si>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550nm'</t>
  </si>
  <si>
    <t xml:space="preserve">photo1d</t>
  </si>
  <si>
    <t xml:space="preserve">Photolysis Rate of Ozone (O3) to Excited Atomic Oxygen (the Singlet D State, O1D)</t>
  </si>
  <si>
    <t xml:space="preserve">proposed name: photolysis_rate_of_ozone_to_O1D</t>
  </si>
  <si>
    <t xml:space="preserve">pod0</t>
  </si>
  <si>
    <t xml:space="preserve">Phytotoxic Ozone Dose</t>
  </si>
  <si>
    <t xml:space="preserve">mol m-2</t>
  </si>
  <si>
    <t xml:space="preserve">Tommi, Twan &amp; Thomas</t>
  </si>
  <si>
    <t xml:space="preserve">Accumulated stomatal ozone flux over the threshold of 0 mol m-2 s-1; Computation: Time Integral of (hourly above canopy ozone concentration * stomatal conductance * Rc/(Rb+Rc) )</t>
  </si>
  <si>
    <t xml:space="preserve">reffclwtop</t>
  </si>
  <si>
    <t xml:space="preserve">Cloud-Top Effective Droplet Radius</t>
  </si>
  <si>
    <t xml:space="preserve">We can produce this as a 3-D diagnostic, but we do not produce an equivalent for cloud ice. Here the rider 'liquid water' does not appear in the request. Again we could easily implement a 2-D diagnostic, but once again (see comment for the variable cnn) I think that there are ambiguities. The variables cnn and reffclwtop are presumably requested for comparison with satellite observations, but we need to know what the satellites are measuring and if/how they distinguish between cloud water and cloud ice.</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</si>
  <si>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(TOA) each time sample when computing monthly mean. Reported values are weighted by total liquid cloud top fraction of  (as seen from TOA) each time sample when computing monthly mean.</t>
  </si>
  <si>
    <t xml:space="preserve">AerChemMIP,DAMIP,GeoMIP,HighResMIP,VIACSAB</t>
  </si>
  <si>
    <t xml:space="preserve">rsutcsaf</t>
  </si>
  <si>
    <t xml:space="preserve">TOA Outgoing Clear-Sky, Aerosol-Free Shortwave Radiation</t>
  </si>
  <si>
    <t xml:space="preserve">Ignore because part of RFMIP-IRF and we don't participate in that experiment of RFMIP. Moreover grib 128.212-126.068 won't work here, because then accumulated and instantaneous fluxes are mixed.</t>
  </si>
  <si>
    <t xml:space="preserve">Flux corresponding to rsutcs resulting from aerosol-free call to radiation, following Ghan (ACP, 2013)</t>
  </si>
  <si>
    <t xml:space="preserve">AerChemMIP,DAMIP,GeoMIP,HighResMIP</t>
  </si>
  <si>
    <t xml:space="preserve">AerChemMIP,CFMIP,DAMIP,PMIP</t>
  </si>
  <si>
    <t xml:space="preserve">AerChemMIP,CFMIP,DAMIP</t>
  </si>
  <si>
    <t xml:space="preserve">ttop</t>
  </si>
  <si>
    <t xml:space="preserve">Air Temperature at Cloud Top</t>
  </si>
  <si>
    <t xml:space="preserve">K</t>
  </si>
  <si>
    <t xml:space="preserve">Not available yet in IFS output but it would be possible to implement.</t>
  </si>
  <si>
    <t xml:space="preserve">Declan</t>
  </si>
  <si>
    <t xml:space="preserve">cloud_top refers to the top of the highest cloud. Air temperature is the bulk temperature of the air, not the surface (skin) temperature.</t>
  </si>
  <si>
    <t xml:space="preserve">E3hrPt</t>
  </si>
  <si>
    <t xml:space="preserve">longitude latitude alt40 time1</t>
  </si>
  <si>
    <t xml:space="preserve">CFMIP</t>
  </si>
  <si>
    <t xml:space="preserve">parasolRefl</t>
  </si>
  <si>
    <t xml:space="preserve">longitude latitude sza5 time1</t>
  </si>
  <si>
    <t xml:space="preserve">PARASOL Reflectance</t>
  </si>
  <si>
    <t xml:space="preserve">COSP output currently not available from IFS</t>
  </si>
  <si>
    <t xml:space="preserve">Simulated reflectance from PARASOL as seen at the top of the atmosphere for 5 solar zenith angles. Valid only over ocean and for one viewing direction (viewing zenith angle of 30 degrees and relative azimuth angle 320 degrees).</t>
  </si>
  <si>
    <t xml:space="preserve">longitude latitude plev7c tau time1</t>
  </si>
  <si>
    <t xml:space="preserve">albdiffbnd</t>
  </si>
  <si>
    <t xml:space="preserve">longitude latitude spectband time1</t>
  </si>
  <si>
    <t xml:space="preserve">Diffuse Surface Albedo for Each Band</t>
  </si>
  <si>
    <t xml:space="preserve">Not available: In IFS it is not possible to distinguish output in spectral intervals. </t>
  </si>
  <si>
    <t xml:space="preserve">The fraction of the surface diffuse downwelling shortwave radiation flux which is reflected. If the diffuse radiation is isotropic, this term is equivalent to the integral of surface bidirectional reflectance over all incident angles and over all outgoing angles in the hemisphere above the surface. Reported in spectral frequency bands.</t>
  </si>
  <si>
    <t xml:space="preserve">RFMIP</t>
  </si>
  <si>
    <t xml:space="preserve">albdirbnd</t>
  </si>
  <si>
    <t xml:space="preserve">Direct Surface Albedo for Each Band</t>
  </si>
  <si>
    <t xml:space="preserve">The fraction of the surface direct downwelling shortwave radiation flux which is reflected. It is equivalent to the surface bidirectional reflectance at the incident angle of the incoming solar radiation and integrated over all outgoing angles in the hemisphere above the surface.  Reported in spectral frequency bands.</t>
  </si>
  <si>
    <t xml:space="preserve">solbnd</t>
  </si>
  <si>
    <t xml:space="preserve">TOA Solar Irradiance for each band</t>
  </si>
  <si>
    <t xml:space="preserve">Solar irradiance at a horizontal surface at top of atmosphere.</t>
  </si>
  <si>
    <t xml:space="preserve">aeroptbnd</t>
  </si>
  <si>
    <t xml:space="preserve">longitude latitude alevel spectband time1</t>
  </si>
  <si>
    <t xml:space="preserve">Aerosol Level Absorption Optical Thickness for Each Band</t>
  </si>
  <si>
    <t xml:space="preserve">Optical thickness of atmospheric aerosols in wavelength bands.</t>
  </si>
  <si>
    <t xml:space="preserve">aerssabnd</t>
  </si>
  <si>
    <t xml:space="preserve">Aerosol Level Single Scattering Albedo for Each Band</t>
  </si>
  <si>
    <t xml:space="preserve">The single scattering albedo is the fraction of radiation in an incident light beam scattered by the particles of an aerosol reference volume for a given wavelength. It is the ratio of the scattering and the extinction coefficients of the aerosol particles in the reference volume. </t>
  </si>
  <si>
    <t xml:space="preserve">aerasymbnd</t>
  </si>
  <si>
    <t xml:space="preserve">Aerosol Level Asymmetry Parameter for Each Band</t>
  </si>
  <si>
    <t xml:space="preserve">The asymmetry factor is the angular integral of the aerosol scattering phase function weighted by the cosine of the angle with the incident radiation flux. The asymmetry coefficient is here an integral over all wavelength bands.</t>
  </si>
  <si>
    <t xml:space="preserve">longitude latitude time1</t>
  </si>
  <si>
    <t xml:space="preserve">rsdscsaf</t>
  </si>
  <si>
    <t xml:space="preserve">Surface Downwelling Clear-Sky, Aerosol-Free Shortwave Radiation</t>
  </si>
  <si>
    <t xml:space="preserve">not available, moreover they can be ignored because part of RFMIP-IRF and we don't participate in that experiment of RFMIP.</t>
  </si>
  <si>
    <t xml:space="preserve">Calculated in the absence of aerosols and clouds.</t>
  </si>
  <si>
    <t xml:space="preserve">rsuscsaf</t>
  </si>
  <si>
    <t xml:space="preserve">Surface Upwelling Clean Clear-Sky Shortwave Radiation</t>
  </si>
  <si>
    <t xml:space="preserve">Surface Upwelling Clear-sky, Aerosol Free Shortwave Radiation</t>
  </si>
  <si>
    <t xml:space="preserve">rsutcsafbnd</t>
  </si>
  <si>
    <t xml:space="preserve">TOA Outgoing Clear-Sky, Aerosol-Free Shortwave Radiation in Bands</t>
  </si>
  <si>
    <t xml:space="preserve">Calculated in the absence of aerosols and clouds, following Ghan (2013, ACP). This requires a double-call in the radiation code with precisely the same meteorology.</t>
  </si>
  <si>
    <t xml:space="preserve">rsdscsafbnd</t>
  </si>
  <si>
    <t xml:space="preserve">Surface Downwelling Clear-Sky, Aerosol-Free Shortwave Radiation in Bands</t>
  </si>
  <si>
    <t xml:space="preserve">rsuscsafbnd</t>
  </si>
  <si>
    <t xml:space="preserve">Surface Upwelling Clear-Sky, Aerosol-Free Shortwave Radiation in Bands</t>
  </si>
  <si>
    <t xml:space="preserve">Calculated in the absence of aerosols and clouds, following Ghan (ACP, 2013). This requires a double-call in the radiation code with precisely the same meteorology.</t>
  </si>
  <si>
    <t xml:space="preserve">rsutcsbnd</t>
  </si>
  <si>
    <t xml:space="preserve">TOA Outgoing Clear-Sky Shortwave Radiation for Each Band</t>
  </si>
  <si>
    <t xml:space="preserve">Calculated with aerosols but without clouds. This is a standard clear-sky calculation</t>
  </si>
  <si>
    <t xml:space="preserve">rsdscsbnd</t>
  </si>
  <si>
    <t xml:space="preserve">Surface Downwelling Clear-Sky Shortwave Radiation for Each Band</t>
  </si>
  <si>
    <t xml:space="preserve">rsuscsbnd</t>
  </si>
  <si>
    <t xml:space="preserve">Surface Upwelling Clear-Sky Shortwave Radiation for Each Band</t>
  </si>
  <si>
    <t xml:space="preserve">rsucsaf</t>
  </si>
  <si>
    <t xml:space="preserve">longitude latitude alevhalf time1</t>
  </si>
  <si>
    <t xml:space="preserve">Upwelling Clear-Sky, Aerosol-Free Shortwave Radiation</t>
  </si>
  <si>
    <t xml:space="preserve">Calculated in the absence of aerosols and clouds (following Ghan). This requires a double-call in the radiation code with precisely the same meteorology.</t>
  </si>
  <si>
    <t xml:space="preserve">rsdcsaf</t>
  </si>
  <si>
    <t xml:space="preserve">Downwelling Clear-Sky, Aerosol-Free Shortwave Radiation</t>
  </si>
  <si>
    <t xml:space="preserve">rsucsafbnd</t>
  </si>
  <si>
    <t xml:space="preserve">longitude latitude alevhalf spectband time1</t>
  </si>
  <si>
    <t xml:space="preserve">Upwelling Clear-Sky, Aerosol-Free Shortwave Radiation in Bands</t>
  </si>
  <si>
    <t xml:space="preserve">rsdcsafbnd</t>
  </si>
  <si>
    <t xml:space="preserve">Downwelling Clear-Sky, Aerosol-Free, Shortwave Radiation in Bands</t>
  </si>
  <si>
    <t xml:space="preserve">rsucsbnd</t>
  </si>
  <si>
    <t xml:space="preserve">Upwelling Clear-Sky Shortwave Radiation at Each Level for Each Band</t>
  </si>
  <si>
    <t xml:space="preserve">rsdcsbnd</t>
  </si>
  <si>
    <t xml:space="preserve">Downwelling Clear-Sky Shortwave Radiation at Each Level for Each Band</t>
  </si>
  <si>
    <t xml:space="preserve">longitude latitude alevel time1</t>
  </si>
  <si>
    <t xml:space="preserve">Esubhr</t>
  </si>
  <si>
    <t xml:space="preserve">AERday</t>
  </si>
  <si>
    <t xml:space="preserve">ua10</t>
  </si>
  <si>
    <t xml:space="preserve">longitude latitude time p10</t>
  </si>
  <si>
    <t xml:space="preserve">Eastward Wind at 10hPa</t>
  </si>
  <si>
    <t xml:space="preserve">Available in IFS, but maybe not so relevant because TM5 doesn't simulate stratospheric ozone</t>
  </si>
  <si>
    <t xml:space="preserve">Zonal wind on the 10 hPa surface</t>
  </si>
  <si>
    <t xml:space="preserve">zg10</t>
  </si>
  <si>
    <t xml:space="preserve">Geopotential Height at 10hPa</t>
  </si>
  <si>
    <t xml:space="preserve">Maybe available in IFS, but maybe not so relevant because TM5 doesn't simulate stratospheric ozone</t>
  </si>
  <si>
    <t xml:space="preserve">Geopotential height on the 10hPa surface</t>
  </si>
  <si>
    <t xml:space="preserve">zg100</t>
  </si>
  <si>
    <t xml:space="preserve">longitude latitude time p100</t>
  </si>
  <si>
    <t xml:space="preserve">Geopotential Height at 100hPa</t>
  </si>
  <si>
    <t xml:space="preserve">Maybe available in IFS, but maybe not so relevant.</t>
  </si>
  <si>
    <t xml:space="preserve">Geopotential height on the 100 hPa surface</t>
  </si>
  <si>
    <t xml:space="preserve">Oclim</t>
  </si>
  <si>
    <t xml:space="preserve">difvtrbo</t>
  </si>
  <si>
    <t xml:space="preserve">longitude latitude olevel time2</t>
  </si>
  <si>
    <t xml:space="preserve">Ocean Vertical Tracer Diffusivity Due to Background</t>
  </si>
  <si>
    <t xml:space="preserve">Vertical/dianeutral diffusivity applied to tracers due to the background (i.e. caused by a time invariant imposed field which may be either constant over the globe or spatially varying, depending on the ocean model used).</t>
  </si>
  <si>
    <t xml:space="preserve">CMIP,FAFMIP,HighResMIP,LUMIP,RFMIP,VIACSAB</t>
  </si>
  <si>
    <t xml:space="preserve">tnpeot</t>
  </si>
  <si>
    <t xml:space="preserve">Tendency of Ocean Potential Energy Content Due to Tides</t>
  </si>
  <si>
    <t xml:space="preserve">'Content' indicates a quantity per unit area.  Potential energy is the sum of the gravitational potential energy relative to the geoid and the centripetal potential energy. (The geopotential is the specific potential energy.)  'Due to tides' means due to all astronomical gravity changes which manifest as tides.  No distinction is made between different tidal components.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</si>
  <si>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tnpeotb</t>
  </si>
  <si>
    <t xml:space="preserve">Tendency of Ocean Potential Energy Content Due to Background</t>
  </si>
  <si>
    <t xml:space="preserve">'Content' indicates a quantity per unit area.  Potential energy is the sum of the gravitational potential energy relative to the geoid and the centripetal potential energy. (The geopotential is the specific potential energy.)  'Due to background' means caused by a time invariant imposed field which may be either constant over the globe or spatially varying, depending on the ocean model used.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</si>
  <si>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difvmbo</t>
  </si>
  <si>
    <t xml:space="preserve">Ocean Vertical Momentum Diffusivity Due to Background</t>
  </si>
  <si>
    <t xml:space="preserve">Vertical/dianeutral diffusivity applied to momentum due to the background (i.e. caused by a time invariant imposed field which may be either constant over the globe or spatially varying, depending on the ocean model used).</t>
  </si>
  <si>
    <t xml:space="preserve">difvmfdo</t>
  </si>
  <si>
    <t xml:space="preserve">Ocean Vertical Momentum Diffusivity Due to Form Drag</t>
  </si>
  <si>
    <t xml:space="preserve">Vertical/dianeutral diffusivity applied to momentum due to form drag (i.e. resulting from a model scheme representing  mesoscale eddy-induced form drag).</t>
  </si>
  <si>
    <t xml:space="preserve">Ofx</t>
  </si>
  <si>
    <t xml:space="preserve">longitude latitude olevel</t>
  </si>
  <si>
    <t xml:space="preserve">AerChemMIP,C4MIP,CMIP,DCPP,GMMIP,GeoMIP,OMIP,PAMIP,PMIP,VIACSAB</t>
  </si>
  <si>
    <t xml:space="preserve">ugrid</t>
  </si>
  <si>
    <t xml:space="preserve">UGRID Grid Specification</t>
  </si>
  <si>
    <t xml:space="preserve">Not required because the NEMO grid is curvilinear</t>
  </si>
  <si>
    <t xml:space="preserve">Thomas Reerink</t>
  </si>
  <si>
    <t xml:space="preserve">Ony required for models with unstructured grids: this label should be used for a file containing information about the grid structure, following the UGRID convention.</t>
  </si>
  <si>
    <t xml:space="preserve">CMIP</t>
  </si>
  <si>
    <t xml:space="preserve">6hrPlevPt</t>
  </si>
  <si>
    <t xml:space="preserve">wbptemp7h</t>
  </si>
  <si>
    <t xml:space="preserve">longitude latitude plev7h time1</t>
  </si>
  <si>
    <t xml:space="preserve">Wet Bulb Potential Temperature</t>
  </si>
  <si>
    <t xml:space="preserve">Not available in IFS output.</t>
  </si>
  <si>
    <t xml:space="preserve">Wet bulb potential temperature</t>
  </si>
  <si>
    <t xml:space="preserve">Eday</t>
  </si>
  <si>
    <t xml:space="preserve">mrsfl</t>
  </si>
  <si>
    <t xml:space="preserve">longitude latitude sdepth time</t>
  </si>
  <si>
    <t xml:space="preserve">Frozen Water Content of Soil Layer</t>
  </si>
  <si>
    <t xml:space="preserve">kg m-2</t>
  </si>
  <si>
    <t xml:space="preserve">Can not be produced by LPJ-GUESS: No frozen fraction</t>
  </si>
  <si>
    <t xml:space="preserve">in each soil layer, the mass of water in ice phase.  Reported as 'missing' for grid cells occupied entirely by 'sea'</t>
  </si>
  <si>
    <t xml:space="preserve">C4MIP</t>
  </si>
  <si>
    <t xml:space="preserve">longitude latitude sza5 time</t>
  </si>
  <si>
    <t xml:space="preserve">clwvic</t>
  </si>
  <si>
    <t xml:space="preserve">Convective Condensed Water Path</t>
  </si>
  <si>
    <t xml:space="preserve">Not available in IFS output, without additional effort.</t>
  </si>
  <si>
    <t xml:space="preserve">calculate mass of convective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</si>
  <si>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rsdscsdiff</t>
  </si>
  <si>
    <t xml:space="preserve">Surface Diffuse Downwelling Clear Sky Shortwave Radiation</t>
  </si>
  <si>
    <t xml:space="preserve">Not available in IFS</t>
  </si>
  <si>
    <t xml:space="preserve">Gijs, Thomas</t>
  </si>
  <si>
    <t xml:space="preserve">Surface downwelling solar irradiance from diffuse radiation for UV calculations in clear sky conditions</t>
  </si>
  <si>
    <t xml:space="preserve">tauupbl</t>
  </si>
  <si>
    <t xml:space="preserve">Eastward Surface Stress from Planetary Boundary Layer Scheme</t>
  </si>
  <si>
    <t xml:space="preserve">Ignored because lack of time, see #191: 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</si>
  <si>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</si>
  <si>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tauvpbl</t>
  </si>
  <si>
    <t xml:space="preserve">Northward Surface Stress from Planetary Boundary Layer Scheme</t>
  </si>
  <si>
    <t xml:space="preserve">Ignored because lack of time, see #191: 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</si>
  <si>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</si>
  <si>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DCPP,PAMIP,PMIP</t>
  </si>
  <si>
    <t xml:space="preserve">tasmaxCrop</t>
  </si>
  <si>
    <t xml:space="preserve">longitude latitude time height2m</t>
  </si>
  <si>
    <t xml:space="preserve">Daily Maximum Near-Surface Air Temperature over Crop Tile</t>
  </si>
  <si>
    <t xml:space="preserve">Not available, not available in H-TESSEL</t>
  </si>
  <si>
    <t xml:space="preserve">Andrea Alessandri</t>
  </si>
  <si>
    <t xml:space="preserve">maximum near-surface (usually, 2 meter) air temperature (add cell_method attribute 'time: max')</t>
  </si>
  <si>
    <t xml:space="preserve">tasminCrop</t>
  </si>
  <si>
    <t xml:space="preserve">Daily Minimum Near-Surface Air Temperature over Crop Tile</t>
  </si>
  <si>
    <t xml:space="preserve">minimum near-surface (usually, 2 meter) air temperature (add cell_method attribute 'time: min')</t>
  </si>
  <si>
    <t xml:space="preserve">hursminCrop</t>
  </si>
  <si>
    <t xml:space="preserve">Daily Minimum Near-Surface Relative Humidity over Crop Tile</t>
  </si>
  <si>
    <t xml:space="preserve">The relative humidity with respect to liquid water for T&gt; 0 C, and with respect to ice for T&lt;0 C.</t>
  </si>
  <si>
    <t xml:space="preserve">AERmonZ</t>
  </si>
  <si>
    <t xml:space="preserve">bry</t>
  </si>
  <si>
    <t xml:space="preserve">Total Inorganic Bromine Volume Mixing Ratio</t>
  </si>
  <si>
    <t xml:space="preserve">Total family (the sum of all appropriate species in the model) ; list the species in the netCDF header, e.g. Bry = Br + BrO + HOBr + HBr + BrONO2 + BrCl Definition: Total inorganic bromine (e.g., HBr and inorganic bromine oxides and radicals (e.g., BrO, atomic bromine (Br), bromine nitrate (BrONO2)) resulting from degradation of bromine-containing organic source gases (halons, methyl bromide, VSLS), and natural inorganic bromine sources (e.g., volcanoes, sea salt, and other aerosols) add comment attribute with detailed description about how the model calculates these fields</t>
  </si>
  <si>
    <t xml:space="preserve">cly</t>
  </si>
  <si>
    <t xml:space="preserve">Total Inorganic Chlorine Volume Mixing Ratio</t>
  </si>
  <si>
    <t xml:space="preserve">Total family (the sum of all appropriate species in the model) ; list the species in the netCDF header, e.g. Cly = HCl + ClONO2 + HOCl + ClO + Cl + 2*Cl2O2 +2Cl2 + OClO + BrCl Definition: Total inorganic stratospheric chlorine (e.g., HCl, ClO) resulting from degradation of chlorine-containing source gases (CFCs, HCFCs, VSLS), and natural inorganic chlorine sources (e.g., sea salt and other aerosols) add comment attribute with detailed description about how the model calculates these fields</t>
  </si>
  <si>
    <t xml:space="preserve">meanage</t>
  </si>
  <si>
    <t xml:space="preserve">Mean Age of Stratospheric Air</t>
  </si>
  <si>
    <t xml:space="preserve">The mean age of air is defined as the mean time that a stratospheric air mass has been out of contact with the well-mixed troposphere.</t>
  </si>
  <si>
    <t xml:space="preserve">AerChemMIP,DynVar,VolMIP</t>
  </si>
  <si>
    <t xml:space="preserve">vt100</t>
  </si>
  <si>
    <t xml:space="preserve">latitude time p100</t>
  </si>
  <si>
    <t xml:space="preserve">Northward Heat Flux Due to Eddies</t>
  </si>
  <si>
    <t xml:space="preserve">Zonally averaged meridional heat flux at 100hPa as monthly means derived from daily (or higher frequency) fields.</t>
  </si>
  <si>
    <t xml:space="preserve">CF3hr</t>
  </si>
  <si>
    <t xml:space="preserve">E3hr</t>
  </si>
  <si>
    <t xml:space="preserve">prcsh</t>
  </si>
  <si>
    <t xml:space="preserve">Precipitation Flux from Shallow Convection</t>
  </si>
  <si>
    <t xml:space="preserve">Not available in IFS output</t>
  </si>
  <si>
    <t xml:space="preserve">Convection precipitation from shallow convection</t>
  </si>
  <si>
    <t xml:space="preserve">Emon</t>
  </si>
  <si>
    <t xml:space="preserve">co23D</t>
  </si>
  <si>
    <t xml:space="preserve">3D-Field of Transported CO2</t>
  </si>
  <si>
    <t xml:space="preserve">kg kg-1</t>
  </si>
  <si>
    <t xml:space="preserve">report 3D field of model simulated atmospheric CO2 mass mixing ration on model levels</t>
  </si>
  <si>
    <t xml:space="preserve">cSoilAbove1m</t>
  </si>
  <si>
    <t xml:space="preserve">longitude latitude time sdepth10</t>
  </si>
  <si>
    <t xml:space="preserve">Carbon Mass in Soil Pool Above 1m Depth</t>
  </si>
  <si>
    <t xml:space="preserve">Can not be produced by LPJ-GUESS: Only have total soil C, no layers</t>
  </si>
  <si>
    <t xml:space="preserve">Report missing data over ocean grid cells. For fractional land report value averaged over the land fraction.</t>
  </si>
  <si>
    <t xml:space="preserve">C4MIP,LUMIP</t>
  </si>
  <si>
    <t xml:space="preserve">c14Veg</t>
  </si>
  <si>
    <t xml:space="preserve">Mass of 14C in Vegetation</t>
  </si>
  <si>
    <t xml:space="preserve">Can not be produced by LPJ-GUESS: No isotopes</t>
  </si>
  <si>
    <t xml:space="preserve">Carbon-14 mass content per unit area in vegetation (any living plants e.g. trees, shrubs, grass).</t>
  </si>
  <si>
    <t xml:space="preserve">C4MIP,LUMIP,PMIP</t>
  </si>
  <si>
    <t xml:space="preserve">c14Litter</t>
  </si>
  <si>
    <t xml:space="preserve">Mass of 14C in Litter Pool</t>
  </si>
  <si>
    <t xml:space="preserve">Carbon-14 mass content per unit area litter (dead plant material in or above the soil).</t>
  </si>
  <si>
    <t xml:space="preserve">c14Soil</t>
  </si>
  <si>
    <t xml:space="preserve">Mass of 14C in Soil Pool</t>
  </si>
  <si>
    <t xml:space="preserve">Carbon-14 mass content per unit area in soil.</t>
  </si>
  <si>
    <t xml:space="preserve">c13Veg</t>
  </si>
  <si>
    <t xml:space="preserve">Mass of 13C in Vegetation</t>
  </si>
  <si>
    <t xml:space="preserve">Carbon-13 mass content per unit area in vegetation (any living plants e.g. trees, shrubs, grass).</t>
  </si>
  <si>
    <t xml:space="preserve">c13Litter</t>
  </si>
  <si>
    <t xml:space="preserve">Mass of 13C in Litter Pool</t>
  </si>
  <si>
    <t xml:space="preserve">Carbon-13 mass content per unit area litter (dead plant material in or above the soil).</t>
  </si>
  <si>
    <t xml:space="preserve">c13Soil</t>
  </si>
  <si>
    <t xml:space="preserve">Mass of 13C in Soil Pool</t>
  </si>
  <si>
    <t xml:space="preserve">Carbon-13 mass content per unit area in soil.</t>
  </si>
  <si>
    <t xml:space="preserve">c13Land</t>
  </si>
  <si>
    <t xml:space="preserve">Mass of 13C in All Terrestrial Carbon Pools</t>
  </si>
  <si>
    <t xml:space="preserve">Carbon-13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</si>
  <si>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rac14</t>
  </si>
  <si>
    <t xml:space="preserve">Mass Flux of 14C into Atmosphere Due to Autotrophic (Plant) Respiration on Land</t>
  </si>
  <si>
    <t xml:space="preserve">Flux of carbon-14 into the atmosphere due to plant respiration. Plant respiration is the sum of respiration by parts of plants both above and below the soil. It is assumed that all the respired carbon dioxide is emitted to the atmosphere. </t>
  </si>
  <si>
    <t xml:space="preserve">rhc13</t>
  </si>
  <si>
    <t xml:space="preserve">Mass Flux of 13C into Atmosphere Due to Heterotrophic Respiration on Land</t>
  </si>
  <si>
    <t xml:space="preserve">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within both the soil and litter pools.</t>
  </si>
  <si>
    <t xml:space="preserve">dissi14c</t>
  </si>
  <si>
    <t xml:space="preserve">Dissolved Inorganic Carbon-14 Concentration</t>
  </si>
  <si>
    <t xml:space="preserve">Dissolved inorganic carbon-14 (CO3+HCO3+H2CO3) concentration</t>
  </si>
  <si>
    <t xml:space="preserve">mrlso</t>
  </si>
  <si>
    <t xml:space="preserve">Soil Liquid Water Content</t>
  </si>
  <si>
    <t xml:space="preserve">The mass (summed over all all layers) of liquid water.</t>
  </si>
  <si>
    <t xml:space="preserve">fNVegSoil</t>
  </si>
  <si>
    <t xml:space="preserve">Total Nitrogen Mass Flux from Vegetation Directly to Soil</t>
  </si>
  <si>
    <t xml:space="preserve">Can not be produced by LPJ-GUESS: No process that goes directly from veg to soil</t>
  </si>
  <si>
    <t xml:space="preserve">In some models part of nitrogen (e.g., root exudate) can go directly into the soil pool without entering litter.</t>
  </si>
  <si>
    <t xml:space="preserve">wtd</t>
  </si>
  <si>
    <t xml:space="preserve">Water Table Depth</t>
  </si>
  <si>
    <t xml:space="preserve">Can not be produced by LPJ-GUESS: Not calculated in this version</t>
  </si>
  <si>
    <t xml:space="preserve">Depth is the vertical distance below the surface. The water table is the surface below which the soil is saturated with water such that all pore spaces are filled.</t>
  </si>
  <si>
    <t xml:space="preserve">mrtws</t>
  </si>
  <si>
    <t xml:space="preserve">Terrestrial Water Storage</t>
  </si>
  <si>
    <t xml:space="preserve">not available, no time to implement </t>
  </si>
  <si>
    <t xml:space="preserve">Emanuel Dutra</t>
  </si>
  <si>
    <t xml:space="preserve">Mass of water in all phases and in all components including soil, canopy, vegetation, ice sheets, rivers and ground water.</t>
  </si>
  <si>
    <t xml:space="preserve">cVegTree</t>
  </si>
  <si>
    <t xml:space="preserve">Carbon Mass in Vegetation on Tree Tiles</t>
  </si>
  <si>
    <t xml:space="preserve">Can not be produced by LPJ-GUESS: Don't seperate natural vegetation in vegetation type tiles</t>
  </si>
  <si>
    <t xml:space="preserve">'Content' indicates a quantity per unit area. 'Vegetation' means any plants e.g. trees, shrubs, grass. Plants are autotrophs i.e. 'producers' of biomass using carbon obtained from carbon dioxide.</t>
  </si>
  <si>
    <t xml:space="preserve">cVegShrub</t>
  </si>
  <si>
    <t xml:space="preserve">Carbon Mass in Vegetation on Shrub Tiles</t>
  </si>
  <si>
    <t xml:space="preserve">cVegGrass</t>
  </si>
  <si>
    <t xml:space="preserve">Carbon Mass in Vegetation on Grass Tiles</t>
  </si>
  <si>
    <t xml:space="preserve">cLitterTree</t>
  </si>
  <si>
    <t xml:space="preserve">Carbon Mass in Litter on Tree Tiles</t>
  </si>
  <si>
    <t xml:space="preserve">'Litter' is dead plant material in or above the soil. It is distinct from coarse wood debris. The precise distinction between 'fine' and 'coarse' is model dependent. 'Content' indicates a quantity per unit area. The sum of the quantities with standard names surface_litter_mass_content_of_carbon and subsurface_litter_mass_content_of_carbon has the standard name litter_mass_content_of_carbon.</t>
  </si>
  <si>
    <t xml:space="preserve">cLitterShrub</t>
  </si>
  <si>
    <t xml:space="preserve">Carbon Mass in Litter on Shrub Tiles</t>
  </si>
  <si>
    <t xml:space="preserve">cLitterGrass</t>
  </si>
  <si>
    <t xml:space="preserve">Carbon Mass in Litter on Grass Tiles</t>
  </si>
  <si>
    <t xml:space="preserve">cSoilTree</t>
  </si>
  <si>
    <t xml:space="preserve">Carbon Mass in Soil on Tree Tiles</t>
  </si>
  <si>
    <t xml:space="preserve">'Content' indicates a quantity per unit area. The 'soil content' of a quantity refers to the vertical integral from the surface down to the bottom of the soil model. For the content between specified levels in the soil, standard names including content_of_soil_layer are used.</t>
  </si>
  <si>
    <t xml:space="preserve">cSoilShrub</t>
  </si>
  <si>
    <t xml:space="preserve">Carbon Mass in Soil on Shrub Tiles</t>
  </si>
  <si>
    <t xml:space="preserve">cSoilGrass</t>
  </si>
  <si>
    <t xml:space="preserve">Carbon Mass in Soil on Grass Tiles</t>
  </si>
  <si>
    <t xml:space="preserve">cSoilLevels</t>
  </si>
  <si>
    <t xml:space="preserve">Carbon Mass in Each Model Soil Level (Summed over All Soil Carbon Pools in That Level)</t>
  </si>
  <si>
    <t xml:space="preserve">for models with vertically discretised soil carbon, report total soil carbon for each level</t>
  </si>
  <si>
    <t xml:space="preserve">cSoilPools</t>
  </si>
  <si>
    <t xml:space="preserve">longitude latitude soilpools time</t>
  </si>
  <si>
    <t xml:space="preserve">Carbon Mass in Each Model Soil Pool (Summed over Vertical Levels)</t>
  </si>
  <si>
    <t xml:space="preserve">Can not be produced by LPJ-GUESS: Too much work</t>
  </si>
  <si>
    <t xml:space="preserve">For models with multiple soil carbon pools, report each pool here. If models also have vertical discretisation these should be aggregated</t>
  </si>
  <si>
    <t xml:space="preserve">tSoilPools</t>
  </si>
  <si>
    <t xml:space="preserve">Turnover Rate of Each Model Soil Carbon Pool</t>
  </si>
  <si>
    <t xml:space="preserve">defined as 1/(turnover time) for each soil pool. Use the same pools reported under cSoilPools</t>
  </si>
  <si>
    <t xml:space="preserve">fVegLitterSenescence</t>
  </si>
  <si>
    <t xml:space="preserve">Total Carbon Mass Flux from Vegetation to Litter as a Result of Leaf, Branch, and Root Senescence</t>
  </si>
  <si>
    <t xml:space="preserve">needed to separate changing vegetation C turnover times resulting from changing allocation versus changing mortality</t>
  </si>
  <si>
    <t xml:space="preserve">fVegLitterMortality</t>
  </si>
  <si>
    <t xml:space="preserve">Total Carbon Mass Flux from Vegetation to Litter as a Result of Mortality</t>
  </si>
  <si>
    <t xml:space="preserve">fVegSoilSenescence</t>
  </si>
  <si>
    <t xml:space="preserve">Total Carbon Mass Flux from Vegetation to Soil as a Result of Leaf, Branch, and Root Senescence</t>
  </si>
  <si>
    <t xml:space="preserve">fVegSoilMortality</t>
  </si>
  <si>
    <t xml:space="preserve">Total Carbon Mass Flux from Vegetation to Soil as a Result of Mortality</t>
  </si>
  <si>
    <t xml:space="preserve">nppStem</t>
  </si>
  <si>
    <t xml:space="preserve">Net Primary Production Allocated to Stem</t>
  </si>
  <si>
    <t xml:space="preserve">Can not be produced by LPJ-GUESS: Not possible</t>
  </si>
  <si>
    <t xml:space="preserve">added for completeness with npp_root</t>
  </si>
  <si>
    <t xml:space="preserve">nppOther</t>
  </si>
  <si>
    <t xml:space="preserve">Net Primary Production Allocated to Other Pools (not Leaves Stem or Roots)</t>
  </si>
  <si>
    <t xml:space="preserve">gppShrub</t>
  </si>
  <si>
    <t xml:space="preserve">Gross Primary Production on Shrub Tiles</t>
  </si>
  <si>
    <t xml:space="preserve">Can not be produced by LPJ-GUESS: No shrubs in this version</t>
  </si>
  <si>
    <t xml:space="preserve">Total GPP of shrubs in the grid cell</t>
  </si>
  <si>
    <t xml:space="preserve">nppShrub</t>
  </si>
  <si>
    <t xml:space="preserve">Net Primary Production on Shrub Tiles</t>
  </si>
  <si>
    <t xml:space="preserve">Total NPP of shrubs in the grid cell</t>
  </si>
  <si>
    <t xml:space="preserve">raShrub</t>
  </si>
  <si>
    <t xml:space="preserve">Autotrophic Respiration on Shrub Tiles</t>
  </si>
  <si>
    <t xml:space="preserve">Total RA of shrubs in the grid cell</t>
  </si>
  <si>
    <t xml:space="preserve">rhTree</t>
  </si>
  <si>
    <t xml:space="preserve">Heterotrophic Respiration on Tree Tiles</t>
  </si>
  <si>
    <t xml:space="preserve">Can not be produced by LPJ-GUESS: Can't seperate rh between vegetation types as they compete for the same space</t>
  </si>
  <si>
    <t xml:space="preserve">Total RH of trees in the grid cell</t>
  </si>
  <si>
    <t xml:space="preserve">rhShrub</t>
  </si>
  <si>
    <t xml:space="preserve">Heterotrophic Respiration on Shrub Tiles</t>
  </si>
  <si>
    <t xml:space="preserve">Total RH of shrubs in the grid cell</t>
  </si>
  <si>
    <t xml:space="preserve">rhGrass</t>
  </si>
  <si>
    <t xml:space="preserve">Heterotrophic Respiration on Grass Tiles</t>
  </si>
  <si>
    <t xml:space="preserve">Total RH of grass in the grid cell</t>
  </si>
  <si>
    <t xml:space="preserve">vegHeightGrass</t>
  </si>
  <si>
    <t xml:space="preserve">Height of Grass</t>
  </si>
  <si>
    <t xml:space="preserve">Can not be produced by LPJ-GUESS: grass doesn't have a height</t>
  </si>
  <si>
    <t xml:space="preserve">Vegetation height averaged over the grass fraction of a grid cell.</t>
  </si>
  <si>
    <t xml:space="preserve">vegHeightShrub</t>
  </si>
  <si>
    <t xml:space="preserve">Height of Shrubs</t>
  </si>
  <si>
    <t xml:space="preserve">Vegetation height averaged over the shrub fraction of a grid cell.</t>
  </si>
  <si>
    <t xml:space="preserve">vegHeightCrop</t>
  </si>
  <si>
    <t xml:space="preserve">Height of Crops</t>
  </si>
  <si>
    <t xml:space="preserve">Can not be produced by LPJ-GUESS: crop doesn't have a height</t>
  </si>
  <si>
    <t xml:space="preserve">Vegetation height averaged over the crop fraction of a grid cell.</t>
  </si>
  <si>
    <t xml:space="preserve">vegHeightPasture</t>
  </si>
  <si>
    <t xml:space="preserve">Height of Pastures</t>
  </si>
  <si>
    <t xml:space="preserve">Vegetation height averaged over the pasture fraction of a grid cell.</t>
  </si>
  <si>
    <t xml:space="preserve">wetlandCH4prod</t>
  </si>
  <si>
    <t xml:space="preserve">Grid Averaged Methane Production (Methanogenesis) from Wetlands</t>
  </si>
  <si>
    <t xml:space="preserve">Can not be produced by LPJ-GUESS: Not in this version</t>
  </si>
  <si>
    <t xml:space="preserve">Biological emissions (methanogenesis) of methane (NH4) from wetlands (areas where water covers the soil, or is present either at or near the surface of the soil all year or for varying periods of time during the year, including during the growing season). </t>
  </si>
  <si>
    <t xml:space="preserve">wetlandCH4cons</t>
  </si>
  <si>
    <t xml:space="preserve">Grid Averaged Methane Consumption (Methanotrophy) from Wetlands</t>
  </si>
  <si>
    <t xml:space="preserve">Biological consumption (methanotrophy) of methane (NH4) by wetlands (areas where water covers the soil, or is present either at or near the surface of the soil all year or for varying periods of time during the year, including during the growing season). </t>
  </si>
  <si>
    <t xml:space="preserve">fN2O</t>
  </si>
  <si>
    <t xml:space="preserve">Total Land N2O Flux</t>
  </si>
  <si>
    <t xml:space="preserve">Surface upward flux of nitrous oxide (N2O) from vegetation (any living plants e.g. trees, shrubs, grass), litter (dead plant material in or above the soil), soil.</t>
  </si>
  <si>
    <t xml:space="preserve">fNOx</t>
  </si>
  <si>
    <t xml:space="preserve">Total Land NOx Flux</t>
  </si>
  <si>
    <t xml:space="preserve">The surface called 'surface' means the lower boundary of the atmosphere. 'Upward' indicates a vector component which is positive when directed upward (negative downward). In accordance with common usage in geophysical disciplines, 'flux' implies per unit area, called 'flux density' in physics. The phrase 'expressed_as' is used in the construction A_expressed_as_B, where B is a chemical constituent of A. It means that the quantity indicated by the standard name is calculated solely with respect to the B contained in A, neglecting all other chemical constituents of A. 'Nox' means a combination of two radical species containing nitrogen and oxygen NO+NO2. 'Vegetation' means any living plants e.g. trees, shrubs, grass. 'Litter' is dead plant material in or above the soil.</t>
  </si>
  <si>
    <t xml:space="preserve">DAMIP,DynVar,VolMIP</t>
  </si>
  <si>
    <t xml:space="preserve">diabdrag</t>
  </si>
  <si>
    <t xml:space="preserve">Tendency of Eastward Wind from Numerical Artefacts</t>
  </si>
  <si>
    <t xml:space="preserve">Other sub-grid scale/numerical zonal drag excluding that already provided for the parameterized orographic and non-orographic gravity waves. This would be used to calculate the total 'diabatic drag'. Contributions to this additional drag such Rayleigh friction and diffusion that can be calculated from the monthly mean wind fields should not be included, but details (e.g. coefficients) of the friction and/or diffusion used in the model should be provided separately.</t>
  </si>
  <si>
    <t xml:space="preserve">GeoMIP,VIACSAB</t>
  </si>
  <si>
    <t xml:space="preserve">cMisc</t>
  </si>
  <si>
    <t xml:space="preserve">Carbon Mass in Other Living Compartments on Land</t>
  </si>
  <si>
    <t xml:space="preserve">Can not be produced by LPJ-GUESS: Don't have this in LPJ-GUESS</t>
  </si>
  <si>
    <t xml:space="preserve">e.g., labile, fruits, reserves, etc.</t>
  </si>
  <si>
    <t xml:space="preserve">AerChemMIP,CMIP,FAFMIP,GMMIP,GeoMIP,HighResMIP,LS3MIP,RFMIP,VIACSAB,VolMIP</t>
  </si>
  <si>
    <t xml:space="preserve">tasLut</t>
  </si>
  <si>
    <t xml:space="preserve">longitude latitude landUse time height2m</t>
  </si>
  <si>
    <t xml:space="preserve">Near-surface Air Temperature on Land Use Tile</t>
  </si>
  <si>
    <t xml:space="preserve">Can not be produced by either LPJ-GUESS or H-TESSEL.</t>
  </si>
  <si>
    <t xml:space="preserve">David Warlind &amp; Andrea Alessandri</t>
  </si>
  <si>
    <t xml:space="preserve">Air temperature is the bulk temperature of the air, not the surface (skin) temperature.</t>
  </si>
  <si>
    <t xml:space="preserve">LUMIP</t>
  </si>
  <si>
    <t xml:space="preserve">tslsiLut</t>
  </si>
  <si>
    <t xml:space="preserve">longitude latitude landUse time</t>
  </si>
  <si>
    <t xml:space="preserve">Surface Temperature on Landuse Tile</t>
  </si>
  <si>
    <t xml:space="preserve">Surface temperature (i.e. temperature at which long-wave radiation emitted)</t>
  </si>
  <si>
    <t xml:space="preserve">hussLut</t>
  </si>
  <si>
    <t xml:space="preserve">Near-Surface Specific Humidity on Land-Use Tile</t>
  </si>
  <si>
    <t xml:space="preserve">Normally, the specific humidity should be reported at the 2 meter height</t>
  </si>
  <si>
    <t xml:space="preserve">hflsLut</t>
  </si>
  <si>
    <t xml:space="preserve">Latent Heat Flux on Land-Use Tile</t>
  </si>
  <si>
    <t xml:space="preserve">The surface called 'surface' means the lower boundary of the atmosphere. 'Upward' indicates a vector component which is positive when directed upward (negative downward). The surface latent heat flux is the exchange of heat between the surface and the air on account of evaporation (including sublimation). In accordance with common usage in geophysical disciplines, 'flux' implies per unit area, called 'flux density' in physics.</t>
  </si>
  <si>
    <t xml:space="preserve">hfssLut</t>
  </si>
  <si>
    <t xml:space="preserve">Sensible Heat Flux on Land-Use Tile</t>
  </si>
  <si>
    <t xml:space="preserve">Upward sensible heat flux on land use tiles. The surface sensible heat flux, also called turbulent heat flux, is the exchange of heat between the surface and the air by motion of air.</t>
  </si>
  <si>
    <t xml:space="preserve">rsusLut</t>
  </si>
  <si>
    <t xml:space="preserve">Surface Upwelling Shortwave  on Land-use Tile</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</si>
  <si>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</si>
  <si>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rlusLut</t>
  </si>
  <si>
    <t xml:space="preserve">Surface Upwelling Longwave on Land-Use Tile</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</si>
  <si>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</si>
  <si>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sweLut</t>
  </si>
  <si>
    <t xml:space="preserve">Snow Water Equivalent on Land-Use Tile</t>
  </si>
  <si>
    <t xml:space="preserve">The surface called 'surface' means the lower boundary of the atmosphere. 'lwe' means liquid water equivalent. 'Amount' means mass per unit area. The construction lwe_thickness_of_X_amount or _content means the vertical extent of a layer of liquid water having the same mass per unit area. Surface amount refers to the amount on the ground, excluding that on the plant or vegetation canopy.</t>
  </si>
  <si>
    <t xml:space="preserve">fahLut</t>
  </si>
  <si>
    <t xml:space="preserve">Anthropogenic Heat Flux Generated from non-Renewable Human Primary Energy Consumption</t>
  </si>
  <si>
    <t xml:space="preserve">Anthropogenic heat flux generated from non-renewable human primary energy consumption, including energy use by vehicles, commercial and residential buildings, industry, and power plants.  Primary energy refers to energy in natural resources, fossil and nonfossil, before conversion into other forms, such as electricity.</t>
  </si>
  <si>
    <t xml:space="preserve">pr18O</t>
  </si>
  <si>
    <t xml:space="preserve">Precipitation Flux of Water Containing Oxygen-18 (H2 18O)</t>
  </si>
  <si>
    <t xml:space="preserve">Precipitation mass flux of water molecules that contain the oxygen-18 isotope (H2 18O), including solid and liquid phases.</t>
  </si>
  <si>
    <t xml:space="preserve">PMIP</t>
  </si>
  <si>
    <t xml:space="preserve">prsn18O</t>
  </si>
  <si>
    <t xml:space="preserve">Precipitation Flux of Snow and Ice Containing Oxygen-18 (H2 18O)</t>
  </si>
  <si>
    <t xml:space="preserve">Precipitation mass flux of water molecules that contain the oxygen-18 isotope (H2 18O), including solid phase only.</t>
  </si>
  <si>
    <t xml:space="preserve">pr2h</t>
  </si>
  <si>
    <t xml:space="preserve">Precipitation Flux of Water Containing Deuterium (1H 2H O)</t>
  </si>
  <si>
    <t xml:space="preserve">Precipitation mass flux of water molecules that contain one atom of the hydrogen-2 isotope (1H 2H O), including solid and liquid phases.</t>
  </si>
  <si>
    <t xml:space="preserve">prsn2h</t>
  </si>
  <si>
    <t xml:space="preserve">Precipitation Flux of Snow and Ice Containing Deuterium (1H 2H O)</t>
  </si>
  <si>
    <t xml:space="preserve">Precipitation mass flux of water molecules that contain one atom of the hydrogen-2 isotope (1H 2H O), including solid phase only.</t>
  </si>
  <si>
    <t xml:space="preserve">pr17O</t>
  </si>
  <si>
    <t xml:space="preserve">Precipitation Flux of Water Containing Oxygen-17 (H2 17O)</t>
  </si>
  <si>
    <t xml:space="preserve">Precipitation mass flux of water molecules that contain the oxygen-17 isotope (H2 17O), including solid and liquid phases.</t>
  </si>
  <si>
    <t xml:space="preserve">prsn17O</t>
  </si>
  <si>
    <t xml:space="preserve">Precipitation Flux of Snow and Ice Containing Oxygen-17 (H2 17O)</t>
  </si>
  <si>
    <t xml:space="preserve">Precipitation mass flux of water molecules that contain the oxygen-17 isotope (H2 17O), including solid phase only.</t>
  </si>
  <si>
    <t xml:space="preserve">O18wv</t>
  </si>
  <si>
    <t xml:space="preserve">Mass of Water Containing Oxygen-18 (H2 18O) in Layer</t>
  </si>
  <si>
    <t xml:space="preserve">Water vapor path for water molecules that contain oxygen-18 (H2 18O)</t>
  </si>
  <si>
    <t xml:space="preserve">prw17O</t>
  </si>
  <si>
    <t xml:space="preserve">Mass of Water Containing Oxygen-17 (H2 17O) in Layer</t>
  </si>
  <si>
    <t xml:space="preserve">Water vapor path for water molecules that contain oxygen-17 (H2 17O)</t>
  </si>
  <si>
    <t xml:space="preserve">prw2H</t>
  </si>
  <si>
    <t xml:space="preserve">Mass of Water Containing Deuterium (1H 2H O) in Layer</t>
  </si>
  <si>
    <t xml:space="preserve">Water vapor path for water molecules that contain one atom of the hydrogen-2 isotope (1H 2H O)</t>
  </si>
  <si>
    <t xml:space="preserve">AerChemMIP,C4MIP,DAMIP,HighResMIP,LUMIP,PMIP</t>
  </si>
  <si>
    <t xml:space="preserve">wetlandFrac</t>
  </si>
  <si>
    <t xml:space="preserve">longitude latitude time typewetla</t>
  </si>
  <si>
    <t xml:space="preserve">Wetland Percentage Cover</t>
  </si>
  <si>
    <t xml:space="preserve">Percentage of grid cell covered by wetland. Report only one year if  fixed percentage is used, or time series if values are determined dynamically.</t>
  </si>
  <si>
    <t xml:space="preserve">C4MIP,CMIP,LUMIP,PMIP</t>
  </si>
  <si>
    <t xml:space="preserve">c14Land</t>
  </si>
  <si>
    <t xml:space="preserve">Mass of 14C in All Terrestrial Carbon Pools</t>
  </si>
  <si>
    <t xml:space="preserve">Carbon-14 mass content per unit area in vegetation (any living plants e.g. trees, shrubs, grass), litter (dead plant material in or above the soil), soil, and forestry and agricultural products (e.g. paper, cardboard, furniture, timber for construction, biofuels and food for both humans and livestock).</t>
  </si>
  <si>
    <t xml:space="preserve">wetlandCH4</t>
  </si>
  <si>
    <t xml:space="preserve">Grid Averaged Methane Emissions from Wetlands</t>
  </si>
  <si>
    <t xml:space="preserve">Net upward flux of methane (NH4) from wetlands (areas where water covers the soil, or is present either at or near the surface of the soil all year or for varying periods of time during the year, including during the growing season). </t>
  </si>
  <si>
    <t xml:space="preserve">gppc14</t>
  </si>
  <si>
    <t xml:space="preserve">Mass Flux of 14C out of Atmosphere Due to Gross Primary Production on Land</t>
  </si>
  <si>
    <t xml:space="preserve">The rate of synthesis of carbon-14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</si>
  <si>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rhc14</t>
  </si>
  <si>
    <t xml:space="preserve">Mass Flux of 14C into Atmosphere Due to Heterotrophic Respiration on Land</t>
  </si>
  <si>
    <t xml:space="preserve">netAtmosLandC14Flux</t>
  </si>
  <si>
    <t xml:space="preserve">Net Mass Flux of 14C Between Atmosphere and Land (Positive into Land) as a Result of All Processes</t>
  </si>
  <si>
    <t xml:space="preserve">Flux of carbon-14 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</si>
  <si>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gppc13</t>
  </si>
  <si>
    <t xml:space="preserve">Mass Flux of 13C out of Atmosphere Due to Gross Primary Production on Land</t>
  </si>
  <si>
    <t xml:space="preserve">The rate of synthesis of carbon-13 in biomass from inorganic precursors by autotrophs ('producers') expressed as the mass of carbon which it contains. For example, photosynthesis in plants or phytoplankton. The producers also respire some of this biomass and the difference is referred to as the net primary production. </t>
  </si>
  <si>
    <t xml:space="preserve">rac13</t>
  </si>
  <si>
    <t xml:space="preserve">Mass Flux of 13C into Atmosphere Due to Autotrophic (Plant) Respiration on Land</t>
  </si>
  <si>
    <t xml:space="preserve">Flux of carbon-13 into the atmosphere due to plant respiration. Plant respiration is the sum of respiration by parts of plants both above and below the soil. It is assumed that all the respired carbon dioxide is emitted to the atmosphere. </t>
  </si>
  <si>
    <t xml:space="preserve">netAtmosLandC13Flux</t>
  </si>
  <si>
    <t xml:space="preserve">Net Mass Flux of 13C Between Atmosphere and Land (Positive into Land) as a Result of All Processes</t>
  </si>
  <si>
    <t xml:space="preserve">Flux of carbon 31as carbon dioxide into the land. 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</si>
  <si>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sw18O</t>
  </si>
  <si>
    <t xml:space="preserve">Isotopic Ratio of Oxygen-17 in Sea Water</t>
  </si>
  <si>
    <t xml:space="preserve">Ratio of abundance of oxygen-17 (17O) atoms to oxygen-16 (16O) atoms in sea water</t>
  </si>
  <si>
    <t xml:space="preserve">sw2H</t>
  </si>
  <si>
    <t xml:space="preserve">Isotopic Ratio of Deuterium in Sea Water</t>
  </si>
  <si>
    <t xml:space="preserve">Ratio of abundance of hydrogen-2 (2H) atoms to hydrogen-1 (1H) atoms in sea water</t>
  </si>
  <si>
    <t xml:space="preserve">prw18O</t>
  </si>
  <si>
    <t xml:space="preserve">Isotopic Ratio of Oxygen-18 in Sea Water</t>
  </si>
  <si>
    <t xml:space="preserve">Ratio of abundance of oxygen-18 (18O) atoms to oxygen-16 (16O) atoms in sea water</t>
  </si>
  <si>
    <t xml:space="preserve">fg14co2</t>
  </si>
  <si>
    <t xml:space="preserve">Total Surface Downward Flux of 14CO2 into Ocean</t>
  </si>
  <si>
    <t xml:space="preserve">Gas exchange flux of carbon-14 as CO2 (positive into ocean)</t>
  </si>
  <si>
    <t xml:space="preserve">od550so4so</t>
  </si>
  <si>
    <t xml:space="preserve">Stratospheric Optical Depth at 550nm (Sulphate Only) 2D-Field (Stratosphere Only)</t>
  </si>
  <si>
    <t xml:space="preserve">Not available.</t>
  </si>
  <si>
    <t xml:space="preserve">Stratospheric aerosol AOD due to sulfate aerosol at a wavelength of 550 nanometres.</t>
  </si>
  <si>
    <t xml:space="preserve">swtoacsdust</t>
  </si>
  <si>
    <t xml:space="preserve">clear sky  Shortwave flux due to dust at toa</t>
  </si>
  <si>
    <t xml:space="preserve">Not available in IFS or TM5</t>
  </si>
  <si>
    <t xml:space="preserve">Instantaneous forcing is the radiative flux change caused instantaneously by an imposed change in radiative forcing agent (greenhouse gases, aerosol, solar radiation, etc.).</t>
  </si>
  <si>
    <t xml:space="preserve">swtoaasdust</t>
  </si>
  <si>
    <t xml:space="preserve">All-Sky Shortwave Flux Due to Dust at Toa</t>
  </si>
  <si>
    <t xml:space="preserve">lwtoaasdust</t>
  </si>
  <si>
    <t xml:space="preserve">TOA All-Sky Longwave Radiative Forcing due to Dust</t>
  </si>
  <si>
    <t xml:space="preserve">lwtoacsaer</t>
  </si>
  <si>
    <t xml:space="preserve">TOA Clear-Sky longwave Radiative Forcing due to  Aerosols</t>
  </si>
  <si>
    <t xml:space="preserve">od443dust</t>
  </si>
  <si>
    <t xml:space="preserve">Optical Thickness at 443nm Dust</t>
  </si>
  <si>
    <t xml:space="preserve">Not available in TM5. Although it would be possible at a very near frequency.</t>
  </si>
  <si>
    <t xml:space="preserve">Total aerosol AOD due to dust aerosol at a wavelength of 443 nanometres.</t>
  </si>
  <si>
    <t xml:space="preserve">od865dust</t>
  </si>
  <si>
    <t xml:space="preserve">Dust Optical Depth at 865nm</t>
  </si>
  <si>
    <t xml:space="preserve">Total aerosol AOD due to dust aerosol at a wavelength of 865 nanometres.</t>
  </si>
  <si>
    <t xml:space="preserve">lwtoacsdust</t>
  </si>
  <si>
    <t xml:space="preserve">TOA Clear-Sky longwave Radiative Forcing due to Dust</t>
  </si>
  <si>
    <t xml:space="preserve">The direct radiative effect refers to the instantaneous radiative impact on the Earth's energy balance, excluding secondary effects such as changes in cloud cover.</t>
  </si>
  <si>
    <t xml:space="preserve">swsrfcsdust</t>
  </si>
  <si>
    <t xml:space="preserve">Clear-Sky Surface Shortwave Radiative Flux Due to Dust</t>
  </si>
  <si>
    <t xml:space="preserve">The direct radiative effect refers to the instantaneous radiative impact on the Earth's energy balance, excluding secondary effects such as changes in cloud cover. Calculated in clear-sky conditions.</t>
  </si>
  <si>
    <t xml:space="preserve">swsrfasdust</t>
  </si>
  <si>
    <t xml:space="preserve">All-Sky Surface Shortwave Radiative Flux Due to Dust</t>
  </si>
  <si>
    <t xml:space="preserve">lwsrfcsdust</t>
  </si>
  <si>
    <t xml:space="preserve">Clear-Sky Surface Longwave Radiative Flux Due to Dust</t>
  </si>
  <si>
    <t xml:space="preserve">The direct radiative effect refers to the instantaneous radiative impact on the Earth's energy balance, excluding secondary effects such as changes in cloud cover. Calculating in clear-sky conditions.</t>
  </si>
  <si>
    <t xml:space="preserve">lwsrfasdust</t>
  </si>
  <si>
    <t xml:space="preserve">All-Sky Surface Longwave Radiative Flux Due to Dust</t>
  </si>
  <si>
    <t xml:space="preserve">Lmon</t>
  </si>
  <si>
    <t xml:space="preserve">burntFractionAll</t>
  </si>
  <si>
    <t xml:space="preserve">longitude latitude time typeburnt</t>
  </si>
  <si>
    <t xml:space="preserve">Percentage of Entire Grid cell  that is Covered by Burnt Vegetation (All Classes)</t>
  </si>
  <si>
    <t xml:space="preserve">Can not be produced by LPJ-GUESS: Not calculated in LPJ-GUESS</t>
  </si>
  <si>
    <t xml:space="preserve">Percentage of grid cell burned due to all fires including natural and anthropogenic fires and those associated with anthropogenic Land-use change</t>
  </si>
  <si>
    <t xml:space="preserve">AerChemMIP,C4MIP,CFMIP,CMIP,FAFMIP,GMMIP,GeoMIP,HighResMIP,LS3MIP,LUMIP,PMIP,RFMIP,VIACSAB,VolMIP</t>
  </si>
  <si>
    <t xml:space="preserve">fVegSoil</t>
  </si>
  <si>
    <t xml:space="preserve">Total Carbon Mass Flux from Vegetation Directly to Soil</t>
  </si>
  <si>
    <t xml:space="preserve">Can not be produced by LPJ-GUESS: No process that does this</t>
  </si>
  <si>
    <t xml:space="preserve">Carbon mass flux per unit area from vegetation directly into soil, without intermediate conversion to litter.</t>
  </si>
  <si>
    <t xml:space="preserve">AerChemMIP,C4MIP,CMIP,FAFMIP,GMMIP,GeoMIP,HighResMIP,LS3MIP,LUMIP,PMIP,RFMIP,VIACSAB,VolMIP</t>
  </si>
  <si>
    <t xml:space="preserve">treeFracPrimDec</t>
  </si>
  <si>
    <t xml:space="preserve">longitude latitude time typepdec</t>
  </si>
  <si>
    <t xml:space="preserve">Percentage Cover by Primary Deciduous Tree</t>
  </si>
  <si>
    <t xml:space="preserve">Percentage of the entire grid cell  that is covered by total primary deciduous trees.</t>
  </si>
  <si>
    <t xml:space="preserve">treeFracPrimEver</t>
  </si>
  <si>
    <t xml:space="preserve">longitude latitude time typepever</t>
  </si>
  <si>
    <t xml:space="preserve">Percentage Cover by Primary Evergreen Trees</t>
  </si>
  <si>
    <t xml:space="preserve">Percentage of entire grid cell  that is covered by primary evergreen trees.</t>
  </si>
  <si>
    <t xml:space="preserve">treeFracSecDec</t>
  </si>
  <si>
    <t xml:space="preserve">longitude latitude time typesdec</t>
  </si>
  <si>
    <t xml:space="preserve">Percentage Cover by Secondary Deciduous Trees</t>
  </si>
  <si>
    <t xml:space="preserve">Percentage of entire grid cell  that is covered by secondary deciduous trees.</t>
  </si>
  <si>
    <t xml:space="preserve">treeFracSecEver</t>
  </si>
  <si>
    <t xml:space="preserve">longitude latitude time typesever</t>
  </si>
  <si>
    <t xml:space="preserve">Percentage Cover by Secondary Evergreen Trees</t>
  </si>
  <si>
    <t xml:space="preserve">Percentage of entire grid cell  that is covered by secondary evergreen trees.</t>
  </si>
  <si>
    <t xml:space="preserve">c3PftFrac</t>
  </si>
  <si>
    <t xml:space="preserve">longitude latitude time typec3pft</t>
  </si>
  <si>
    <t xml:space="preserve">Percentage Cover by C3 Plant Functional Type</t>
  </si>
  <si>
    <t xml:space="preserve">Percentage of entire grid cell  that is covered by C3 PFTs (including grass, crops, and trees).</t>
  </si>
  <si>
    <t xml:space="preserve">AerChemMIP,CMIP,FAFMIP,GMMIP,GeoMIP,HighResMIP,LS3MIP,PMIP,RFMIP,VIACSAB,VolMIP</t>
  </si>
  <si>
    <t xml:space="preserve">c4PftFrac</t>
  </si>
  <si>
    <t xml:space="preserve">longitude latitude time typec4pft</t>
  </si>
  <si>
    <t xml:space="preserve">Percentage Cover by C4 Plant Functional Type</t>
  </si>
  <si>
    <t xml:space="preserve">Percentage of entire grid cell  that is covered by C4 PFTs (including grass and crops).</t>
  </si>
  <si>
    <t xml:space="preserve">nppLeaf</t>
  </si>
  <si>
    <t xml:space="preserve">Carbon Mass Flux Due to NPP Allocation to Leaf</t>
  </si>
  <si>
    <t xml:space="preserve">This is the rate of carbon uptake by leaves due to NPP</t>
  </si>
  <si>
    <t xml:space="preserve">AerChemMIP,C4MIP,CMIP,FAFMIP,GMMIP,GeoMIP,HighResMIP,LS3MIP,LUMIP,RFMIP,VIACSAB,VolMIP</t>
  </si>
  <si>
    <t xml:space="preserve">nppWood</t>
  </si>
  <si>
    <t xml:space="preserve">Carbon Mass Flux Due to NPP Allocation to Wood</t>
  </si>
  <si>
    <t xml:space="preserve">This is the rate of carbon uptake by wood due to NPP</t>
  </si>
  <si>
    <t xml:space="preserve">nppRoot</t>
  </si>
  <si>
    <t xml:space="preserve">Carbon Mass Flux Due to NPP Allocation to Roots</t>
  </si>
  <si>
    <t xml:space="preserve">This is the rate of carbon uptake by roots due to NPP</t>
  </si>
  <si>
    <t xml:space="preserve">IfxAnt</t>
  </si>
  <si>
    <t xml:space="preserve">areacellg</t>
  </si>
  <si>
    <t xml:space="preserve">Grid-Cell Area for Ice Sheet Variables</t>
  </si>
  <si>
    <t xml:space="preserve">m2</t>
  </si>
  <si>
    <t xml:space="preserve">We do not have an Antarctic ice sheet.</t>
  </si>
  <si>
    <t xml:space="preserve">Area of the target grid (not the interpolated area of the source grid).</t>
  </si>
  <si>
    <t xml:space="preserve">ISMIP6</t>
  </si>
  <si>
    <t xml:space="preserve">ImonAnt</t>
  </si>
  <si>
    <t xml:space="preserve">mrroLi</t>
  </si>
  <si>
    <t xml:space="preserve">xant yant time</t>
  </si>
  <si>
    <t xml:space="preserve">Land Ice Runoff Flux</t>
  </si>
  <si>
    <t xml:space="preserve">Runoff flux over land ice is the difference between any available liquid water in the snowpack less any refreezing. Computed as the sum of rainfall and melt of snow or ice less any refreezing or water retained in the snowpack</t>
  </si>
  <si>
    <t xml:space="preserve">IyrAnt</t>
  </si>
  <si>
    <t xml:space="preserve">modelCellAreai</t>
  </si>
  <si>
    <t xml:space="preserve">The cell area of the ice sheet model.</t>
  </si>
  <si>
    <t xml:space="preserve">Horizontal area of ice-sheet grid cells</t>
  </si>
  <si>
    <t xml:space="preserve">sftgif</t>
  </si>
  <si>
    <t xml:space="preserve">xant yant time typeli</t>
  </si>
  <si>
    <t xml:space="preserve">Fraction of Grid Cell Covered with Glacier</t>
  </si>
  <si>
    <t xml:space="preserve">Fraction of grid cell covered by land ice (ice sheet, ice shelf, ice cap, glacier)</t>
  </si>
  <si>
    <t xml:space="preserve">sftgrf</t>
  </si>
  <si>
    <t xml:space="preserve">xant yant time typegis</t>
  </si>
  <si>
    <t xml:space="preserve">Grounded Ice Sheet  Area Fraction</t>
  </si>
  <si>
    <t xml:space="preserve">Fraction of grid cell covered by grounded ice sheet</t>
  </si>
  <si>
    <t xml:space="preserve">alevhalf spectband</t>
  </si>
  <si>
    <t xml:space="preserve">Not available in IFS: All Up and downwelling radiation is only at the TOA and the surface available in IFS standard output. In IFS it is not possible to distinguish output in spectral intervals. Note here also global area and time averages are asked. Or maybe output at a certain diagnostic time step is meant? (No grib code available on table 128 -  Grib 1 for different spectral bands). Would it be possible to output 2 spectral bands: UV and NIR both of them diffuse and parallel. We need to ask expert of the radiation code.</t>
  </si>
  <si>
    <t xml:space="preserve">swtoafluxaerocs</t>
  </si>
  <si>
    <t xml:space="preserve">Shortwave flux due to volcanic aerosols at TOA under clear sky</t>
  </si>
  <si>
    <t xml:space="preserve">Not available, because it is not available in IFS.</t>
  </si>
  <si>
    <t xml:space="preserve">Downwelling shortwave flux due to volcanic aerosols at TOA under clear sky to be diagnosed through double radiation call</t>
  </si>
  <si>
    <t xml:space="preserve">VolMIP</t>
  </si>
  <si>
    <t xml:space="preserve">lwtoafluxaerocs</t>
  </si>
  <si>
    <t xml:space="preserve">Longwave flux due to volcanic aerosols at TOA under clear sky</t>
  </si>
  <si>
    <t xml:space="preserve">downwelling longwave flux due to volcanic aerosols at TOA under clear sky to be diagnosed through double radiation call</t>
  </si>
  <si>
    <t xml:space="preserve">aod550volso4</t>
  </si>
  <si>
    <t xml:space="preserve">Aerosol optical depth at 550 nm due to stratospheric volcanic aerosols</t>
  </si>
  <si>
    <t xml:space="preserve">aerosol optical depth at 550 nm due to stratospheric volcanic aerosols</t>
  </si>
  <si>
    <t xml:space="preserve">ec550aer</t>
  </si>
  <si>
    <t xml:space="preserve">longitude latitude alevel time lambda550nm</t>
  </si>
  <si>
    <t xml:space="preserve">Aerosol extinction coefficient</t>
  </si>
  <si>
    <t xml:space="preserve">m-1</t>
  </si>
  <si>
    <t xml:space="preserve">Though available for 6hrLev  tm5 code name = ec550aer this variable is not available for Emon</t>
  </si>
  <si>
    <t xml:space="preserve">Aerosol Extinction at 550nm</t>
  </si>
  <si>
    <t xml:space="preserve">E6hrZ</t>
  </si>
  <si>
    <t xml:space="preserve">zmswaero</t>
  </si>
  <si>
    <t xml:space="preserve">latitude alevel time1</t>
  </si>
  <si>
    <t xml:space="preserve">Zonal mean shortwave heating rate due to volcanic aerosols</t>
  </si>
  <si>
    <t xml:space="preserve">shortwave heating rate due to volcanic aerosols to be diagnosed through double radiation call, zonal average values required</t>
  </si>
  <si>
    <t xml:space="preserve">zmlwaero</t>
  </si>
  <si>
    <t xml:space="preserve">Zonal mean longwave heating rate due to volcanic aerosols</t>
  </si>
  <si>
    <t xml:space="preserve">longwave heating rate due to volcanic aerosols to be diagnosed through double radiation call, zonal average values required</t>
  </si>
  <si>
    <t xml:space="preserve">hfdsnb</t>
  </si>
  <si>
    <t xml:space="preserve">Downward heat flux at snow base</t>
  </si>
  <si>
    <t xml:space="preserve">Not available in IFS output, however it is computed in H-TESSEL</t>
  </si>
  <si>
    <t xml:space="preserve">Gijs, Andrea, Thomas</t>
  </si>
  <si>
    <t xml:space="preserve">Heat flux from snow into the ice or land under the snow.</t>
  </si>
  <si>
    <t xml:space="preserve">LS3MIP</t>
  </si>
  <si>
    <t xml:space="preserve">hfrs</t>
  </si>
  <si>
    <t xml:space="preserve">Heat transferred to snowpack by rainfall</t>
  </si>
  <si>
    <t xml:space="preserve">zero</t>
  </si>
  <si>
    <t xml:space="preserve">Heat transferred to a snow cover by rain..</t>
  </si>
  <si>
    <t xml:space="preserve">eow</t>
  </si>
  <si>
    <t xml:space="preserve">Open Water Evaporation</t>
  </si>
  <si>
    <t xml:space="preserve">Not available </t>
  </si>
  <si>
    <t xml:space="preserve">The surface called 'surface' means the lower boundary of the atmosphere. 'Water' means water in all phases, including frozen i.e. ice and snow. Evaporation is the conversion of liquid or solid into vapor. (The conversion of solid alone into vapor is called 'sublimation'). The quantity with standard name surface_water_evaporation_flux does not include transpiration from vegetation. In accordance with common usage in geophysical disciplines, 'flux' implies per unit area, called 'flux density' in physics. Unless indicated in the cell_methods attribute, a quantity is assumed to apply to the whole area of each horizontal grid box. Previously, the qualifier where_type was used to specify that the quantity applies only to the part of the grid box of the named type. Names containing the where_type qualifier are deprecated and newly created data should use the cell_methods attribute to indicate the horizontal area to which the quantity applies.</t>
  </si>
  <si>
    <t xml:space="preserve">sblnosn</t>
  </si>
  <si>
    <t xml:space="preserve">Sublimation of the snow free area</t>
  </si>
  <si>
    <t xml:space="preserve">The phrase 'tendency_of_X'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Atmosphere water vapor content is sometimes referred to as 'precipitable water', although this term does not imply the water could all be precipitated. The specification of a physical process by the phrase due_to_process means that the quantity named is a single term in a sum of terms which together compose the general quantity named by omitting the phrase. Sublimation is the conversion of solid into vapor. Unless indicated in the cell_methods attribute, a quantity is assumed to apply to the whole area of each horizontal grid box.</t>
  </si>
  <si>
    <t xml:space="preserve">snrefr</t>
  </si>
  <si>
    <t xml:space="preserve">Re-freezing of water in the snow</t>
  </si>
  <si>
    <t xml:space="preserve">In accordance with common usage in geophysical disciplines, 'flux' implies per unit area, called 'flux density' in physics. The surface called 'surface' means the lower boundary of the atmosphere. 'Surface snow and ice refreezing flux' means the mass flux of surface  meltwater which refreezes within the snow or firn.</t>
  </si>
  <si>
    <t xml:space="preserve">qgwr</t>
  </si>
  <si>
    <t xml:space="preserve">Groundwater recharge from soil layer</t>
  </si>
  <si>
    <t xml:space="preserve">Not represented</t>
  </si>
  <si>
    <t xml:space="preserve">In accordance with common usage in geophysical disciplines, 'flux' implies per unit area, called 'flux density' in physics. Groundwater is subsurface water below the depth of the water table. The quantity with standard name liquid_water_mass_flux_from_soil_to_groundwater is the downward flux of liquid water within soil at the depth of the water table, or downward flux from the base of the soil model if the water table depth is greater.</t>
  </si>
  <si>
    <t xml:space="preserve">rivo</t>
  </si>
  <si>
    <t xml:space="preserve">River Discharge</t>
  </si>
  <si>
    <t xml:space="preserve">m3 s-1</t>
  </si>
  <si>
    <t xml:space="preserve">Outflow of River Water from Cell</t>
  </si>
  <si>
    <t xml:space="preserve">rivi</t>
  </si>
  <si>
    <t xml:space="preserve">River Inflow</t>
  </si>
  <si>
    <t xml:space="preserve">Inflow of River Water into Cell</t>
  </si>
  <si>
    <t xml:space="preserve">dgw</t>
  </si>
  <si>
    <t xml:space="preserve">Change in Groundwater</t>
  </si>
  <si>
    <t xml:space="preserve">The phrase 'change_over_time_in_X' means change in a quantity X over a time-interval, which should be defined by the bounds of the time coordinate. 'Water' means water in all phases. Groundwater is subsurface water below the depth of the water table. 'Amount' means mass per unit area.</t>
  </si>
  <si>
    <t xml:space="preserve">drivw</t>
  </si>
  <si>
    <t xml:space="preserve">Change in River Storage</t>
  </si>
  <si>
    <t xml:space="preserve">The phrase 'change_over_time_in_X' means change in a quantity X over a time-interval, which should be defined by the bounds of the time coordinate. 'Water' means water in all phases. 'River' refers to the water in the fluvial system (stream and floodplain). 'Amount' means mass per unit area.</t>
  </si>
  <si>
    <t xml:space="preserve">snwc</t>
  </si>
  <si>
    <t xml:space="preserve">SWE intercepted by the vegetation</t>
  </si>
  <si>
    <t xml:space="preserve">no represented: equal to zero</t>
  </si>
  <si>
    <t xml:space="preserve">Total water mass of the snowpack (liquid or frozen), averaged over a grid cell and interecepted by the canopy.</t>
  </si>
  <si>
    <t xml:space="preserve">sw</t>
  </si>
  <si>
    <t xml:space="preserve">Surface Water Storage</t>
  </si>
  <si>
    <t xml:space="preserve">not represented</t>
  </si>
  <si>
    <t xml:space="preserve">Total liquid water storage, other than soil, snow or interception storage (i.e. lakes, river channel or depression storage).</t>
  </si>
  <si>
    <t xml:space="preserve">Water table depth</t>
  </si>
  <si>
    <t xml:space="preserve">prrsn</t>
  </si>
  <si>
    <t xml:space="preserve">Fraction of rainfall on snow.</t>
  </si>
  <si>
    <t xml:space="preserve">not available </t>
  </si>
  <si>
    <t xml:space="preserve">The fraction of the grid averaged rainfall which falls on the snow pack</t>
  </si>
  <si>
    <t xml:space="preserve">prsnsn</t>
  </si>
  <si>
    <t xml:space="preserve">Fraction of snowfall (including hail and graupel) on snow.</t>
  </si>
  <si>
    <t xml:space="preserve">The fraction of the snowfall which falls on the snow pack</t>
  </si>
  <si>
    <t xml:space="preserve">Snow Age</t>
  </si>
  <si>
    <t xml:space="preserve">tnt</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</si>
  <si>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</si>
  <si>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</si>
  <si>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tntr</t>
  </si>
  <si>
    <t xml:space="preserve">Tendency of Air Temperature Due to Radiative Heating</t>
  </si>
  <si>
    <t xml:space="preserve">Available in IFS: T-tendency from radiation: grib 128.95</t>
  </si>
  <si>
    <t xml:space="preserve">Tendency of Air Temperature due to Radiative Heating</t>
  </si>
  <si>
    <t xml:space="preserve">tntc</t>
  </si>
  <si>
    <t xml:space="preserve">Tendency of Air Temperature Due to Convection</t>
  </si>
  <si>
    <t xml:space="preserve">Available in IFS: T-tendency from convection : grib 128.105</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</si>
  <si>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</si>
  <si>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</si>
  <si>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</si>
  <si>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</si>
  <si>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</si>
  <si>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</si>
  <si>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</si>
  <si>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</si>
  <si>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</si>
  <si>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</si>
  <si>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</si>
  <si>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longitude</t>
  </si>
  <si>
    <t xml:space="preserve">site</t>
  </si>
  <si>
    <t xml:space="preserve">Longitude</t>
  </si>
  <si>
    <t xml:space="preserve">degrees_east</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</si>
  <si>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</si>
  <si>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Longitude is positive eastward; its units of degree_east (or equivalent) indicate this explicitly. In a latitude-longitude system defined with respect to a rotated North Pole, the standard name of grid_longitude should be used instead of longitude. Grid longitude is positive in the grid-eastward direction, but its units should be plain degree.</t>
  </si>
  <si>
    <t xml:space="preserve">latitude</t>
  </si>
  <si>
    <t xml:space="preserve">Latitude</t>
  </si>
  <si>
    <t xml:space="preserve">degrees_north</t>
  </si>
  <si>
    <t xml:space="preserve">Latitude is positive northward; its units of degree_north (or equivalent) indicate this explicitly. In a latitude-longitude system defined with respect to a rotated North Pole, the standard name of grid_latitude should be used instead of latitude. Grid latitude is positive in the grid-northward direction, but its units should be plain degree.</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</si>
</sst>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523" colorId="64" zoomScale="100" zoomScaleNormal="100" zoomScalePageLayoutView="100" workbookViewId="0">
      <selection pane="topLeft" activeCell="A529" activeCellId="0" sqref="A529"/>
    </sheetView>
  </sheetViews>
  <sheetFormatPr defaultRowHeight="15"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7"/>
    <col collapsed="false" customWidth="true" hidden="false" outlineLevel="0" max="11" min="11" style="0" width="80.71"/>
    <col collapsed="false" customWidth="true" hidden="false" outlineLevel="0" max="1025" min="12"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5" hidden="false" customHeight="false" outlineLevel="0" collapsed="false">
      <c r="A3" s="0" t="s">
        <v>11</v>
      </c>
      <c r="B3" s="0" t="s">
        <v>12</v>
      </c>
      <c r="C3" s="0" t="s">
        <v>13</v>
      </c>
      <c r="D3" s="0" t="s">
        <v>14</v>
      </c>
      <c r="E3" s="0" t="s">
        <v>15</v>
      </c>
      <c r="F3" s="0" t="s">
        <v>16</v>
      </c>
      <c r="G3" s="0" t="n">
        <f aca="false">HYPERLINK("http://clipc-services.ceda.ac.uk/dreq/u/59170cbe-9e49-11e5-803c-0d0b866b59f3.html","web")</f>
        <v>0</v>
      </c>
      <c r="H3" s="0" t="s">
        <v>17</v>
      </c>
      <c r="I3" s="0" t="s">
        <v>18</v>
      </c>
      <c r="J3" s="0" t="s">
        <v>19</v>
      </c>
      <c r="K3" s="0" t="s">
        <v>20</v>
      </c>
    </row>
    <row r="4" customFormat="false" ht="15" hidden="false" customHeight="false" outlineLevel="0" collapsed="false">
      <c r="A4" s="0" t="s">
        <v>11</v>
      </c>
      <c r="B4" s="0" t="s">
        <v>21</v>
      </c>
      <c r="C4" s="0" t="s">
        <v>13</v>
      </c>
      <c r="D4" s="0" t="s">
        <v>22</v>
      </c>
      <c r="E4" s="0" t="s">
        <v>23</v>
      </c>
      <c r="F4" s="0" t="s">
        <v>24</v>
      </c>
      <c r="G4" s="0" t="n">
        <f aca="false">HYPERLINK("http://clipc-services.ceda.ac.uk/dreq/u/590dbe0c-9e49-11e5-803c-0d0b866b59f3.html","web")</f>
        <v>0</v>
      </c>
      <c r="H4" s="0" t="s">
        <v>25</v>
      </c>
      <c r="I4" s="0" t="s">
        <v>26</v>
      </c>
      <c r="J4" s="0" t="s">
        <v>27</v>
      </c>
      <c r="K4" s="0" t="s">
        <v>28</v>
      </c>
    </row>
    <row r="6" customFormat="false" ht="15" hidden="false" customHeight="false" outlineLevel="0" collapsed="false">
      <c r="A6" s="0" t="s">
        <v>29</v>
      </c>
      <c r="B6" s="0" t="s">
        <v>30</v>
      </c>
      <c r="C6" s="0" t="s">
        <v>31</v>
      </c>
      <c r="D6" s="0" t="s">
        <v>32</v>
      </c>
      <c r="E6" s="0" t="s">
        <v>33</v>
      </c>
      <c r="F6" s="0" t="s">
        <v>34</v>
      </c>
      <c r="G6" s="0" t="n">
        <f aca="false">HYPERLINK("http://clipc-services.ceda.ac.uk/dreq/u/c9a77f2a-c5f0-11e6-ac20-5404a60d96b5.html","web")</f>
        <v>0</v>
      </c>
      <c r="H6" s="0" t="s">
        <v>35</v>
      </c>
      <c r="I6" s="0" t="s">
        <v>36</v>
      </c>
      <c r="J6" s="0" t="s">
        <v>37</v>
      </c>
      <c r="K6" s="0" t="s">
        <v>38</v>
      </c>
    </row>
    <row r="8" customFormat="false" ht="15" hidden="false" customHeight="false" outlineLevel="0" collapsed="false">
      <c r="A8" s="0" t="s">
        <v>39</v>
      </c>
      <c r="B8" s="0" t="s">
        <v>40</v>
      </c>
      <c r="C8" s="0" t="s">
        <v>31</v>
      </c>
      <c r="D8" s="0" t="s">
        <v>41</v>
      </c>
      <c r="E8" s="0" t="s">
        <v>42</v>
      </c>
      <c r="F8" s="0" t="s">
        <v>43</v>
      </c>
      <c r="G8" s="0" t="n">
        <f aca="false">HYPERLINK("http://clipc-services.ceda.ac.uk/dreq/u/2fcdf51262cdbc4279810b7a487b149e.html","web")</f>
        <v>0</v>
      </c>
      <c r="H8" s="0" t="s">
        <v>44</v>
      </c>
      <c r="I8" s="0" t="s">
        <v>45</v>
      </c>
      <c r="J8" s="0" t="s">
        <v>46</v>
      </c>
      <c r="K8" s="0" t="s">
        <v>47</v>
      </c>
    </row>
    <row r="9" customFormat="false" ht="15" hidden="false" customHeight="false" outlineLevel="0" collapsed="false">
      <c r="A9" s="0" t="s">
        <v>39</v>
      </c>
      <c r="B9" s="0" t="s">
        <v>48</v>
      </c>
      <c r="C9" s="0" t="s">
        <v>31</v>
      </c>
      <c r="D9" s="0" t="s">
        <v>41</v>
      </c>
      <c r="E9" s="0" t="s">
        <v>49</v>
      </c>
      <c r="F9" s="0" t="s">
        <v>43</v>
      </c>
      <c r="G9" s="0" t="n">
        <f aca="false">HYPERLINK("http://clipc-services.ceda.ac.uk/dreq/u/55febff83b78e06576947e1c0e5b7a7d.html","web")</f>
        <v>0</v>
      </c>
      <c r="H9" s="0" t="s">
        <v>50</v>
      </c>
      <c r="I9" s="0" t="s">
        <v>45</v>
      </c>
      <c r="J9" s="0" t="s">
        <v>51</v>
      </c>
      <c r="K9" s="0" t="s">
        <v>47</v>
      </c>
    </row>
    <row r="10" customFormat="false" ht="15" hidden="false" customHeight="false" outlineLevel="0" collapsed="false">
      <c r="A10" s="0" t="s">
        <v>39</v>
      </c>
      <c r="B10" s="0" t="s">
        <v>52</v>
      </c>
      <c r="C10" s="0" t="s">
        <v>31</v>
      </c>
      <c r="D10" s="0" t="s">
        <v>41</v>
      </c>
      <c r="E10" s="0" t="s">
        <v>53</v>
      </c>
      <c r="F10" s="0" t="s">
        <v>43</v>
      </c>
      <c r="G10" s="0" t="n">
        <f aca="false">HYPERLINK("http://clipc-services.ceda.ac.uk/dreq/u/1391b0d99790cec6597b02ce4d7c5a67.html","web")</f>
        <v>0</v>
      </c>
      <c r="H10" s="0" t="s">
        <v>54</v>
      </c>
      <c r="I10" s="0" t="s">
        <v>45</v>
      </c>
      <c r="J10" s="0" t="s">
        <v>55</v>
      </c>
      <c r="K10" s="0" t="s">
        <v>47</v>
      </c>
    </row>
    <row r="11" customFormat="false" ht="15" hidden="false" customHeight="false" outlineLevel="0" collapsed="false">
      <c r="A11" s="0" t="s">
        <v>39</v>
      </c>
      <c r="B11" s="0" t="s">
        <v>56</v>
      </c>
      <c r="C11" s="0" t="s">
        <v>31</v>
      </c>
      <c r="D11" s="0" t="s">
        <v>41</v>
      </c>
      <c r="E11" s="0" t="s">
        <v>57</v>
      </c>
      <c r="F11" s="0" t="s">
        <v>43</v>
      </c>
      <c r="G11" s="0" t="n">
        <f aca="false">HYPERLINK("http://clipc-services.ceda.ac.uk/dreq/u/59175660-9e49-11e5-803c-0d0b866b59f3.html","web")</f>
        <v>0</v>
      </c>
      <c r="H11" s="0" t="s">
        <v>50</v>
      </c>
      <c r="I11" s="0" t="s">
        <v>45</v>
      </c>
      <c r="J11" s="0" t="s">
        <v>58</v>
      </c>
      <c r="K11" s="0" t="s">
        <v>47</v>
      </c>
    </row>
    <row r="12" customFormat="false" ht="15" hidden="false" customHeight="false" outlineLevel="0" collapsed="false">
      <c r="A12" s="0" t="s">
        <v>39</v>
      </c>
      <c r="B12" s="0" t="s">
        <v>59</v>
      </c>
      <c r="C12" s="0" t="s">
        <v>60</v>
      </c>
      <c r="D12" s="0" t="s">
        <v>41</v>
      </c>
      <c r="E12" s="0" t="s">
        <v>61</v>
      </c>
      <c r="F12" s="0" t="s">
        <v>43</v>
      </c>
      <c r="G12" s="0" t="n">
        <f aca="false">HYPERLINK("http://clipc-services.ceda.ac.uk/dreq/u/27ad2512525b0c42b7edd88f1dad5955.html","web")</f>
        <v>0</v>
      </c>
      <c r="H12" s="0" t="s">
        <v>54</v>
      </c>
      <c r="I12" s="0" t="s">
        <v>45</v>
      </c>
      <c r="J12" s="0" t="s">
        <v>62</v>
      </c>
      <c r="K12" s="0" t="s">
        <v>63</v>
      </c>
    </row>
    <row r="13" customFormat="false" ht="15" hidden="false" customHeight="false" outlineLevel="0" collapsed="false">
      <c r="A13" s="0" t="s">
        <v>39</v>
      </c>
      <c r="B13" s="0" t="s">
        <v>64</v>
      </c>
      <c r="C13" s="0" t="s">
        <v>13</v>
      </c>
      <c r="D13" s="0" t="s">
        <v>41</v>
      </c>
      <c r="E13" s="0" t="s">
        <v>65</v>
      </c>
      <c r="F13" s="0" t="s">
        <v>43</v>
      </c>
      <c r="G13" s="0" t="n">
        <f aca="false">HYPERLINK("http://clipc-services.ceda.ac.uk/dreq/u/a72a0bcf271db9db3a7fb9b7f3e7b93a.html","web")</f>
        <v>0</v>
      </c>
      <c r="H13" s="0" t="s">
        <v>54</v>
      </c>
      <c r="I13" s="0" t="s">
        <v>45</v>
      </c>
      <c r="J13" s="0" t="s">
        <v>66</v>
      </c>
      <c r="K13" s="0" t="s">
        <v>63</v>
      </c>
    </row>
    <row r="14" customFormat="false" ht="15" hidden="false" customHeight="false" outlineLevel="0" collapsed="false">
      <c r="A14" s="0" t="s">
        <v>39</v>
      </c>
      <c r="B14" s="0" t="s">
        <v>67</v>
      </c>
      <c r="C14" s="0" t="s">
        <v>60</v>
      </c>
      <c r="D14" s="0" t="s">
        <v>41</v>
      </c>
      <c r="E14" s="0" t="s">
        <v>68</v>
      </c>
      <c r="F14" s="0" t="s">
        <v>43</v>
      </c>
      <c r="G14" s="0" t="n">
        <f aca="false">HYPERLINK("http://clipc-services.ceda.ac.uk/dreq/u/ad7df7199759ad25164da83e37a6da17.html","web")</f>
        <v>0</v>
      </c>
      <c r="H14" s="0" t="s">
        <v>54</v>
      </c>
      <c r="I14" s="0" t="s">
        <v>45</v>
      </c>
      <c r="J14" s="0" t="s">
        <v>69</v>
      </c>
      <c r="K14" s="0" t="s">
        <v>63</v>
      </c>
    </row>
    <row r="15" customFormat="false" ht="15" hidden="false" customHeight="false" outlineLevel="0" collapsed="false">
      <c r="A15" s="0" t="s">
        <v>39</v>
      </c>
      <c r="B15" s="0" t="s">
        <v>70</v>
      </c>
      <c r="C15" s="0" t="s">
        <v>60</v>
      </c>
      <c r="D15" s="0" t="s">
        <v>41</v>
      </c>
      <c r="E15" s="0" t="s">
        <v>71</v>
      </c>
      <c r="F15" s="0" t="s">
        <v>43</v>
      </c>
      <c r="G15" s="0" t="n">
        <f aca="false">HYPERLINK("http://clipc-services.ceda.ac.uk/dreq/u/38c7aa97ad0f74e33dfd3f115124d04f.html","web")</f>
        <v>0</v>
      </c>
      <c r="H15" s="0" t="s">
        <v>54</v>
      </c>
      <c r="I15" s="0" t="s">
        <v>45</v>
      </c>
      <c r="J15" s="0" t="s">
        <v>72</v>
      </c>
      <c r="K15" s="0" t="s">
        <v>63</v>
      </c>
    </row>
    <row r="16" customFormat="false" ht="15" hidden="false" customHeight="false" outlineLevel="0" collapsed="false">
      <c r="A16" s="0" t="s">
        <v>39</v>
      </c>
      <c r="B16" s="0" t="s">
        <v>73</v>
      </c>
      <c r="C16" s="0" t="s">
        <v>60</v>
      </c>
      <c r="D16" s="0" t="s">
        <v>41</v>
      </c>
      <c r="E16" s="0" t="s">
        <v>74</v>
      </c>
      <c r="F16" s="0" t="s">
        <v>43</v>
      </c>
      <c r="G16" s="0" t="n">
        <f aca="false">HYPERLINK("http://clipc-services.ceda.ac.uk/dreq/u/3aa265a13ddf4caa82a8e1e3d4482f42.html","web")</f>
        <v>0</v>
      </c>
      <c r="H16" s="0" t="s">
        <v>75</v>
      </c>
      <c r="I16" s="0" t="s">
        <v>76</v>
      </c>
      <c r="J16" s="0" t="s">
        <v>77</v>
      </c>
      <c r="K16" s="0" t="s">
        <v>63</v>
      </c>
    </row>
    <row r="17" customFormat="false" ht="15" hidden="false" customHeight="false" outlineLevel="0" collapsed="false">
      <c r="A17" s="0" t="s">
        <v>39</v>
      </c>
      <c r="B17" s="0" t="s">
        <v>78</v>
      </c>
      <c r="C17" s="0" t="s">
        <v>31</v>
      </c>
      <c r="D17" s="0" t="s">
        <v>41</v>
      </c>
      <c r="E17" s="0" t="s">
        <v>79</v>
      </c>
      <c r="F17" s="0" t="s">
        <v>80</v>
      </c>
      <c r="G17" s="0" t="n">
        <f aca="false">HYPERLINK("http://clipc-services.ceda.ac.uk/dreq/u/4c69515bfc84c5cb5624e94228f58351.html","web")</f>
        <v>0</v>
      </c>
      <c r="H17" s="0" t="s">
        <v>81</v>
      </c>
      <c r="I17" s="0" t="s">
        <v>45</v>
      </c>
      <c r="J17" s="0" t="s">
        <v>82</v>
      </c>
      <c r="K17" s="0" t="s">
        <v>47</v>
      </c>
    </row>
    <row r="18" customFormat="false" ht="15" hidden="false" customHeight="false" outlineLevel="0" collapsed="false">
      <c r="A18" s="0" t="s">
        <v>39</v>
      </c>
      <c r="B18" s="0" t="s">
        <v>83</v>
      </c>
      <c r="C18" s="0" t="s">
        <v>60</v>
      </c>
      <c r="D18" s="0" t="s">
        <v>41</v>
      </c>
      <c r="E18" s="0" t="s">
        <v>84</v>
      </c>
      <c r="F18" s="0" t="s">
        <v>43</v>
      </c>
      <c r="G18" s="0" t="n">
        <f aca="false">HYPERLINK("http://clipc-services.ceda.ac.uk/dreq/u/c9776970-c5f0-11e6-ac20-5404a60d96b5.html","web")</f>
        <v>0</v>
      </c>
      <c r="H18" s="0" t="s">
        <v>54</v>
      </c>
      <c r="I18" s="0" t="s">
        <v>45</v>
      </c>
      <c r="J18" s="0" t="s">
        <v>85</v>
      </c>
      <c r="K18" s="0" t="s">
        <v>86</v>
      </c>
    </row>
    <row r="19" customFormat="false" ht="15" hidden="false" customHeight="false" outlineLevel="0" collapsed="false">
      <c r="A19" s="0" t="s">
        <v>39</v>
      </c>
      <c r="B19" s="0" t="s">
        <v>87</v>
      </c>
      <c r="C19" s="0" t="s">
        <v>31</v>
      </c>
      <c r="D19" s="0" t="s">
        <v>41</v>
      </c>
      <c r="E19" s="0" t="s">
        <v>88</v>
      </c>
      <c r="F19" s="0" t="s">
        <v>43</v>
      </c>
      <c r="G19" s="0" t="n">
        <f aca="false">HYPERLINK("http://clipc-services.ceda.ac.uk/dreq/u/ba20ea537eb672813c5a364655855b38.html","web")</f>
        <v>0</v>
      </c>
      <c r="H19" s="0" t="s">
        <v>75</v>
      </c>
      <c r="I19" s="0" t="s">
        <v>89</v>
      </c>
      <c r="J19" s="0" t="s">
        <v>90</v>
      </c>
      <c r="K19" s="0" t="s">
        <v>47</v>
      </c>
    </row>
    <row r="20" customFormat="false" ht="15" hidden="false" customHeight="false" outlineLevel="0" collapsed="false">
      <c r="A20" s="0" t="s">
        <v>39</v>
      </c>
      <c r="B20" s="0" t="s">
        <v>91</v>
      </c>
      <c r="C20" s="0" t="s">
        <v>31</v>
      </c>
      <c r="D20" s="0" t="s">
        <v>41</v>
      </c>
      <c r="E20" s="0" t="s">
        <v>92</v>
      </c>
      <c r="F20" s="0" t="s">
        <v>31</v>
      </c>
      <c r="G20" s="0" t="n">
        <f aca="false">HYPERLINK("http://clipc-services.ceda.ac.uk/dreq/u/c97004d2-c5f0-11e6-ac20-5404a60d96b5.html","web")</f>
        <v>0</v>
      </c>
      <c r="H20" s="0" t="s">
        <v>93</v>
      </c>
      <c r="I20" s="0" t="s">
        <v>45</v>
      </c>
      <c r="J20" s="0" t="s">
        <v>94</v>
      </c>
      <c r="K20" s="0" t="s">
        <v>47</v>
      </c>
    </row>
    <row r="21" customFormat="false" ht="15" hidden="false" customHeight="false" outlineLevel="0" collapsed="false">
      <c r="A21" s="0" t="s">
        <v>39</v>
      </c>
      <c r="B21" s="0" t="s">
        <v>95</v>
      </c>
      <c r="C21" s="0" t="s">
        <v>31</v>
      </c>
      <c r="D21" s="0" t="s">
        <v>41</v>
      </c>
      <c r="E21" s="0" t="s">
        <v>96</v>
      </c>
      <c r="F21" s="0" t="s">
        <v>31</v>
      </c>
      <c r="G21" s="0" t="n">
        <f aca="false">HYPERLINK("http://clipc-services.ceda.ac.uk/dreq/u/c977c2da-c5f0-11e6-ac20-5404a60d96b5.html","web")</f>
        <v>0</v>
      </c>
      <c r="H21" s="0" t="s">
        <v>50</v>
      </c>
      <c r="I21" s="0" t="s">
        <v>45</v>
      </c>
      <c r="J21" s="0" t="s">
        <v>97</v>
      </c>
      <c r="K21" s="0" t="s">
        <v>47</v>
      </c>
    </row>
    <row r="22" customFormat="false" ht="15" hidden="false" customHeight="false" outlineLevel="0" collapsed="false">
      <c r="A22" s="0" t="s">
        <v>39</v>
      </c>
      <c r="B22" s="0" t="s">
        <v>98</v>
      </c>
      <c r="C22" s="0" t="s">
        <v>13</v>
      </c>
      <c r="D22" s="0" t="s">
        <v>41</v>
      </c>
      <c r="E22" s="0" t="s">
        <v>99</v>
      </c>
      <c r="F22" s="0" t="s">
        <v>100</v>
      </c>
      <c r="G22" s="0" t="n">
        <f aca="false">HYPERLINK("http://clipc-services.ceda.ac.uk/dreq/u/171d617ceca8a4351f53d090c0ead89c.html","web")</f>
        <v>0</v>
      </c>
      <c r="H22" s="0" t="s">
        <v>101</v>
      </c>
      <c r="I22" s="0" t="s">
        <v>89</v>
      </c>
      <c r="J22" s="0" t="s">
        <v>102</v>
      </c>
      <c r="K22" s="0" t="s">
        <v>47</v>
      </c>
    </row>
    <row r="23" customFormat="false" ht="15" hidden="false" customHeight="false" outlineLevel="0" collapsed="false">
      <c r="A23" s="0" t="s">
        <v>39</v>
      </c>
      <c r="B23" s="0" t="s">
        <v>103</v>
      </c>
      <c r="C23" s="0" t="s">
        <v>13</v>
      </c>
      <c r="D23" s="0" t="s">
        <v>41</v>
      </c>
      <c r="E23" s="0" t="s">
        <v>104</v>
      </c>
      <c r="F23" s="0" t="s">
        <v>100</v>
      </c>
      <c r="G23" s="0" t="n">
        <f aca="false">HYPERLINK("http://clipc-services.ceda.ac.uk/dreq/u/df96c61c07957da1c4e8212f0553fa98.html","web")</f>
        <v>0</v>
      </c>
      <c r="H23" s="0" t="s">
        <v>101</v>
      </c>
      <c r="I23" s="0" t="s">
        <v>89</v>
      </c>
      <c r="J23" s="0" t="s">
        <v>105</v>
      </c>
      <c r="K23" s="0" t="s">
        <v>47</v>
      </c>
    </row>
    <row r="24" customFormat="false" ht="15" hidden="false" customHeight="false" outlineLevel="0" collapsed="false">
      <c r="A24" s="0" t="s">
        <v>39</v>
      </c>
      <c r="B24" s="0" t="s">
        <v>106</v>
      </c>
      <c r="C24" s="0" t="s">
        <v>13</v>
      </c>
      <c r="D24" s="0" t="s">
        <v>41</v>
      </c>
      <c r="E24" s="0" t="s">
        <v>107</v>
      </c>
      <c r="F24" s="0" t="s">
        <v>100</v>
      </c>
      <c r="G24" s="0" t="n">
        <f aca="false">HYPERLINK("http://clipc-services.ceda.ac.uk/dreq/u/edc3d019be9c383abbd82a4d5fad43ca.html","web")</f>
        <v>0</v>
      </c>
      <c r="H24" s="0" t="s">
        <v>101</v>
      </c>
      <c r="I24" s="0" t="s">
        <v>89</v>
      </c>
      <c r="J24" s="0" t="s">
        <v>108</v>
      </c>
      <c r="K24" s="0" t="s">
        <v>47</v>
      </c>
    </row>
    <row r="25" customFormat="false" ht="15" hidden="false" customHeight="false" outlineLevel="0" collapsed="false">
      <c r="A25" s="0" t="s">
        <v>39</v>
      </c>
      <c r="B25" s="0" t="s">
        <v>109</v>
      </c>
      <c r="C25" s="0" t="s">
        <v>13</v>
      </c>
      <c r="D25" s="0" t="s">
        <v>41</v>
      </c>
      <c r="E25" s="0" t="s">
        <v>110</v>
      </c>
      <c r="F25" s="0" t="s">
        <v>43</v>
      </c>
      <c r="G25" s="0" t="n">
        <f aca="false">HYPERLINK("http://clipc-services.ceda.ac.uk/dreq/u/14e5a31ac93e26c50f8c01ed9a032168.html","web")</f>
        <v>0</v>
      </c>
      <c r="H25" s="0" t="s">
        <v>101</v>
      </c>
      <c r="I25" s="0" t="s">
        <v>89</v>
      </c>
      <c r="J25" s="0" t="s">
        <v>111</v>
      </c>
      <c r="K25" s="0" t="s">
        <v>47</v>
      </c>
    </row>
    <row r="26" customFormat="false" ht="15" hidden="false" customHeight="false" outlineLevel="0" collapsed="false">
      <c r="A26" s="0" t="s">
        <v>39</v>
      </c>
      <c r="B26" s="0" t="s">
        <v>112</v>
      </c>
      <c r="C26" s="0" t="s">
        <v>13</v>
      </c>
      <c r="D26" s="0" t="s">
        <v>41</v>
      </c>
      <c r="E26" s="0" t="s">
        <v>113</v>
      </c>
      <c r="F26" s="0" t="s">
        <v>43</v>
      </c>
      <c r="G26" s="0" t="n">
        <f aca="false">HYPERLINK("http://clipc-services.ceda.ac.uk/dreq/u/562c99ff069851867df730ed9531c796.html","web")</f>
        <v>0</v>
      </c>
      <c r="H26" s="0" t="s">
        <v>101</v>
      </c>
      <c r="I26" s="0" t="s">
        <v>89</v>
      </c>
      <c r="J26" s="0" t="s">
        <v>114</v>
      </c>
      <c r="K26" s="0" t="s">
        <v>47</v>
      </c>
    </row>
    <row r="27" customFormat="false" ht="15" hidden="false" customHeight="false" outlineLevel="0" collapsed="false">
      <c r="A27" s="0" t="s">
        <v>39</v>
      </c>
      <c r="B27" s="0" t="s">
        <v>115</v>
      </c>
      <c r="C27" s="0" t="s">
        <v>13</v>
      </c>
      <c r="D27" s="0" t="s">
        <v>41</v>
      </c>
      <c r="E27" s="0" t="s">
        <v>116</v>
      </c>
      <c r="F27" s="0" t="s">
        <v>43</v>
      </c>
      <c r="G27" s="0" t="n">
        <f aca="false">HYPERLINK("http://clipc-services.ceda.ac.uk/dreq/u/80f337469efdd0d5392ad995a90fd15c.html","web")</f>
        <v>0</v>
      </c>
      <c r="H27" s="0" t="s">
        <v>101</v>
      </c>
      <c r="I27" s="0" t="s">
        <v>89</v>
      </c>
      <c r="J27" s="0" t="s">
        <v>117</v>
      </c>
      <c r="K27" s="0" t="s">
        <v>47</v>
      </c>
    </row>
    <row r="28" customFormat="false" ht="15" hidden="false" customHeight="false" outlineLevel="0" collapsed="false">
      <c r="A28" s="0" t="s">
        <v>39</v>
      </c>
      <c r="B28" s="0" t="s">
        <v>118</v>
      </c>
      <c r="C28" s="0" t="s">
        <v>13</v>
      </c>
      <c r="D28" s="0" t="s">
        <v>41</v>
      </c>
      <c r="E28" s="0" t="s">
        <v>119</v>
      </c>
      <c r="F28" s="0" t="s">
        <v>43</v>
      </c>
      <c r="G28" s="0" t="n">
        <f aca="false">HYPERLINK("http://clipc-services.ceda.ac.uk/dreq/u/1ae710e405acc14b368f55d9205be258.html","web")</f>
        <v>0</v>
      </c>
      <c r="H28" s="0" t="s">
        <v>101</v>
      </c>
      <c r="I28" s="0" t="s">
        <v>89</v>
      </c>
      <c r="J28" s="0" t="s">
        <v>120</v>
      </c>
      <c r="K28" s="0" t="s">
        <v>47</v>
      </c>
    </row>
    <row r="29" customFormat="false" ht="15" hidden="false" customHeight="false" outlineLevel="0" collapsed="false">
      <c r="A29" s="0" t="s">
        <v>39</v>
      </c>
      <c r="B29" s="0" t="s">
        <v>121</v>
      </c>
      <c r="C29" s="0" t="s">
        <v>13</v>
      </c>
      <c r="D29" s="0" t="s">
        <v>41</v>
      </c>
      <c r="E29" s="0" t="s">
        <v>122</v>
      </c>
      <c r="F29" s="0" t="s">
        <v>43</v>
      </c>
      <c r="G29" s="0" t="n">
        <f aca="false">HYPERLINK("http://clipc-services.ceda.ac.uk/dreq/u/bdce9878-233e-11e6-a788-5404a60d96b5.html","web")</f>
        <v>0</v>
      </c>
      <c r="H29" s="0" t="s">
        <v>123</v>
      </c>
      <c r="I29" s="0" t="s">
        <v>76</v>
      </c>
      <c r="J29" s="0" t="s">
        <v>124</v>
      </c>
      <c r="K29" s="0" t="s">
        <v>125</v>
      </c>
    </row>
    <row r="30" customFormat="false" ht="15" hidden="false" customHeight="false" outlineLevel="0" collapsed="false">
      <c r="A30" s="0" t="s">
        <v>39</v>
      </c>
      <c r="B30" s="0" t="s">
        <v>126</v>
      </c>
      <c r="C30" s="0" t="s">
        <v>13</v>
      </c>
      <c r="D30" s="0" t="s">
        <v>41</v>
      </c>
      <c r="E30" s="0" t="s">
        <v>127</v>
      </c>
      <c r="F30" s="0" t="s">
        <v>43</v>
      </c>
      <c r="G30" s="0" t="n">
        <f aca="false">HYPERLINK("http://clipc-services.ceda.ac.uk/dreq/u/065edaa295c376f0e9bc1985bc3f491c.html","web")</f>
        <v>0</v>
      </c>
      <c r="H30" s="0" t="s">
        <v>54</v>
      </c>
      <c r="I30" s="0" t="s">
        <v>45</v>
      </c>
      <c r="J30" s="0" t="s">
        <v>128</v>
      </c>
      <c r="K30" s="0" t="s">
        <v>125</v>
      </c>
    </row>
    <row r="31" customFormat="false" ht="15" hidden="false" customHeight="false" outlineLevel="0" collapsed="false">
      <c r="A31" s="0" t="s">
        <v>39</v>
      </c>
      <c r="B31" s="0" t="s">
        <v>129</v>
      </c>
      <c r="C31" s="0" t="s">
        <v>13</v>
      </c>
      <c r="D31" s="0" t="s">
        <v>41</v>
      </c>
      <c r="E31" s="0" t="s">
        <v>130</v>
      </c>
      <c r="F31" s="0" t="s">
        <v>131</v>
      </c>
      <c r="G31" s="0" t="n">
        <f aca="false">HYPERLINK("http://clipc-services.ceda.ac.uk/dreq/u/6aec29521de81a361630aac9ffc69f8f.html","web")</f>
        <v>0</v>
      </c>
      <c r="H31" s="0" t="s">
        <v>123</v>
      </c>
      <c r="I31" s="0" t="s">
        <v>76</v>
      </c>
      <c r="J31" s="0" t="s">
        <v>132</v>
      </c>
      <c r="K31" s="0" t="s">
        <v>125</v>
      </c>
    </row>
    <row r="32" customFormat="false" ht="15" hidden="false" customHeight="false" outlineLevel="0" collapsed="false">
      <c r="A32" s="0" t="s">
        <v>39</v>
      </c>
      <c r="B32" s="0" t="s">
        <v>133</v>
      </c>
      <c r="C32" s="0" t="s">
        <v>13</v>
      </c>
      <c r="D32" s="0" t="s">
        <v>41</v>
      </c>
      <c r="E32" s="0" t="s">
        <v>134</v>
      </c>
      <c r="F32" s="0" t="s">
        <v>135</v>
      </c>
      <c r="G32" s="0" t="n">
        <f aca="false">HYPERLINK("http://clipc-services.ceda.ac.uk/dreq/u/684d3f3543045a89ecbb0ca81ba6705f.html","web")</f>
        <v>0</v>
      </c>
      <c r="H32" s="0" t="s">
        <v>136</v>
      </c>
      <c r="I32" s="0" t="s">
        <v>137</v>
      </c>
      <c r="J32" s="0" t="s">
        <v>138</v>
      </c>
      <c r="K32" s="0" t="s">
        <v>125</v>
      </c>
    </row>
    <row r="33" customFormat="false" ht="15" hidden="false" customHeight="false" outlineLevel="0" collapsed="false">
      <c r="A33" s="0" t="s">
        <v>39</v>
      </c>
      <c r="B33" s="0" t="s">
        <v>139</v>
      </c>
      <c r="C33" s="0" t="s">
        <v>13</v>
      </c>
      <c r="D33" s="0" t="s">
        <v>41</v>
      </c>
      <c r="E33" s="0" t="s">
        <v>140</v>
      </c>
      <c r="F33" s="0" t="s">
        <v>131</v>
      </c>
      <c r="G33" s="0" t="n">
        <f aca="false">HYPERLINK("http://clipc-services.ceda.ac.uk/dreq/u/402d88cf81105fe603118df92bb9eecb.html","web")</f>
        <v>0</v>
      </c>
      <c r="H33" s="0" t="s">
        <v>123</v>
      </c>
      <c r="I33" s="0" t="s">
        <v>76</v>
      </c>
      <c r="J33" s="0" t="s">
        <v>141</v>
      </c>
      <c r="K33" s="0" t="s">
        <v>125</v>
      </c>
    </row>
    <row r="34" customFormat="false" ht="15" hidden="false" customHeight="false" outlineLevel="0" collapsed="false">
      <c r="A34" s="0" t="s">
        <v>39</v>
      </c>
      <c r="B34" s="0" t="s">
        <v>142</v>
      </c>
      <c r="C34" s="0" t="s">
        <v>60</v>
      </c>
      <c r="D34" s="0" t="s">
        <v>41</v>
      </c>
      <c r="E34" s="0" t="s">
        <v>143</v>
      </c>
      <c r="F34" s="0" t="s">
        <v>131</v>
      </c>
      <c r="G34" s="0" t="n">
        <f aca="false">HYPERLINK("http://clipc-services.ceda.ac.uk/dreq/u/e52644bc-dd83-11e5-9194-ac72891c3257.html","web")</f>
        <v>0</v>
      </c>
      <c r="H34" s="0" t="s">
        <v>136</v>
      </c>
      <c r="I34" s="0" t="s">
        <v>137</v>
      </c>
      <c r="J34" s="0" t="s">
        <v>144</v>
      </c>
      <c r="K34" s="0" t="s">
        <v>47</v>
      </c>
    </row>
    <row r="35" customFormat="false" ht="15" hidden="false" customHeight="false" outlineLevel="0" collapsed="false">
      <c r="A35" s="0" t="s">
        <v>39</v>
      </c>
      <c r="B35" s="0" t="s">
        <v>145</v>
      </c>
      <c r="C35" s="0" t="s">
        <v>60</v>
      </c>
      <c r="D35" s="0" t="s">
        <v>41</v>
      </c>
      <c r="E35" s="0" t="s">
        <v>146</v>
      </c>
      <c r="F35" s="0" t="s">
        <v>131</v>
      </c>
      <c r="G35" s="0" t="n">
        <f aca="false">HYPERLINK("http://clipc-services.ceda.ac.uk/dreq/u/e526caea-dd83-11e5-9194-ac72891c3257.html","web")</f>
        <v>0</v>
      </c>
      <c r="H35" s="0" t="s">
        <v>136</v>
      </c>
      <c r="I35" s="0" t="s">
        <v>137</v>
      </c>
      <c r="J35" s="0" t="s">
        <v>147</v>
      </c>
      <c r="K35" s="0" t="s">
        <v>47</v>
      </c>
    </row>
    <row r="36" customFormat="false" ht="15" hidden="false" customHeight="false" outlineLevel="0" collapsed="false">
      <c r="A36" s="0" t="s">
        <v>39</v>
      </c>
      <c r="B36" s="0" t="s">
        <v>148</v>
      </c>
      <c r="C36" s="0" t="s">
        <v>60</v>
      </c>
      <c r="D36" s="0" t="s">
        <v>41</v>
      </c>
      <c r="E36" s="0" t="s">
        <v>149</v>
      </c>
      <c r="F36" s="0" t="s">
        <v>131</v>
      </c>
      <c r="G36" s="0" t="n">
        <f aca="false">HYPERLINK("http://clipc-services.ceda.ac.uk/dreq/u/e527532a-dd83-11e5-9194-ac72891c3257.html","web")</f>
        <v>0</v>
      </c>
      <c r="H36" s="0" t="s">
        <v>136</v>
      </c>
      <c r="I36" s="0" t="s">
        <v>137</v>
      </c>
      <c r="J36" s="0" t="s">
        <v>150</v>
      </c>
      <c r="K36" s="0" t="s">
        <v>47</v>
      </c>
    </row>
    <row r="37" customFormat="false" ht="15" hidden="false" customHeight="false" outlineLevel="0" collapsed="false">
      <c r="A37" s="0" t="s">
        <v>39</v>
      </c>
      <c r="B37" s="0" t="s">
        <v>151</v>
      </c>
      <c r="C37" s="0" t="s">
        <v>60</v>
      </c>
      <c r="D37" s="0" t="s">
        <v>41</v>
      </c>
      <c r="E37" s="0" t="s">
        <v>152</v>
      </c>
      <c r="F37" s="0" t="s">
        <v>131</v>
      </c>
      <c r="G37" s="0" t="n">
        <f aca="false">HYPERLINK("http://clipc-services.ceda.ac.uk/dreq/u/1df32c1e9440e03187aa8253e1a0f2d9.html","web")</f>
        <v>0</v>
      </c>
      <c r="H37" s="0" t="s">
        <v>153</v>
      </c>
      <c r="I37" s="0" t="s">
        <v>76</v>
      </c>
      <c r="J37" s="0" t="s">
        <v>154</v>
      </c>
      <c r="K37" s="0" t="s">
        <v>125</v>
      </c>
    </row>
    <row r="38" customFormat="false" ht="15" hidden="false" customHeight="false" outlineLevel="0" collapsed="false">
      <c r="A38" s="0" t="s">
        <v>39</v>
      </c>
      <c r="B38" s="0" t="s">
        <v>155</v>
      </c>
      <c r="C38" s="0" t="s">
        <v>60</v>
      </c>
      <c r="D38" s="0" t="s">
        <v>41</v>
      </c>
      <c r="E38" s="0" t="s">
        <v>156</v>
      </c>
      <c r="F38" s="0" t="s">
        <v>131</v>
      </c>
      <c r="G38" s="0" t="n">
        <f aca="false">HYPERLINK("http://clipc-services.ceda.ac.uk/dreq/u/c075ee7167ef3bc43fef7ce624f960af.html","web")</f>
        <v>0</v>
      </c>
      <c r="H38" s="0" t="s">
        <v>157</v>
      </c>
      <c r="I38" s="0" t="s">
        <v>76</v>
      </c>
      <c r="J38" s="0" t="s">
        <v>158</v>
      </c>
      <c r="K38" s="0" t="s">
        <v>125</v>
      </c>
    </row>
    <row r="39" customFormat="false" ht="15" hidden="false" customHeight="false" outlineLevel="0" collapsed="false">
      <c r="A39" s="0" t="s">
        <v>39</v>
      </c>
      <c r="B39" s="0" t="s">
        <v>159</v>
      </c>
      <c r="C39" s="0" t="s">
        <v>60</v>
      </c>
      <c r="D39" s="0" t="s">
        <v>41</v>
      </c>
      <c r="E39" s="0" t="s">
        <v>160</v>
      </c>
      <c r="F39" s="0" t="s">
        <v>131</v>
      </c>
      <c r="G39" s="0" t="n">
        <f aca="false">HYPERLINK("http://clipc-services.ceda.ac.uk/dreq/u/cc3eb19e60c00c77520c2cbf58c322b1.html","web")</f>
        <v>0</v>
      </c>
      <c r="H39" s="0" t="s">
        <v>161</v>
      </c>
      <c r="I39" s="0" t="s">
        <v>76</v>
      </c>
      <c r="J39" s="0" t="s">
        <v>162</v>
      </c>
      <c r="K39" s="0" t="s">
        <v>125</v>
      </c>
    </row>
    <row r="40" customFormat="false" ht="15" hidden="false" customHeight="false" outlineLevel="0" collapsed="false">
      <c r="A40" s="0" t="s">
        <v>39</v>
      </c>
      <c r="B40" s="0" t="s">
        <v>163</v>
      </c>
      <c r="C40" s="0" t="s">
        <v>60</v>
      </c>
      <c r="D40" s="0" t="s">
        <v>41</v>
      </c>
      <c r="E40" s="0" t="s">
        <v>164</v>
      </c>
      <c r="F40" s="0" t="s">
        <v>131</v>
      </c>
      <c r="G40" s="0" t="n">
        <f aca="false">HYPERLINK("http://clipc-services.ceda.ac.uk/dreq/u/6674625c225f14aa8d6795d1df244c28.html","web")</f>
        <v>0</v>
      </c>
      <c r="H40" s="0" t="s">
        <v>165</v>
      </c>
      <c r="I40" s="0" t="s">
        <v>76</v>
      </c>
      <c r="J40" s="0" t="s">
        <v>166</v>
      </c>
      <c r="K40" s="0" t="s">
        <v>125</v>
      </c>
    </row>
    <row r="41" customFormat="false" ht="15" hidden="false" customHeight="false" outlineLevel="0" collapsed="false">
      <c r="A41" s="0" t="s">
        <v>39</v>
      </c>
      <c r="B41" s="0" t="s">
        <v>167</v>
      </c>
      <c r="C41" s="0" t="s">
        <v>60</v>
      </c>
      <c r="D41" s="0" t="s">
        <v>41</v>
      </c>
      <c r="E41" s="0" t="s">
        <v>168</v>
      </c>
      <c r="F41" s="0" t="s">
        <v>131</v>
      </c>
      <c r="G41" s="0" t="n">
        <f aca="false">HYPERLINK("http://clipc-services.ceda.ac.uk/dreq/u/2157a343384243be18fe8a06826aecb5.html","web")</f>
        <v>0</v>
      </c>
      <c r="H41" s="0" t="s">
        <v>169</v>
      </c>
      <c r="I41" s="0" t="s">
        <v>76</v>
      </c>
      <c r="J41" s="0" t="s">
        <v>170</v>
      </c>
      <c r="K41" s="0" t="s">
        <v>125</v>
      </c>
    </row>
    <row r="42" customFormat="false" ht="15" hidden="false" customHeight="false" outlineLevel="0" collapsed="false">
      <c r="A42" s="0" t="s">
        <v>39</v>
      </c>
      <c r="B42" s="0" t="s">
        <v>171</v>
      </c>
      <c r="C42" s="0" t="s">
        <v>60</v>
      </c>
      <c r="D42" s="0" t="s">
        <v>41</v>
      </c>
      <c r="E42" s="0" t="s">
        <v>172</v>
      </c>
      <c r="F42" s="0" t="s">
        <v>131</v>
      </c>
      <c r="G42" s="0" t="n">
        <f aca="false">HYPERLINK("http://clipc-services.ceda.ac.uk/dreq/u/e5a8a5a5c4ff0920fa237e5274df57ba.html","web")</f>
        <v>0</v>
      </c>
      <c r="H42" s="0" t="s">
        <v>173</v>
      </c>
      <c r="I42" s="0" t="s">
        <v>76</v>
      </c>
      <c r="J42" s="0" t="s">
        <v>174</v>
      </c>
      <c r="K42" s="0" t="s">
        <v>125</v>
      </c>
    </row>
    <row r="43" customFormat="false" ht="15" hidden="false" customHeight="false" outlineLevel="0" collapsed="false">
      <c r="A43" s="0" t="s">
        <v>39</v>
      </c>
      <c r="B43" s="0" t="s">
        <v>175</v>
      </c>
      <c r="C43" s="0" t="s">
        <v>60</v>
      </c>
      <c r="D43" s="0" t="s">
        <v>41</v>
      </c>
      <c r="E43" s="0" t="s">
        <v>176</v>
      </c>
      <c r="F43" s="0" t="s">
        <v>131</v>
      </c>
      <c r="G43" s="0" t="n">
        <f aca="false">HYPERLINK("http://clipc-services.ceda.ac.uk/dreq/u/9a9dda6b54b64f67bda703c77465cceb.html","web")</f>
        <v>0</v>
      </c>
      <c r="H43" s="0" t="s">
        <v>123</v>
      </c>
      <c r="I43" s="0" t="s">
        <v>76</v>
      </c>
      <c r="J43" s="0" t="s">
        <v>177</v>
      </c>
      <c r="K43" s="0" t="s">
        <v>125</v>
      </c>
    </row>
    <row r="44" customFormat="false" ht="15" hidden="false" customHeight="false" outlineLevel="0" collapsed="false">
      <c r="A44" s="0" t="s">
        <v>39</v>
      </c>
      <c r="B44" s="0" t="s">
        <v>178</v>
      </c>
      <c r="C44" s="0" t="s">
        <v>31</v>
      </c>
      <c r="D44" s="0" t="s">
        <v>179</v>
      </c>
      <c r="E44" s="0" t="s">
        <v>180</v>
      </c>
      <c r="F44" s="0" t="s">
        <v>181</v>
      </c>
      <c r="G44" s="0" t="n">
        <f aca="false">HYPERLINK("http://clipc-services.ceda.ac.uk/dreq/u/97c037c3357f24c4e06c07123224b400.html","web")</f>
        <v>0</v>
      </c>
      <c r="H44" s="0" t="s">
        <v>182</v>
      </c>
      <c r="I44" s="0" t="s">
        <v>137</v>
      </c>
      <c r="J44" s="0" t="s">
        <v>183</v>
      </c>
      <c r="K44" s="0" t="s">
        <v>47</v>
      </c>
    </row>
    <row r="45" customFormat="false" ht="15" hidden="false" customHeight="false" outlineLevel="0" collapsed="false">
      <c r="A45" s="0" t="s">
        <v>39</v>
      </c>
      <c r="B45" s="0" t="s">
        <v>184</v>
      </c>
      <c r="C45" s="0" t="s">
        <v>31</v>
      </c>
      <c r="D45" s="0" t="s">
        <v>179</v>
      </c>
      <c r="E45" s="0" t="s">
        <v>185</v>
      </c>
      <c r="F45" s="0" t="s">
        <v>181</v>
      </c>
      <c r="G45" s="0" t="n">
        <f aca="false">HYPERLINK("http://clipc-services.ceda.ac.uk/dreq/u/042e575e61a271e122d317ca7b39dcb4.html","web")</f>
        <v>0</v>
      </c>
      <c r="H45" s="0" t="s">
        <v>136</v>
      </c>
      <c r="I45" s="0" t="s">
        <v>137</v>
      </c>
      <c r="J45" s="0" t="s">
        <v>186</v>
      </c>
      <c r="K45" s="0" t="s">
        <v>47</v>
      </c>
    </row>
    <row r="46" customFormat="false" ht="15" hidden="false" customHeight="false" outlineLevel="0" collapsed="false">
      <c r="A46" s="0" t="s">
        <v>39</v>
      </c>
      <c r="B46" s="0" t="s">
        <v>187</v>
      </c>
      <c r="C46" s="0" t="s">
        <v>31</v>
      </c>
      <c r="D46" s="0" t="s">
        <v>179</v>
      </c>
      <c r="E46" s="0" t="s">
        <v>188</v>
      </c>
      <c r="F46" s="0" t="s">
        <v>181</v>
      </c>
      <c r="G46" s="0" t="n">
        <f aca="false">HYPERLINK("http://clipc-services.ceda.ac.uk/dreq/u/f36046ab9a8a24ce4d7431e2defd9cf6.html","web")</f>
        <v>0</v>
      </c>
      <c r="H46" s="0" t="s">
        <v>189</v>
      </c>
      <c r="I46" s="0" t="s">
        <v>137</v>
      </c>
      <c r="J46" s="0" t="s">
        <v>190</v>
      </c>
      <c r="K46" s="0" t="s">
        <v>47</v>
      </c>
    </row>
    <row r="47" customFormat="false" ht="15" hidden="false" customHeight="false" outlineLevel="0" collapsed="false">
      <c r="A47" s="0" t="s">
        <v>39</v>
      </c>
      <c r="B47" s="0" t="s">
        <v>191</v>
      </c>
      <c r="C47" s="0" t="s">
        <v>31</v>
      </c>
      <c r="D47" s="0" t="s">
        <v>179</v>
      </c>
      <c r="E47" s="0" t="s">
        <v>192</v>
      </c>
      <c r="F47" s="0" t="s">
        <v>181</v>
      </c>
      <c r="G47" s="0" t="n">
        <f aca="false">HYPERLINK("http://clipc-services.ceda.ac.uk/dreq/u/590e5b82-9e49-11e5-803c-0d0b866b59f3.html","web")</f>
        <v>0</v>
      </c>
      <c r="H47" s="0" t="s">
        <v>50</v>
      </c>
      <c r="I47" s="0" t="s">
        <v>45</v>
      </c>
      <c r="J47" s="0" t="s">
        <v>193</v>
      </c>
      <c r="K47" s="0" t="s">
        <v>47</v>
      </c>
    </row>
    <row r="49" customFormat="false" ht="15" hidden="false" customHeight="false" outlineLevel="0" collapsed="false">
      <c r="A49" s="0" t="s">
        <v>194</v>
      </c>
      <c r="B49" s="0" t="s">
        <v>195</v>
      </c>
      <c r="C49" s="0" t="s">
        <v>31</v>
      </c>
      <c r="D49" s="0" t="s">
        <v>179</v>
      </c>
      <c r="E49" s="0" t="s">
        <v>196</v>
      </c>
      <c r="F49" s="0" t="s">
        <v>197</v>
      </c>
      <c r="G49" s="0" t="n">
        <f aca="false">HYPERLINK("http://clipc-services.ceda.ac.uk/dreq/u/13484743dd3369c69df93379e6dafbb5.html","web")</f>
        <v>0</v>
      </c>
      <c r="H49" s="0" t="s">
        <v>198</v>
      </c>
      <c r="J49" s="0" t="s">
        <v>199</v>
      </c>
      <c r="K49" s="0" t="s">
        <v>200</v>
      </c>
    </row>
    <row r="50" customFormat="false" ht="15" hidden="false" customHeight="false" outlineLevel="0" collapsed="false">
      <c r="A50" s="0" t="s">
        <v>194</v>
      </c>
      <c r="B50" s="0" t="s">
        <v>201</v>
      </c>
      <c r="C50" s="0" t="s">
        <v>31</v>
      </c>
      <c r="D50" s="0" t="s">
        <v>179</v>
      </c>
      <c r="E50" s="0" t="s">
        <v>202</v>
      </c>
      <c r="F50" s="0" t="s">
        <v>197</v>
      </c>
      <c r="G50" s="0" t="n">
        <f aca="false">HYPERLINK("http://clipc-services.ceda.ac.uk/dreq/u/0062272a6a4176b8c32af87642b062c5.html","web")</f>
        <v>0</v>
      </c>
      <c r="H50" s="0" t="s">
        <v>203</v>
      </c>
      <c r="I50" s="0" t="s">
        <v>204</v>
      </c>
      <c r="J50" s="0" t="s">
        <v>205</v>
      </c>
      <c r="K50" s="0" t="s">
        <v>200</v>
      </c>
    </row>
    <row r="51" customFormat="false" ht="15" hidden="false" customHeight="false" outlineLevel="0" collapsed="false">
      <c r="A51" s="0" t="s">
        <v>194</v>
      </c>
      <c r="B51" s="0" t="s">
        <v>206</v>
      </c>
      <c r="C51" s="0" t="s">
        <v>31</v>
      </c>
      <c r="D51" s="0" t="s">
        <v>207</v>
      </c>
      <c r="E51" s="0" t="s">
        <v>208</v>
      </c>
      <c r="F51" s="0" t="s">
        <v>181</v>
      </c>
      <c r="G51" s="0" t="n">
        <f aca="false">HYPERLINK("http://clipc-services.ceda.ac.uk/dreq/u/6d790fe4caa7feff46a41ae7b3811e52.html","web")</f>
        <v>0</v>
      </c>
      <c r="H51" s="0" t="s">
        <v>209</v>
      </c>
      <c r="J51" s="0" t="s">
        <v>210</v>
      </c>
      <c r="K51" s="0" t="s">
        <v>200</v>
      </c>
    </row>
    <row r="52" customFormat="false" ht="15" hidden="false" customHeight="false" outlineLevel="0" collapsed="false">
      <c r="A52" s="0" t="s">
        <v>194</v>
      </c>
      <c r="B52" s="0" t="s">
        <v>211</v>
      </c>
      <c r="C52" s="0" t="s">
        <v>31</v>
      </c>
      <c r="D52" s="0" t="s">
        <v>212</v>
      </c>
      <c r="E52" s="0" t="s">
        <v>213</v>
      </c>
      <c r="F52" s="0" t="s">
        <v>24</v>
      </c>
      <c r="G52" s="0" t="n">
        <f aca="false">HYPERLINK("http://clipc-services.ceda.ac.uk/dreq/u/400e5707b65c01e31f2ec6a59dd3983b.html","web")</f>
        <v>0</v>
      </c>
      <c r="H52" s="0" t="s">
        <v>214</v>
      </c>
      <c r="I52" s="0" t="s">
        <v>215</v>
      </c>
      <c r="J52" s="0" t="s">
        <v>216</v>
      </c>
      <c r="K52" s="0" t="s">
        <v>200</v>
      </c>
    </row>
    <row r="53" customFormat="false" ht="15" hidden="false" customHeight="false" outlineLevel="0" collapsed="false">
      <c r="A53" s="0" t="s">
        <v>194</v>
      </c>
      <c r="B53" s="0" t="s">
        <v>217</v>
      </c>
      <c r="C53" s="0" t="s">
        <v>31</v>
      </c>
      <c r="D53" s="0" t="s">
        <v>218</v>
      </c>
      <c r="E53" s="0" t="s">
        <v>219</v>
      </c>
      <c r="F53" s="0" t="s">
        <v>24</v>
      </c>
      <c r="G53" s="0" t="n">
        <f aca="false">HYPERLINK("http://clipc-services.ceda.ac.uk/dreq/u/fa7666d61b92de5bad1ad76561b8b850.html","web")</f>
        <v>0</v>
      </c>
      <c r="H53" s="0" t="s">
        <v>214</v>
      </c>
      <c r="I53" s="0" t="s">
        <v>215</v>
      </c>
      <c r="J53" s="0" t="s">
        <v>220</v>
      </c>
      <c r="K53" s="0" t="s">
        <v>200</v>
      </c>
    </row>
    <row r="55" customFormat="false" ht="15" hidden="false" customHeight="false" outlineLevel="0" collapsed="false">
      <c r="A55" s="0" t="s">
        <v>221</v>
      </c>
      <c r="B55" s="0" t="s">
        <v>222</v>
      </c>
      <c r="C55" s="0" t="s">
        <v>31</v>
      </c>
      <c r="D55" s="0" t="s">
        <v>41</v>
      </c>
      <c r="E55" s="0" t="s">
        <v>223</v>
      </c>
      <c r="F55" s="0" t="s">
        <v>16</v>
      </c>
      <c r="G55" s="0" t="n">
        <f aca="false">HYPERLINK("http://clipc-services.ceda.ac.uk/dreq/u/44471dd9799293cef70ac63fcdd2476e.html","web")</f>
        <v>0</v>
      </c>
      <c r="I55" s="0" t="s">
        <v>18</v>
      </c>
      <c r="J55" s="0" t="s">
        <v>224</v>
      </c>
      <c r="K55" s="0" t="s">
        <v>225</v>
      </c>
    </row>
    <row r="57" customFormat="false" ht="15" hidden="false" customHeight="false" outlineLevel="0" collapsed="false">
      <c r="A57" s="0" t="s">
        <v>226</v>
      </c>
      <c r="B57" s="0" t="s">
        <v>227</v>
      </c>
      <c r="C57" s="0" t="s">
        <v>31</v>
      </c>
      <c r="D57" s="0" t="s">
        <v>228</v>
      </c>
      <c r="E57" s="0" t="s">
        <v>229</v>
      </c>
      <c r="F57" s="0" t="s">
        <v>230</v>
      </c>
      <c r="G57" s="0" t="n">
        <f aca="false">HYPERLINK("http://clipc-services.ceda.ac.uk/dreq/u/ba7be4134a9cf4838434bf204d80b903.html","web")</f>
        <v>0</v>
      </c>
      <c r="H57" s="0" t="s">
        <v>231</v>
      </c>
      <c r="I57" s="0" t="s">
        <v>36</v>
      </c>
      <c r="J57" s="0" t="s">
        <v>232</v>
      </c>
      <c r="K57" s="0" t="s">
        <v>233</v>
      </c>
    </row>
    <row r="58" customFormat="false" ht="15" hidden="false" customHeight="false" outlineLevel="0" collapsed="false">
      <c r="A58" s="0" t="s">
        <v>226</v>
      </c>
      <c r="B58" s="0" t="s">
        <v>234</v>
      </c>
      <c r="C58" s="0" t="s">
        <v>31</v>
      </c>
      <c r="D58" s="0" t="s">
        <v>228</v>
      </c>
      <c r="E58" s="0" t="s">
        <v>235</v>
      </c>
      <c r="F58" s="0" t="s">
        <v>230</v>
      </c>
      <c r="G58" s="0" t="n">
        <f aca="false">HYPERLINK("http://clipc-services.ceda.ac.uk/dreq/u/c64364df884a3cebaa7aebb664260776.html","web")</f>
        <v>0</v>
      </c>
      <c r="H58" s="0" t="s">
        <v>231</v>
      </c>
      <c r="I58" s="0" t="s">
        <v>36</v>
      </c>
      <c r="J58" s="0" t="s">
        <v>236</v>
      </c>
      <c r="K58" s="0" t="s">
        <v>233</v>
      </c>
    </row>
    <row r="59" customFormat="false" ht="15" hidden="false" customHeight="false" outlineLevel="0" collapsed="false">
      <c r="A59" s="0" t="s">
        <v>226</v>
      </c>
      <c r="B59" s="0" t="s">
        <v>237</v>
      </c>
      <c r="C59" s="0" t="s">
        <v>31</v>
      </c>
      <c r="D59" s="0" t="s">
        <v>228</v>
      </c>
      <c r="E59" s="0" t="s">
        <v>238</v>
      </c>
      <c r="F59" s="0" t="s">
        <v>239</v>
      </c>
      <c r="G59" s="0" t="n">
        <f aca="false">HYPERLINK("http://clipc-services.ceda.ac.uk/dreq/u/9522ca96d0b066ebe8defd5541de0582.html","web")</f>
        <v>0</v>
      </c>
      <c r="H59" s="0" t="s">
        <v>231</v>
      </c>
      <c r="I59" s="0" t="s">
        <v>36</v>
      </c>
      <c r="J59" s="0" t="s">
        <v>240</v>
      </c>
      <c r="K59" s="0" t="s">
        <v>233</v>
      </c>
    </row>
    <row r="60" customFormat="false" ht="15" hidden="false" customHeight="false" outlineLevel="0" collapsed="false">
      <c r="A60" s="0" t="s">
        <v>226</v>
      </c>
      <c r="B60" s="0" t="s">
        <v>241</v>
      </c>
      <c r="C60" s="0" t="s">
        <v>31</v>
      </c>
      <c r="D60" s="0" t="s">
        <v>228</v>
      </c>
      <c r="E60" s="0" t="s">
        <v>242</v>
      </c>
      <c r="F60" s="0" t="s">
        <v>239</v>
      </c>
      <c r="G60" s="0" t="n">
        <f aca="false">HYPERLINK("http://clipc-services.ceda.ac.uk/dreq/u/85631e0f7a8fdcb10737a525f4134181.html","web")</f>
        <v>0</v>
      </c>
      <c r="H60" s="0" t="s">
        <v>231</v>
      </c>
      <c r="I60" s="0" t="s">
        <v>36</v>
      </c>
      <c r="J60" s="0" t="s">
        <v>243</v>
      </c>
      <c r="K60" s="0" t="s">
        <v>233</v>
      </c>
    </row>
    <row r="61" customFormat="false" ht="15" hidden="false" customHeight="false" outlineLevel="0" collapsed="false">
      <c r="A61" s="0" t="s">
        <v>226</v>
      </c>
      <c r="B61" s="0" t="s">
        <v>244</v>
      </c>
      <c r="C61" s="0" t="s">
        <v>31</v>
      </c>
      <c r="D61" s="0" t="s">
        <v>228</v>
      </c>
      <c r="E61" s="0" t="s">
        <v>245</v>
      </c>
      <c r="F61" s="0" t="s">
        <v>246</v>
      </c>
      <c r="G61" s="0" t="n">
        <f aca="false">HYPERLINK("http://clipc-services.ceda.ac.uk/dreq/u/590fa2bc-9e49-11e5-803c-0d0b866b59f3.html","web")</f>
        <v>0</v>
      </c>
      <c r="H61" s="0" t="s">
        <v>231</v>
      </c>
      <c r="I61" s="0" t="s">
        <v>36</v>
      </c>
      <c r="J61" s="0" t="s">
        <v>247</v>
      </c>
      <c r="K61" s="0" t="s">
        <v>233</v>
      </c>
    </row>
    <row r="62" customFormat="false" ht="15" hidden="false" customHeight="false" outlineLevel="0" collapsed="false">
      <c r="A62" s="0" t="s">
        <v>226</v>
      </c>
      <c r="B62" s="0" t="s">
        <v>248</v>
      </c>
      <c r="C62" s="0" t="s">
        <v>31</v>
      </c>
      <c r="D62" s="0" t="s">
        <v>228</v>
      </c>
      <c r="E62" s="0" t="s">
        <v>249</v>
      </c>
      <c r="F62" s="0" t="s">
        <v>246</v>
      </c>
      <c r="G62" s="0" t="n">
        <f aca="false">HYPERLINK("http://clipc-services.ceda.ac.uk/dreq/u/590ed5a8-9e49-11e5-803c-0d0b866b59f3.html","web")</f>
        <v>0</v>
      </c>
      <c r="H62" s="0" t="s">
        <v>250</v>
      </c>
      <c r="I62" s="0" t="s">
        <v>36</v>
      </c>
      <c r="J62" s="0" t="s">
        <v>251</v>
      </c>
      <c r="K62" s="0" t="s">
        <v>233</v>
      </c>
    </row>
    <row r="63" customFormat="false" ht="15" hidden="false" customHeight="false" outlineLevel="0" collapsed="false">
      <c r="A63" s="0" t="s">
        <v>226</v>
      </c>
      <c r="B63" s="0" t="s">
        <v>252</v>
      </c>
      <c r="C63" s="0" t="s">
        <v>31</v>
      </c>
      <c r="D63" s="0" t="s">
        <v>228</v>
      </c>
      <c r="E63" s="0" t="s">
        <v>253</v>
      </c>
      <c r="F63" s="0" t="s">
        <v>246</v>
      </c>
      <c r="G63" s="0" t="n">
        <f aca="false">HYPERLINK("http://clipc-services.ceda.ac.uk/dreq/u/590e85a8-9e49-11e5-803c-0d0b866b59f3.html","web")</f>
        <v>0</v>
      </c>
      <c r="H63" s="0" t="s">
        <v>250</v>
      </c>
      <c r="I63" s="0" t="s">
        <v>36</v>
      </c>
      <c r="J63" s="0" t="s">
        <v>254</v>
      </c>
      <c r="K63" s="0" t="s">
        <v>233</v>
      </c>
    </row>
    <row r="64" customFormat="false" ht="15" hidden="false" customHeight="false" outlineLevel="0" collapsed="false">
      <c r="A64" s="0" t="s">
        <v>226</v>
      </c>
      <c r="B64" s="0" t="s">
        <v>255</v>
      </c>
      <c r="C64" s="0" t="s">
        <v>31</v>
      </c>
      <c r="D64" s="0" t="s">
        <v>228</v>
      </c>
      <c r="E64" s="0" t="s">
        <v>256</v>
      </c>
      <c r="F64" s="0" t="s">
        <v>257</v>
      </c>
      <c r="G64" s="0" t="n">
        <f aca="false">HYPERLINK("http://clipc-services.ceda.ac.uk/dreq/u/59137716-9e49-11e5-803c-0d0b866b59f3.html","web")</f>
        <v>0</v>
      </c>
      <c r="H64" s="0" t="s">
        <v>231</v>
      </c>
      <c r="I64" s="0" t="s">
        <v>36</v>
      </c>
      <c r="J64" s="0" t="s">
        <v>258</v>
      </c>
      <c r="K64" s="0" t="s">
        <v>233</v>
      </c>
    </row>
    <row r="65" customFormat="false" ht="15" hidden="false" customHeight="false" outlineLevel="0" collapsed="false">
      <c r="A65" s="0" t="s">
        <v>226</v>
      </c>
      <c r="B65" s="0" t="s">
        <v>259</v>
      </c>
      <c r="C65" s="0" t="s">
        <v>31</v>
      </c>
      <c r="D65" s="0" t="s">
        <v>228</v>
      </c>
      <c r="E65" s="0" t="s">
        <v>260</v>
      </c>
      <c r="F65" s="0" t="s">
        <v>261</v>
      </c>
      <c r="G65" s="0" t="n">
        <f aca="false">HYPERLINK("http://clipc-services.ceda.ac.uk/dreq/u/590e48f4-9e49-11e5-803c-0d0b866b59f3.html","web")</f>
        <v>0</v>
      </c>
      <c r="H65" s="0" t="s">
        <v>231</v>
      </c>
      <c r="I65" s="0" t="s">
        <v>36</v>
      </c>
      <c r="J65" s="0" t="s">
        <v>262</v>
      </c>
      <c r="K65" s="0" t="s">
        <v>233</v>
      </c>
    </row>
    <row r="66" customFormat="false" ht="15" hidden="false" customHeight="false" outlineLevel="0" collapsed="false">
      <c r="A66" s="0" t="s">
        <v>226</v>
      </c>
      <c r="B66" s="0" t="s">
        <v>263</v>
      </c>
      <c r="C66" s="0" t="s">
        <v>31</v>
      </c>
      <c r="D66" s="0" t="s">
        <v>228</v>
      </c>
      <c r="E66" s="0" t="s">
        <v>264</v>
      </c>
      <c r="F66" s="0" t="s">
        <v>261</v>
      </c>
      <c r="G66" s="0" t="n">
        <f aca="false">HYPERLINK("http://clipc-services.ceda.ac.uk/dreq/u/590e883c-9e49-11e5-803c-0d0b866b59f3.html","web")</f>
        <v>0</v>
      </c>
      <c r="H66" s="0" t="s">
        <v>231</v>
      </c>
      <c r="I66" s="0" t="s">
        <v>36</v>
      </c>
      <c r="J66" s="0" t="s">
        <v>265</v>
      </c>
      <c r="K66" s="0" t="s">
        <v>233</v>
      </c>
    </row>
    <row r="68" customFormat="false" ht="15" hidden="false" customHeight="false" outlineLevel="0" collapsed="false">
      <c r="A68" s="0" t="s">
        <v>266</v>
      </c>
      <c r="B68" s="0" t="s">
        <v>21</v>
      </c>
      <c r="C68" s="0" t="s">
        <v>13</v>
      </c>
      <c r="D68" s="0" t="s">
        <v>267</v>
      </c>
      <c r="E68" s="0" t="s">
        <v>23</v>
      </c>
      <c r="F68" s="0" t="s">
        <v>24</v>
      </c>
      <c r="G68" s="0" t="n">
        <f aca="false">HYPERLINK("http://clipc-services.ceda.ac.uk/dreq/u/590dbe0c-9e49-11e5-803c-0d0b866b59f3.html","web")</f>
        <v>0</v>
      </c>
      <c r="H68" s="0" t="s">
        <v>25</v>
      </c>
      <c r="I68" s="0" t="s">
        <v>26</v>
      </c>
      <c r="J68" s="0" t="s">
        <v>27</v>
      </c>
      <c r="K68" s="0" t="s">
        <v>28</v>
      </c>
    </row>
    <row r="69" customFormat="false" ht="15" hidden="false" customHeight="false" outlineLevel="0" collapsed="false">
      <c r="A69" s="0" t="s">
        <v>266</v>
      </c>
      <c r="B69" s="0" t="s">
        <v>268</v>
      </c>
      <c r="C69" s="0" t="s">
        <v>31</v>
      </c>
      <c r="D69" s="0" t="s">
        <v>179</v>
      </c>
      <c r="E69" s="0" t="s">
        <v>269</v>
      </c>
      <c r="F69" s="0" t="s">
        <v>270</v>
      </c>
      <c r="G69" s="0" t="n">
        <f aca="false">HYPERLINK("http://clipc-services.ceda.ac.uk/dreq/u/51e0588121783d77407236e0d2eb5d14.html","web")</f>
        <v>0</v>
      </c>
      <c r="H69" s="0" t="s">
        <v>271</v>
      </c>
      <c r="I69" s="0" t="s">
        <v>272</v>
      </c>
      <c r="J69" s="0" t="s">
        <v>273</v>
      </c>
      <c r="K69" s="0" t="s">
        <v>274</v>
      </c>
    </row>
    <row r="70" customFormat="false" ht="15" hidden="false" customHeight="false" outlineLevel="0" collapsed="false">
      <c r="A70" s="0" t="s">
        <v>266</v>
      </c>
      <c r="B70" s="0" t="s">
        <v>275</v>
      </c>
      <c r="C70" s="0" t="s">
        <v>60</v>
      </c>
      <c r="D70" s="0" t="s">
        <v>179</v>
      </c>
      <c r="E70" s="0" t="s">
        <v>276</v>
      </c>
      <c r="F70" s="0" t="s">
        <v>16</v>
      </c>
      <c r="G70" s="0" t="n">
        <f aca="false">HYPERLINK("http://clipc-services.ceda.ac.uk/dreq/u/3e437daab5bc69123a859ad361babc59.html","web")</f>
        <v>0</v>
      </c>
      <c r="H70" s="0" t="s">
        <v>277</v>
      </c>
      <c r="I70" s="0" t="s">
        <v>278</v>
      </c>
      <c r="J70" s="0" t="s">
        <v>279</v>
      </c>
      <c r="K70" s="0" t="s">
        <v>280</v>
      </c>
    </row>
    <row r="72" customFormat="false" ht="15" hidden="false" customHeight="false" outlineLevel="0" collapsed="false">
      <c r="A72" s="0" t="s">
        <v>281</v>
      </c>
      <c r="B72" s="0" t="s">
        <v>206</v>
      </c>
      <c r="C72" s="0" t="s">
        <v>31</v>
      </c>
      <c r="D72" s="0" t="s">
        <v>282</v>
      </c>
      <c r="E72" s="0" t="s">
        <v>208</v>
      </c>
      <c r="F72" s="0" t="s">
        <v>181</v>
      </c>
      <c r="G72" s="0" t="n">
        <f aca="false">HYPERLINK("http://clipc-services.ceda.ac.uk/dreq/u/6d790fe4caa7feff46a41ae7b3811e52.html","web")</f>
        <v>0</v>
      </c>
      <c r="H72" s="0" t="s">
        <v>209</v>
      </c>
      <c r="J72" s="0" t="s">
        <v>210</v>
      </c>
      <c r="K72" s="0" t="s">
        <v>283</v>
      </c>
    </row>
    <row r="73" customFormat="false" ht="15" hidden="false" customHeight="false" outlineLevel="0" collapsed="false">
      <c r="A73" s="0" t="s">
        <v>281</v>
      </c>
      <c r="B73" s="0" t="s">
        <v>284</v>
      </c>
      <c r="C73" s="0" t="s">
        <v>31</v>
      </c>
      <c r="D73" s="0" t="s">
        <v>282</v>
      </c>
      <c r="E73" s="0" t="s">
        <v>285</v>
      </c>
      <c r="F73" s="0" t="s">
        <v>286</v>
      </c>
      <c r="G73" s="0" t="n">
        <f aca="false">HYPERLINK("http://clipc-services.ceda.ac.uk/dreq/u/bcfeacf77d49ef51a6ee66a1ab0ebcb4.html","web")</f>
        <v>0</v>
      </c>
      <c r="H73" s="0" t="s">
        <v>287</v>
      </c>
      <c r="I73" s="0" t="s">
        <v>36</v>
      </c>
      <c r="J73" s="0" t="s">
        <v>288</v>
      </c>
      <c r="K73" s="0" t="s">
        <v>283</v>
      </c>
    </row>
    <row r="74" customFormat="false" ht="15" hidden="false" customHeight="false" outlineLevel="0" collapsed="false">
      <c r="A74" s="0" t="s">
        <v>281</v>
      </c>
      <c r="B74" s="0" t="s">
        <v>289</v>
      </c>
      <c r="C74" s="0" t="s">
        <v>31</v>
      </c>
      <c r="D74" s="0" t="s">
        <v>282</v>
      </c>
      <c r="E74" s="0" t="s">
        <v>290</v>
      </c>
      <c r="F74" s="0" t="s">
        <v>286</v>
      </c>
      <c r="G74" s="0" t="n">
        <f aca="false">HYPERLINK("http://clipc-services.ceda.ac.uk/dreq/u/c323f38340e4846931ad4891232d839d.html","web")</f>
        <v>0</v>
      </c>
      <c r="H74" s="0" t="s">
        <v>287</v>
      </c>
      <c r="I74" s="0" t="s">
        <v>36</v>
      </c>
      <c r="J74" s="0" t="s">
        <v>291</v>
      </c>
      <c r="K74" s="0" t="s">
        <v>283</v>
      </c>
    </row>
    <row r="75" customFormat="false" ht="15" hidden="false" customHeight="false" outlineLevel="0" collapsed="false">
      <c r="A75" s="0" t="s">
        <v>281</v>
      </c>
      <c r="B75" s="0" t="s">
        <v>292</v>
      </c>
      <c r="C75" s="0" t="s">
        <v>31</v>
      </c>
      <c r="D75" s="0" t="s">
        <v>282</v>
      </c>
      <c r="E75" s="0" t="s">
        <v>293</v>
      </c>
      <c r="F75" s="0" t="s">
        <v>286</v>
      </c>
      <c r="G75" s="0" t="n">
        <f aca="false">HYPERLINK("http://clipc-services.ceda.ac.uk/dreq/u/c432bfbfc0e7f4403f91af39736ff61c.html","web")</f>
        <v>0</v>
      </c>
      <c r="H75" s="0" t="s">
        <v>287</v>
      </c>
      <c r="I75" s="0" t="s">
        <v>36</v>
      </c>
      <c r="J75" s="0" t="s">
        <v>294</v>
      </c>
      <c r="K75" s="0" t="s">
        <v>283</v>
      </c>
    </row>
    <row r="76" customFormat="false" ht="15" hidden="false" customHeight="false" outlineLevel="0" collapsed="false">
      <c r="A76" s="0" t="s">
        <v>281</v>
      </c>
      <c r="B76" s="0" t="s">
        <v>295</v>
      </c>
      <c r="C76" s="0" t="s">
        <v>31</v>
      </c>
      <c r="D76" s="0" t="s">
        <v>282</v>
      </c>
      <c r="E76" s="0" t="s">
        <v>296</v>
      </c>
      <c r="F76" s="0" t="s">
        <v>286</v>
      </c>
      <c r="G76" s="0" t="n">
        <f aca="false">HYPERLINK("http://clipc-services.ceda.ac.uk/dreq/u/eb9ac643cd9c73cae960d6d2db7b901d.html","web")</f>
        <v>0</v>
      </c>
      <c r="H76" s="0" t="s">
        <v>287</v>
      </c>
      <c r="I76" s="0" t="s">
        <v>36</v>
      </c>
      <c r="J76" s="0" t="s">
        <v>297</v>
      </c>
      <c r="K76" s="0" t="s">
        <v>283</v>
      </c>
    </row>
    <row r="77" customFormat="false" ht="15" hidden="false" customHeight="false" outlineLevel="0" collapsed="false">
      <c r="A77" s="0" t="s">
        <v>281</v>
      </c>
      <c r="B77" s="0" t="s">
        <v>298</v>
      </c>
      <c r="C77" s="0" t="s">
        <v>31</v>
      </c>
      <c r="D77" s="0" t="s">
        <v>282</v>
      </c>
      <c r="E77" s="0" t="s">
        <v>299</v>
      </c>
      <c r="F77" s="0" t="s">
        <v>286</v>
      </c>
      <c r="G77" s="0" t="n">
        <f aca="false">HYPERLINK("http://clipc-services.ceda.ac.uk/dreq/u/a8607fe15cb4f2997228523340233d91.html","web")</f>
        <v>0</v>
      </c>
      <c r="H77" s="0" t="s">
        <v>287</v>
      </c>
      <c r="I77" s="0" t="s">
        <v>36</v>
      </c>
      <c r="J77" s="0" t="s">
        <v>300</v>
      </c>
      <c r="K77" s="0" t="s">
        <v>283</v>
      </c>
    </row>
    <row r="78" customFormat="false" ht="15" hidden="false" customHeight="false" outlineLevel="0" collapsed="false">
      <c r="A78" s="0" t="s">
        <v>281</v>
      </c>
      <c r="B78" s="0" t="s">
        <v>301</v>
      </c>
      <c r="C78" s="0" t="s">
        <v>31</v>
      </c>
      <c r="D78" s="0" t="s">
        <v>282</v>
      </c>
      <c r="E78" s="0" t="s">
        <v>302</v>
      </c>
      <c r="F78" s="0" t="s">
        <v>286</v>
      </c>
      <c r="G78" s="0" t="n">
        <f aca="false">HYPERLINK("http://clipc-services.ceda.ac.uk/dreq/u/eb72b66b6365daed79aefeda9d3d30b5.html","web")</f>
        <v>0</v>
      </c>
      <c r="H78" s="0" t="s">
        <v>303</v>
      </c>
      <c r="I78" s="0" t="s">
        <v>36</v>
      </c>
      <c r="J78" s="0" t="s">
        <v>304</v>
      </c>
      <c r="K78" s="0" t="s">
        <v>283</v>
      </c>
    </row>
    <row r="79" customFormat="false" ht="15" hidden="false" customHeight="false" outlineLevel="0" collapsed="false">
      <c r="A79" s="0" t="s">
        <v>281</v>
      </c>
      <c r="B79" s="0" t="s">
        <v>305</v>
      </c>
      <c r="C79" s="0" t="s">
        <v>31</v>
      </c>
      <c r="D79" s="0" t="s">
        <v>282</v>
      </c>
      <c r="E79" s="0" t="s">
        <v>306</v>
      </c>
      <c r="F79" s="0" t="s">
        <v>286</v>
      </c>
      <c r="G79" s="0" t="n">
        <f aca="false">HYPERLINK("http://clipc-services.ceda.ac.uk/dreq/u/e79eb59d74038643b2201bb0556e720a.html","web")</f>
        <v>0</v>
      </c>
      <c r="H79" s="0" t="s">
        <v>287</v>
      </c>
      <c r="I79" s="0" t="s">
        <v>36</v>
      </c>
      <c r="J79" s="0" t="s">
        <v>307</v>
      </c>
      <c r="K79" s="0" t="s">
        <v>283</v>
      </c>
    </row>
    <row r="80" customFormat="false" ht="15" hidden="false" customHeight="false" outlineLevel="0" collapsed="false">
      <c r="A80" s="0" t="s">
        <v>281</v>
      </c>
      <c r="B80" s="0" t="s">
        <v>308</v>
      </c>
      <c r="C80" s="0" t="s">
        <v>31</v>
      </c>
      <c r="D80" s="0" t="s">
        <v>282</v>
      </c>
      <c r="E80" s="0" t="s">
        <v>309</v>
      </c>
      <c r="F80" s="0" t="s">
        <v>286</v>
      </c>
      <c r="G80" s="0" t="n">
        <f aca="false">HYPERLINK("http://clipc-services.ceda.ac.uk/dreq/u/38806cec3ba894d7745fada80c9f6fe6.html","web")</f>
        <v>0</v>
      </c>
      <c r="H80" s="0" t="s">
        <v>303</v>
      </c>
      <c r="I80" s="0" t="s">
        <v>36</v>
      </c>
      <c r="J80" s="0" t="s">
        <v>310</v>
      </c>
      <c r="K80" s="0" t="s">
        <v>283</v>
      </c>
    </row>
    <row r="81" customFormat="false" ht="15" hidden="false" customHeight="false" outlineLevel="0" collapsed="false">
      <c r="A81" s="0" t="s">
        <v>281</v>
      </c>
      <c r="B81" s="0" t="s">
        <v>311</v>
      </c>
      <c r="C81" s="0" t="s">
        <v>31</v>
      </c>
      <c r="D81" s="0" t="s">
        <v>312</v>
      </c>
      <c r="E81" s="0" t="s">
        <v>313</v>
      </c>
      <c r="F81" s="0" t="s">
        <v>314</v>
      </c>
      <c r="G81" s="0" t="n">
        <f aca="false">HYPERLINK("http://clipc-services.ceda.ac.uk/dreq/u/ea55d8afe6bacbfa1029c0048717eaaa.html","web")</f>
        <v>0</v>
      </c>
      <c r="H81" s="0" t="s">
        <v>315</v>
      </c>
      <c r="I81" s="0" t="s">
        <v>316</v>
      </c>
      <c r="J81" s="0" t="s">
        <v>317</v>
      </c>
      <c r="K81" s="0" t="s">
        <v>283</v>
      </c>
    </row>
    <row r="82" customFormat="false" ht="15" hidden="false" customHeight="false" outlineLevel="0" collapsed="false">
      <c r="A82" s="0" t="s">
        <v>281</v>
      </c>
      <c r="B82" s="0" t="s">
        <v>318</v>
      </c>
      <c r="C82" s="0" t="s">
        <v>31</v>
      </c>
      <c r="D82" s="0" t="s">
        <v>312</v>
      </c>
      <c r="E82" s="0" t="s">
        <v>319</v>
      </c>
      <c r="F82" s="0" t="s">
        <v>314</v>
      </c>
      <c r="G82" s="0" t="n">
        <f aca="false">HYPERLINK("http://clipc-services.ceda.ac.uk/dreq/u/621681bc7c376de66228fdde13b97516.html","web")</f>
        <v>0</v>
      </c>
      <c r="H82" s="0" t="s">
        <v>320</v>
      </c>
      <c r="I82" s="0" t="s">
        <v>36</v>
      </c>
      <c r="J82" s="0" t="s">
        <v>321</v>
      </c>
      <c r="K82" s="0" t="s">
        <v>283</v>
      </c>
    </row>
    <row r="83" customFormat="false" ht="15" hidden="false" customHeight="false" outlineLevel="0" collapsed="false">
      <c r="A83" s="0" t="s">
        <v>281</v>
      </c>
      <c r="B83" s="0" t="s">
        <v>322</v>
      </c>
      <c r="C83" s="0" t="s">
        <v>31</v>
      </c>
      <c r="D83" s="0" t="s">
        <v>312</v>
      </c>
      <c r="E83" s="0" t="s">
        <v>323</v>
      </c>
      <c r="F83" s="0" t="s">
        <v>314</v>
      </c>
      <c r="G83" s="0" t="n">
        <f aca="false">HYPERLINK("http://clipc-services.ceda.ac.uk/dreq/u/475dc209e9f9cd51eedee4d26caf9f67.html","web")</f>
        <v>0</v>
      </c>
      <c r="H83" s="0" t="s">
        <v>324</v>
      </c>
      <c r="I83" s="0" t="s">
        <v>316</v>
      </c>
      <c r="J83" s="0" t="s">
        <v>325</v>
      </c>
      <c r="K83" s="0" t="s">
        <v>283</v>
      </c>
    </row>
    <row r="84" customFormat="false" ht="15" hidden="false" customHeight="false" outlineLevel="0" collapsed="false">
      <c r="A84" s="0" t="s">
        <v>281</v>
      </c>
      <c r="B84" s="0" t="s">
        <v>326</v>
      </c>
      <c r="C84" s="0" t="s">
        <v>31</v>
      </c>
      <c r="D84" s="0" t="s">
        <v>312</v>
      </c>
      <c r="E84" s="0" t="s">
        <v>327</v>
      </c>
      <c r="F84" s="0" t="s">
        <v>328</v>
      </c>
      <c r="G84" s="0" t="n">
        <f aca="false">HYPERLINK("http://clipc-services.ceda.ac.uk/dreq/u/150d0829eec06aeaf75d22d08d328ffa.html","web")</f>
        <v>0</v>
      </c>
      <c r="H84" s="0" t="s">
        <v>329</v>
      </c>
      <c r="I84" s="0" t="s">
        <v>316</v>
      </c>
      <c r="J84" s="0" t="s">
        <v>330</v>
      </c>
      <c r="K84" s="0" t="s">
        <v>283</v>
      </c>
    </row>
    <row r="85" customFormat="false" ht="15" hidden="false" customHeight="false" outlineLevel="0" collapsed="false">
      <c r="A85" s="0" t="s">
        <v>281</v>
      </c>
      <c r="B85" s="0" t="s">
        <v>331</v>
      </c>
      <c r="C85" s="0" t="s">
        <v>31</v>
      </c>
      <c r="D85" s="0" t="s">
        <v>312</v>
      </c>
      <c r="E85" s="0" t="s">
        <v>332</v>
      </c>
      <c r="F85" s="0" t="s">
        <v>328</v>
      </c>
      <c r="G85" s="0" t="n">
        <f aca="false">HYPERLINK("http://clipc-services.ceda.ac.uk/dreq/u/2c8cb564bae033f641135194947da163.html","web")</f>
        <v>0</v>
      </c>
      <c r="H85" s="0" t="s">
        <v>231</v>
      </c>
      <c r="I85" s="0" t="s">
        <v>316</v>
      </c>
      <c r="J85" s="0" t="s">
        <v>333</v>
      </c>
      <c r="K85" s="0" t="s">
        <v>283</v>
      </c>
    </row>
    <row r="86" customFormat="false" ht="15" hidden="false" customHeight="false" outlineLevel="0" collapsed="false">
      <c r="A86" s="0" t="s">
        <v>281</v>
      </c>
      <c r="B86" s="0" t="s">
        <v>334</v>
      </c>
      <c r="C86" s="0" t="s">
        <v>31</v>
      </c>
      <c r="D86" s="0" t="s">
        <v>312</v>
      </c>
      <c r="E86" s="0" t="s">
        <v>335</v>
      </c>
      <c r="F86" s="0" t="s">
        <v>328</v>
      </c>
      <c r="G86" s="0" t="n">
        <f aca="false">HYPERLINK("http://clipc-services.ceda.ac.uk/dreq/u/9e9e7476986ece18ce380652eaabe342.html","web")</f>
        <v>0</v>
      </c>
      <c r="H86" s="0" t="s">
        <v>336</v>
      </c>
      <c r="I86" s="0" t="s">
        <v>316</v>
      </c>
      <c r="J86" s="0" t="s">
        <v>337</v>
      </c>
      <c r="K86" s="0" t="s">
        <v>283</v>
      </c>
    </row>
    <row r="87" customFormat="false" ht="15" hidden="false" customHeight="false" outlineLevel="0" collapsed="false">
      <c r="A87" s="0" t="s">
        <v>281</v>
      </c>
      <c r="B87" s="0" t="s">
        <v>338</v>
      </c>
      <c r="C87" s="0" t="s">
        <v>31</v>
      </c>
      <c r="D87" s="0" t="s">
        <v>312</v>
      </c>
      <c r="E87" s="0" t="s">
        <v>339</v>
      </c>
      <c r="F87" s="0" t="s">
        <v>340</v>
      </c>
      <c r="G87" s="0" t="n">
        <f aca="false">HYPERLINK("http://clipc-services.ceda.ac.uk/dreq/u/52c137a21845ae294b27ad40eaca096d.html","web")</f>
        <v>0</v>
      </c>
      <c r="H87" s="0" t="s">
        <v>231</v>
      </c>
      <c r="I87" s="0" t="s">
        <v>36</v>
      </c>
      <c r="J87" s="0" t="s">
        <v>341</v>
      </c>
      <c r="K87" s="0" t="s">
        <v>283</v>
      </c>
    </row>
    <row r="88" customFormat="false" ht="15" hidden="false" customHeight="false" outlineLevel="0" collapsed="false">
      <c r="A88" s="0" t="s">
        <v>281</v>
      </c>
      <c r="B88" s="0" t="s">
        <v>342</v>
      </c>
      <c r="C88" s="0" t="s">
        <v>31</v>
      </c>
      <c r="D88" s="0" t="s">
        <v>312</v>
      </c>
      <c r="E88" s="0" t="s">
        <v>343</v>
      </c>
      <c r="F88" s="0" t="s">
        <v>340</v>
      </c>
      <c r="G88" s="0" t="n">
        <f aca="false">HYPERLINK("http://clipc-services.ceda.ac.uk/dreq/u/c373986159daf18eee63ca731d52b6f7.html","web")</f>
        <v>0</v>
      </c>
      <c r="H88" s="0" t="s">
        <v>231</v>
      </c>
      <c r="I88" s="0" t="s">
        <v>36</v>
      </c>
      <c r="J88" s="0" t="s">
        <v>344</v>
      </c>
      <c r="K88" s="0" t="s">
        <v>283</v>
      </c>
    </row>
    <row r="89" customFormat="false" ht="15" hidden="false" customHeight="false" outlineLevel="0" collapsed="false">
      <c r="A89" s="0" t="s">
        <v>281</v>
      </c>
      <c r="B89" s="0" t="s">
        <v>195</v>
      </c>
      <c r="C89" s="0" t="s">
        <v>31</v>
      </c>
      <c r="D89" s="0" t="s">
        <v>345</v>
      </c>
      <c r="E89" s="0" t="s">
        <v>196</v>
      </c>
      <c r="F89" s="0" t="s">
        <v>197</v>
      </c>
      <c r="G89" s="0" t="n">
        <f aca="false">HYPERLINK("http://clipc-services.ceda.ac.uk/dreq/u/13484743dd3369c69df93379e6dafbb5.html","web")</f>
        <v>0</v>
      </c>
      <c r="H89" s="0" t="s">
        <v>198</v>
      </c>
      <c r="J89" s="0" t="s">
        <v>199</v>
      </c>
      <c r="K89" s="0" t="s">
        <v>283</v>
      </c>
    </row>
    <row r="90" customFormat="false" ht="15" hidden="false" customHeight="false" outlineLevel="0" collapsed="false">
      <c r="A90" s="0" t="s">
        <v>281</v>
      </c>
      <c r="B90" s="0" t="s">
        <v>201</v>
      </c>
      <c r="C90" s="0" t="s">
        <v>31</v>
      </c>
      <c r="D90" s="0" t="s">
        <v>345</v>
      </c>
      <c r="E90" s="0" t="s">
        <v>202</v>
      </c>
      <c r="F90" s="0" t="s">
        <v>197</v>
      </c>
      <c r="G90" s="0" t="n">
        <f aca="false">HYPERLINK("http://clipc-services.ceda.ac.uk/dreq/u/0062272a6a4176b8c32af87642b062c5.html","web")</f>
        <v>0</v>
      </c>
      <c r="H90" s="0" t="s">
        <v>203</v>
      </c>
      <c r="I90" s="0" t="s">
        <v>204</v>
      </c>
      <c r="J90" s="0" t="s">
        <v>205</v>
      </c>
      <c r="K90" s="0" t="s">
        <v>283</v>
      </c>
    </row>
    <row r="91" customFormat="false" ht="15" hidden="false" customHeight="false" outlineLevel="0" collapsed="false">
      <c r="A91" s="0" t="s">
        <v>281</v>
      </c>
      <c r="B91" s="0" t="s">
        <v>346</v>
      </c>
      <c r="C91" s="0" t="s">
        <v>31</v>
      </c>
      <c r="D91" s="0" t="s">
        <v>345</v>
      </c>
      <c r="E91" s="0" t="s">
        <v>347</v>
      </c>
      <c r="F91" s="0" t="s">
        <v>31</v>
      </c>
      <c r="G91" s="0" t="n">
        <f aca="false">HYPERLINK("http://clipc-services.ceda.ac.uk/dreq/u/29fae9ea0f236a3eb144026e1bafde28.html","web")</f>
        <v>0</v>
      </c>
      <c r="H91" s="0" t="s">
        <v>348</v>
      </c>
      <c r="I91" s="0" t="s">
        <v>349</v>
      </c>
      <c r="J91" s="0" t="s">
        <v>350</v>
      </c>
      <c r="K91" s="0" t="s">
        <v>283</v>
      </c>
    </row>
    <row r="92" customFormat="false" ht="15" hidden="false" customHeight="false" outlineLevel="0" collapsed="false">
      <c r="A92" s="0" t="s">
        <v>281</v>
      </c>
      <c r="B92" s="0" t="s">
        <v>351</v>
      </c>
      <c r="C92" s="0" t="s">
        <v>31</v>
      </c>
      <c r="D92" s="0" t="s">
        <v>345</v>
      </c>
      <c r="E92" s="0" t="s">
        <v>352</v>
      </c>
      <c r="F92" s="0" t="s">
        <v>31</v>
      </c>
      <c r="G92" s="0" t="n">
        <f aca="false">HYPERLINK("http://clipc-services.ceda.ac.uk/dreq/u/8de0f30b91b15720398fc10fd712a182.html","web")</f>
        <v>0</v>
      </c>
      <c r="H92" s="0" t="s">
        <v>348</v>
      </c>
      <c r="I92" s="0" t="s">
        <v>204</v>
      </c>
      <c r="J92" s="0" t="s">
        <v>353</v>
      </c>
      <c r="K92" s="0" t="s">
        <v>283</v>
      </c>
    </row>
    <row r="93" customFormat="false" ht="15" hidden="false" customHeight="false" outlineLevel="0" collapsed="false">
      <c r="A93" s="0" t="s">
        <v>281</v>
      </c>
      <c r="B93" s="0" t="s">
        <v>354</v>
      </c>
      <c r="C93" s="0" t="s">
        <v>31</v>
      </c>
      <c r="D93" s="0" t="s">
        <v>345</v>
      </c>
      <c r="E93" s="0" t="s">
        <v>355</v>
      </c>
      <c r="F93" s="0" t="s">
        <v>181</v>
      </c>
      <c r="G93" s="0" t="n">
        <f aca="false">HYPERLINK("http://clipc-services.ceda.ac.uk/dreq/u/5e49c0b73ac161d5e5dd05173416c400.html","web")</f>
        <v>0</v>
      </c>
      <c r="H93" s="0" t="s">
        <v>356</v>
      </c>
      <c r="I93" s="0" t="s">
        <v>357</v>
      </c>
      <c r="J93" s="0" t="s">
        <v>358</v>
      </c>
      <c r="K93" s="0" t="s">
        <v>283</v>
      </c>
    </row>
    <row r="95" customFormat="false" ht="15" hidden="false" customHeight="false" outlineLevel="0" collapsed="false">
      <c r="A95" s="0" t="s">
        <v>359</v>
      </c>
      <c r="B95" s="0" t="s">
        <v>360</v>
      </c>
      <c r="C95" s="0" t="s">
        <v>31</v>
      </c>
      <c r="D95" s="0" t="s">
        <v>179</v>
      </c>
      <c r="E95" s="0" t="s">
        <v>361</v>
      </c>
      <c r="F95" s="0" t="s">
        <v>286</v>
      </c>
      <c r="G95" s="0" t="n">
        <f aca="false">HYPERLINK("http://clipc-services.ceda.ac.uk/dreq/u/f27656eeae247192e82aa1032c911399.html","web")</f>
        <v>0</v>
      </c>
      <c r="H95" s="0" t="s">
        <v>362</v>
      </c>
      <c r="I95" s="0" t="s">
        <v>363</v>
      </c>
      <c r="J95" s="0" t="s">
        <v>364</v>
      </c>
      <c r="K95" s="0" t="s">
        <v>365</v>
      </c>
    </row>
    <row r="97" customFormat="false" ht="15" hidden="false" customHeight="false" outlineLevel="0" collapsed="false">
      <c r="A97" s="0" t="s">
        <v>366</v>
      </c>
      <c r="B97" s="0" t="s">
        <v>367</v>
      </c>
      <c r="C97" s="0" t="s">
        <v>31</v>
      </c>
      <c r="D97" s="0" t="s">
        <v>179</v>
      </c>
      <c r="E97" s="0" t="s">
        <v>368</v>
      </c>
      <c r="F97" s="0" t="s">
        <v>24</v>
      </c>
      <c r="G97" s="0" t="n">
        <f aca="false">HYPERLINK("http://clipc-services.ceda.ac.uk/dreq/u/590d38b0-9e49-11e5-803c-0d0b866b59f3.html","web")</f>
        <v>0</v>
      </c>
      <c r="H97" s="0" t="s">
        <v>369</v>
      </c>
      <c r="I97" s="0" t="s">
        <v>370</v>
      </c>
      <c r="J97" s="0" t="s">
        <v>371</v>
      </c>
      <c r="K97" s="0" t="s">
        <v>372</v>
      </c>
    </row>
    <row r="98" customFormat="false" ht="15" hidden="false" customHeight="false" outlineLevel="0" collapsed="false">
      <c r="A98" s="0" t="s">
        <v>366</v>
      </c>
      <c r="B98" s="0" t="s">
        <v>373</v>
      </c>
      <c r="C98" s="0" t="s">
        <v>60</v>
      </c>
      <c r="D98" s="0" t="s">
        <v>374</v>
      </c>
      <c r="E98" s="0" t="s">
        <v>375</v>
      </c>
      <c r="F98" s="0" t="s">
        <v>24</v>
      </c>
      <c r="G98" s="0" t="n">
        <f aca="false">HYPERLINK("http://clipc-services.ceda.ac.uk/dreq/u/590eb1ea-9e49-11e5-803c-0d0b866b59f3.html","web")</f>
        <v>0</v>
      </c>
      <c r="H98" s="0" t="s">
        <v>376</v>
      </c>
      <c r="I98" s="0" t="s">
        <v>26</v>
      </c>
      <c r="J98" s="0" t="s">
        <v>377</v>
      </c>
      <c r="K98" s="0" t="s">
        <v>378</v>
      </c>
    </row>
    <row r="99" customFormat="false" ht="15" hidden="false" customHeight="false" outlineLevel="0" collapsed="false">
      <c r="A99" s="0" t="s">
        <v>366</v>
      </c>
      <c r="B99" s="0" t="s">
        <v>379</v>
      </c>
      <c r="C99" s="0" t="s">
        <v>60</v>
      </c>
      <c r="D99" s="0" t="s">
        <v>380</v>
      </c>
      <c r="E99" s="0" t="s">
        <v>381</v>
      </c>
      <c r="F99" s="0" t="s">
        <v>31</v>
      </c>
      <c r="G99" s="0" t="n">
        <f aca="false">HYPERLINK("http://clipc-services.ceda.ac.uk/dreq/u/590dfb2e-9e49-11e5-803c-0d0b866b59f3.html","web")</f>
        <v>0</v>
      </c>
      <c r="H99" s="0" t="s">
        <v>25</v>
      </c>
      <c r="I99" s="0" t="s">
        <v>26</v>
      </c>
      <c r="J99" s="0" t="s">
        <v>382</v>
      </c>
      <c r="K99" s="0" t="s">
        <v>378</v>
      </c>
    </row>
    <row r="100" customFormat="false" ht="15" hidden="false" customHeight="false" outlineLevel="0" collapsed="false">
      <c r="A100" s="0" t="s">
        <v>366</v>
      </c>
      <c r="B100" s="0" t="s">
        <v>383</v>
      </c>
      <c r="C100" s="0" t="s">
        <v>13</v>
      </c>
      <c r="D100" s="0" t="s">
        <v>179</v>
      </c>
      <c r="E100" s="0" t="s">
        <v>384</v>
      </c>
      <c r="F100" s="0" t="s">
        <v>286</v>
      </c>
      <c r="G100" s="0" t="n">
        <f aca="false">HYPERLINK("http://clipc-services.ceda.ac.uk/dreq/u/5917e51c-9e49-11e5-803c-0d0b866b59f3.html","web")</f>
        <v>0</v>
      </c>
      <c r="H100" s="0" t="s">
        <v>385</v>
      </c>
      <c r="I100" s="0" t="s">
        <v>386</v>
      </c>
      <c r="J100" s="0" t="s">
        <v>387</v>
      </c>
      <c r="K100" s="0" t="s">
        <v>388</v>
      </c>
    </row>
    <row r="101" customFormat="false" ht="15" hidden="false" customHeight="false" outlineLevel="0" collapsed="false">
      <c r="A101" s="0" t="s">
        <v>366</v>
      </c>
      <c r="B101" s="0" t="s">
        <v>389</v>
      </c>
      <c r="C101" s="0" t="s">
        <v>13</v>
      </c>
      <c r="D101" s="0" t="s">
        <v>179</v>
      </c>
      <c r="E101" s="0" t="s">
        <v>390</v>
      </c>
      <c r="F101" s="0" t="s">
        <v>286</v>
      </c>
      <c r="G101" s="0" t="n">
        <f aca="false">HYPERLINK("http://clipc-services.ceda.ac.uk/dreq/u/590e9656-9e49-11e5-803c-0d0b866b59f3.html","web")</f>
        <v>0</v>
      </c>
      <c r="H101" s="0" t="s">
        <v>391</v>
      </c>
      <c r="I101" s="0" t="s">
        <v>386</v>
      </c>
      <c r="J101" s="0" t="s">
        <v>392</v>
      </c>
      <c r="K101" s="0" t="s">
        <v>388</v>
      </c>
    </row>
    <row r="102" customFormat="false" ht="15" hidden="false" customHeight="false" outlineLevel="0" collapsed="false">
      <c r="A102" s="0" t="s">
        <v>366</v>
      </c>
      <c r="B102" s="0" t="s">
        <v>393</v>
      </c>
      <c r="C102" s="0" t="s">
        <v>13</v>
      </c>
      <c r="D102" s="0" t="s">
        <v>179</v>
      </c>
      <c r="E102" s="0" t="s">
        <v>394</v>
      </c>
      <c r="F102" s="0" t="s">
        <v>286</v>
      </c>
      <c r="G102" s="0" t="n">
        <f aca="false">HYPERLINK("http://clipc-services.ceda.ac.uk/dreq/u/591733d8-9e49-11e5-803c-0d0b866b59f3.html","web")</f>
        <v>0</v>
      </c>
      <c r="H102" s="0" t="s">
        <v>385</v>
      </c>
      <c r="I102" s="0" t="s">
        <v>386</v>
      </c>
      <c r="J102" s="0" t="s">
        <v>395</v>
      </c>
      <c r="K102" s="0" t="s">
        <v>388</v>
      </c>
    </row>
    <row r="103" customFormat="false" ht="15" hidden="false" customHeight="false" outlineLevel="0" collapsed="false">
      <c r="A103" s="0" t="s">
        <v>366</v>
      </c>
      <c r="B103" s="0" t="s">
        <v>396</v>
      </c>
      <c r="C103" s="0" t="s">
        <v>13</v>
      </c>
      <c r="D103" s="0" t="s">
        <v>179</v>
      </c>
      <c r="E103" s="0" t="s">
        <v>397</v>
      </c>
      <c r="F103" s="0" t="s">
        <v>286</v>
      </c>
      <c r="G103" s="0" t="n">
        <f aca="false">HYPERLINK("http://clipc-services.ceda.ac.uk/dreq/u/590dbb78-9e49-11e5-803c-0d0b866b59f3.html","web")</f>
        <v>0</v>
      </c>
      <c r="H103" s="0" t="s">
        <v>385</v>
      </c>
      <c r="I103" s="0" t="s">
        <v>386</v>
      </c>
      <c r="J103" s="0" t="s">
        <v>398</v>
      </c>
      <c r="K103" s="0" t="s">
        <v>399</v>
      </c>
    </row>
    <row r="104" customFormat="false" ht="15" hidden="false" customHeight="false" outlineLevel="0" collapsed="false">
      <c r="A104" s="0" t="s">
        <v>366</v>
      </c>
      <c r="B104" s="0" t="s">
        <v>400</v>
      </c>
      <c r="C104" s="0" t="s">
        <v>13</v>
      </c>
      <c r="D104" s="0" t="s">
        <v>179</v>
      </c>
      <c r="E104" s="0" t="s">
        <v>401</v>
      </c>
      <c r="F104" s="0" t="s">
        <v>286</v>
      </c>
      <c r="G104" s="0" t="n">
        <f aca="false">HYPERLINK("http://clipc-services.ceda.ac.uk/dreq/u/59131140-9e49-11e5-803c-0d0b866b59f3.html","web")</f>
        <v>0</v>
      </c>
      <c r="H104" s="0" t="s">
        <v>385</v>
      </c>
      <c r="I104" s="0" t="s">
        <v>386</v>
      </c>
      <c r="J104" s="0" t="s">
        <v>402</v>
      </c>
      <c r="K104" s="0" t="s">
        <v>399</v>
      </c>
    </row>
    <row r="105" customFormat="false" ht="15" hidden="false" customHeight="false" outlineLevel="0" collapsed="false">
      <c r="A105" s="0" t="s">
        <v>366</v>
      </c>
      <c r="B105" s="0" t="s">
        <v>403</v>
      </c>
      <c r="C105" s="0" t="s">
        <v>13</v>
      </c>
      <c r="D105" s="0" t="s">
        <v>179</v>
      </c>
      <c r="E105" s="0" t="s">
        <v>404</v>
      </c>
      <c r="F105" s="0" t="s">
        <v>181</v>
      </c>
      <c r="G105" s="0" t="n">
        <f aca="false">HYPERLINK("http://clipc-services.ceda.ac.uk/dreq/u/59138238-9e49-11e5-803c-0d0b866b59f3.html","web")</f>
        <v>0</v>
      </c>
      <c r="H105" s="0" t="s">
        <v>25</v>
      </c>
      <c r="I105" s="0" t="s">
        <v>26</v>
      </c>
      <c r="J105" s="0" t="s">
        <v>405</v>
      </c>
      <c r="K105" s="0" t="s">
        <v>406</v>
      </c>
    </row>
    <row r="107" customFormat="false" ht="15" hidden="false" customHeight="false" outlineLevel="0" collapsed="false">
      <c r="A107" s="0" t="s">
        <v>407</v>
      </c>
      <c r="B107" s="0" t="s">
        <v>284</v>
      </c>
      <c r="C107" s="0" t="s">
        <v>31</v>
      </c>
      <c r="D107" s="0" t="s">
        <v>207</v>
      </c>
      <c r="E107" s="0" t="s">
        <v>285</v>
      </c>
      <c r="F107" s="0" t="s">
        <v>286</v>
      </c>
      <c r="G107" s="0" t="n">
        <f aca="false">HYPERLINK("http://clipc-services.ceda.ac.uk/dreq/u/bcfeacf77d49ef51a6ee66a1ab0ebcb4.html","web")</f>
        <v>0</v>
      </c>
      <c r="H107" s="0" t="s">
        <v>287</v>
      </c>
      <c r="I107" s="0" t="s">
        <v>36</v>
      </c>
      <c r="J107" s="0" t="s">
        <v>288</v>
      </c>
      <c r="K107" s="0" t="s">
        <v>408</v>
      </c>
    </row>
    <row r="108" customFormat="false" ht="15" hidden="false" customHeight="false" outlineLevel="0" collapsed="false">
      <c r="A108" s="0" t="s">
        <v>407</v>
      </c>
      <c r="B108" s="0" t="s">
        <v>289</v>
      </c>
      <c r="C108" s="0" t="s">
        <v>31</v>
      </c>
      <c r="D108" s="0" t="s">
        <v>207</v>
      </c>
      <c r="E108" s="0" t="s">
        <v>290</v>
      </c>
      <c r="F108" s="0" t="s">
        <v>286</v>
      </c>
      <c r="G108" s="0" t="n">
        <f aca="false">HYPERLINK("http://clipc-services.ceda.ac.uk/dreq/u/c323f38340e4846931ad4891232d839d.html","web")</f>
        <v>0</v>
      </c>
      <c r="H108" s="0" t="s">
        <v>287</v>
      </c>
      <c r="I108" s="0" t="s">
        <v>36</v>
      </c>
      <c r="J108" s="0" t="s">
        <v>291</v>
      </c>
      <c r="K108" s="0" t="s">
        <v>408</v>
      </c>
    </row>
    <row r="109" customFormat="false" ht="15" hidden="false" customHeight="false" outlineLevel="0" collapsed="false">
      <c r="A109" s="0" t="s">
        <v>407</v>
      </c>
      <c r="B109" s="0" t="s">
        <v>292</v>
      </c>
      <c r="C109" s="0" t="s">
        <v>31</v>
      </c>
      <c r="D109" s="0" t="s">
        <v>207</v>
      </c>
      <c r="E109" s="0" t="s">
        <v>293</v>
      </c>
      <c r="F109" s="0" t="s">
        <v>286</v>
      </c>
      <c r="G109" s="0" t="n">
        <f aca="false">HYPERLINK("http://clipc-services.ceda.ac.uk/dreq/u/c432bfbfc0e7f4403f91af39736ff61c.html","web")</f>
        <v>0</v>
      </c>
      <c r="H109" s="0" t="s">
        <v>287</v>
      </c>
      <c r="I109" s="0" t="s">
        <v>36</v>
      </c>
      <c r="J109" s="0" t="s">
        <v>294</v>
      </c>
      <c r="K109" s="0" t="s">
        <v>408</v>
      </c>
    </row>
    <row r="110" customFormat="false" ht="15" hidden="false" customHeight="false" outlineLevel="0" collapsed="false">
      <c r="A110" s="0" t="s">
        <v>407</v>
      </c>
      <c r="B110" s="0" t="s">
        <v>295</v>
      </c>
      <c r="C110" s="0" t="s">
        <v>31</v>
      </c>
      <c r="D110" s="0" t="s">
        <v>207</v>
      </c>
      <c r="E110" s="0" t="s">
        <v>296</v>
      </c>
      <c r="F110" s="0" t="s">
        <v>286</v>
      </c>
      <c r="G110" s="0" t="n">
        <f aca="false">HYPERLINK("http://clipc-services.ceda.ac.uk/dreq/u/eb9ac643cd9c73cae960d6d2db7b901d.html","web")</f>
        <v>0</v>
      </c>
      <c r="H110" s="0" t="s">
        <v>287</v>
      </c>
      <c r="I110" s="0" t="s">
        <v>36</v>
      </c>
      <c r="J110" s="0" t="s">
        <v>297</v>
      </c>
      <c r="K110" s="0" t="s">
        <v>408</v>
      </c>
    </row>
    <row r="111" customFormat="false" ht="15" hidden="false" customHeight="false" outlineLevel="0" collapsed="false">
      <c r="A111" s="0" t="s">
        <v>407</v>
      </c>
      <c r="B111" s="0" t="s">
        <v>298</v>
      </c>
      <c r="C111" s="0" t="s">
        <v>31</v>
      </c>
      <c r="D111" s="0" t="s">
        <v>207</v>
      </c>
      <c r="E111" s="0" t="s">
        <v>299</v>
      </c>
      <c r="F111" s="0" t="s">
        <v>286</v>
      </c>
      <c r="G111" s="0" t="n">
        <f aca="false">HYPERLINK("http://clipc-services.ceda.ac.uk/dreq/u/a8607fe15cb4f2997228523340233d91.html","web")</f>
        <v>0</v>
      </c>
      <c r="H111" s="0" t="s">
        <v>287</v>
      </c>
      <c r="I111" s="0" t="s">
        <v>36</v>
      </c>
      <c r="J111" s="0" t="s">
        <v>300</v>
      </c>
      <c r="K111" s="0" t="s">
        <v>408</v>
      </c>
    </row>
    <row r="112" customFormat="false" ht="15" hidden="false" customHeight="false" outlineLevel="0" collapsed="false">
      <c r="A112" s="0" t="s">
        <v>407</v>
      </c>
      <c r="B112" s="0" t="s">
        <v>301</v>
      </c>
      <c r="C112" s="0" t="s">
        <v>31</v>
      </c>
      <c r="D112" s="0" t="s">
        <v>207</v>
      </c>
      <c r="E112" s="0" t="s">
        <v>302</v>
      </c>
      <c r="F112" s="0" t="s">
        <v>286</v>
      </c>
      <c r="G112" s="0" t="n">
        <f aca="false">HYPERLINK("http://clipc-services.ceda.ac.uk/dreq/u/eb72b66b6365daed79aefeda9d3d30b5.html","web")</f>
        <v>0</v>
      </c>
      <c r="H112" s="0" t="s">
        <v>303</v>
      </c>
      <c r="I112" s="0" t="s">
        <v>36</v>
      </c>
      <c r="J112" s="0" t="s">
        <v>304</v>
      </c>
      <c r="K112" s="0" t="s">
        <v>408</v>
      </c>
    </row>
    <row r="113" customFormat="false" ht="15" hidden="false" customHeight="false" outlineLevel="0" collapsed="false">
      <c r="A113" s="0" t="s">
        <v>407</v>
      </c>
      <c r="B113" s="0" t="s">
        <v>305</v>
      </c>
      <c r="C113" s="0" t="s">
        <v>31</v>
      </c>
      <c r="D113" s="0" t="s">
        <v>207</v>
      </c>
      <c r="E113" s="0" t="s">
        <v>306</v>
      </c>
      <c r="F113" s="0" t="s">
        <v>286</v>
      </c>
      <c r="G113" s="0" t="n">
        <f aca="false">HYPERLINK("http://clipc-services.ceda.ac.uk/dreq/u/e79eb59d74038643b2201bb0556e720a.html","web")</f>
        <v>0</v>
      </c>
      <c r="H113" s="0" t="s">
        <v>287</v>
      </c>
      <c r="I113" s="0" t="s">
        <v>36</v>
      </c>
      <c r="J113" s="0" t="s">
        <v>307</v>
      </c>
      <c r="K113" s="0" t="s">
        <v>408</v>
      </c>
    </row>
    <row r="114" customFormat="false" ht="15" hidden="false" customHeight="false" outlineLevel="0" collapsed="false">
      <c r="A114" s="0" t="s">
        <v>407</v>
      </c>
      <c r="B114" s="0" t="s">
        <v>308</v>
      </c>
      <c r="C114" s="0" t="s">
        <v>31</v>
      </c>
      <c r="D114" s="0" t="s">
        <v>207</v>
      </c>
      <c r="E114" s="0" t="s">
        <v>309</v>
      </c>
      <c r="F114" s="0" t="s">
        <v>286</v>
      </c>
      <c r="G114" s="0" t="n">
        <f aca="false">HYPERLINK("http://clipc-services.ceda.ac.uk/dreq/u/38806cec3ba894d7745fada80c9f6fe6.html","web")</f>
        <v>0</v>
      </c>
      <c r="H114" s="0" t="s">
        <v>303</v>
      </c>
      <c r="I114" s="0" t="s">
        <v>36</v>
      </c>
      <c r="J114" s="0" t="s">
        <v>310</v>
      </c>
      <c r="K114" s="0" t="s">
        <v>408</v>
      </c>
    </row>
    <row r="115" customFormat="false" ht="15" hidden="false" customHeight="false" outlineLevel="0" collapsed="false">
      <c r="A115" s="0" t="s">
        <v>407</v>
      </c>
      <c r="B115" s="0" t="s">
        <v>311</v>
      </c>
      <c r="C115" s="0" t="s">
        <v>31</v>
      </c>
      <c r="D115" s="0" t="s">
        <v>409</v>
      </c>
      <c r="E115" s="0" t="s">
        <v>313</v>
      </c>
      <c r="F115" s="0" t="s">
        <v>314</v>
      </c>
      <c r="G115" s="0" t="n">
        <f aca="false">HYPERLINK("http://clipc-services.ceda.ac.uk/dreq/u/ea55d8afe6bacbfa1029c0048717eaaa.html","web")</f>
        <v>0</v>
      </c>
      <c r="H115" s="0" t="s">
        <v>315</v>
      </c>
      <c r="I115" s="0" t="s">
        <v>316</v>
      </c>
      <c r="J115" s="0" t="s">
        <v>317</v>
      </c>
      <c r="K115" s="0" t="s">
        <v>410</v>
      </c>
    </row>
    <row r="116" customFormat="false" ht="15" hidden="false" customHeight="false" outlineLevel="0" collapsed="false">
      <c r="A116" s="0" t="s">
        <v>407</v>
      </c>
      <c r="B116" s="0" t="s">
        <v>318</v>
      </c>
      <c r="C116" s="0" t="s">
        <v>31</v>
      </c>
      <c r="D116" s="0" t="s">
        <v>409</v>
      </c>
      <c r="E116" s="0" t="s">
        <v>319</v>
      </c>
      <c r="F116" s="0" t="s">
        <v>314</v>
      </c>
      <c r="G116" s="0" t="n">
        <f aca="false">HYPERLINK("http://clipc-services.ceda.ac.uk/dreq/u/621681bc7c376de66228fdde13b97516.html","web")</f>
        <v>0</v>
      </c>
      <c r="H116" s="0" t="s">
        <v>320</v>
      </c>
      <c r="I116" s="0" t="s">
        <v>36</v>
      </c>
      <c r="J116" s="0" t="s">
        <v>321</v>
      </c>
      <c r="K116" s="0" t="s">
        <v>410</v>
      </c>
    </row>
    <row r="117" customFormat="false" ht="15" hidden="false" customHeight="false" outlineLevel="0" collapsed="false">
      <c r="A117" s="0" t="s">
        <v>407</v>
      </c>
      <c r="B117" s="0" t="s">
        <v>322</v>
      </c>
      <c r="C117" s="0" t="s">
        <v>31</v>
      </c>
      <c r="D117" s="0" t="s">
        <v>409</v>
      </c>
      <c r="E117" s="0" t="s">
        <v>323</v>
      </c>
      <c r="F117" s="0" t="s">
        <v>314</v>
      </c>
      <c r="G117" s="0" t="n">
        <f aca="false">HYPERLINK("http://clipc-services.ceda.ac.uk/dreq/u/475dc209e9f9cd51eedee4d26caf9f67.html","web")</f>
        <v>0</v>
      </c>
      <c r="H117" s="0" t="s">
        <v>324</v>
      </c>
      <c r="I117" s="0" t="s">
        <v>316</v>
      </c>
      <c r="J117" s="0" t="s">
        <v>325</v>
      </c>
      <c r="K117" s="0" t="s">
        <v>410</v>
      </c>
    </row>
    <row r="118" customFormat="false" ht="15" hidden="false" customHeight="false" outlineLevel="0" collapsed="false">
      <c r="A118" s="0" t="s">
        <v>407</v>
      </c>
      <c r="B118" s="0" t="s">
        <v>326</v>
      </c>
      <c r="C118" s="0" t="s">
        <v>31</v>
      </c>
      <c r="D118" s="0" t="s">
        <v>409</v>
      </c>
      <c r="E118" s="0" t="s">
        <v>327</v>
      </c>
      <c r="F118" s="0" t="s">
        <v>328</v>
      </c>
      <c r="G118" s="0" t="n">
        <f aca="false">HYPERLINK("http://clipc-services.ceda.ac.uk/dreq/u/150d0829eec06aeaf75d22d08d328ffa.html","web")</f>
        <v>0</v>
      </c>
      <c r="H118" s="0" t="s">
        <v>329</v>
      </c>
      <c r="I118" s="0" t="s">
        <v>316</v>
      </c>
      <c r="J118" s="0" t="s">
        <v>330</v>
      </c>
      <c r="K118" s="0" t="s">
        <v>410</v>
      </c>
    </row>
    <row r="119" customFormat="false" ht="15" hidden="false" customHeight="false" outlineLevel="0" collapsed="false">
      <c r="A119" s="0" t="s">
        <v>407</v>
      </c>
      <c r="B119" s="0" t="s">
        <v>331</v>
      </c>
      <c r="C119" s="0" t="s">
        <v>31</v>
      </c>
      <c r="D119" s="0" t="s">
        <v>409</v>
      </c>
      <c r="E119" s="0" t="s">
        <v>332</v>
      </c>
      <c r="F119" s="0" t="s">
        <v>328</v>
      </c>
      <c r="G119" s="0" t="n">
        <f aca="false">HYPERLINK("http://clipc-services.ceda.ac.uk/dreq/u/2c8cb564bae033f641135194947da163.html","web")</f>
        <v>0</v>
      </c>
      <c r="H119" s="0" t="s">
        <v>231</v>
      </c>
      <c r="I119" s="0" t="s">
        <v>316</v>
      </c>
      <c r="J119" s="0" t="s">
        <v>333</v>
      </c>
      <c r="K119" s="0" t="s">
        <v>410</v>
      </c>
    </row>
    <row r="120" customFormat="false" ht="15" hidden="false" customHeight="false" outlineLevel="0" collapsed="false">
      <c r="A120" s="0" t="s">
        <v>407</v>
      </c>
      <c r="B120" s="0" t="s">
        <v>334</v>
      </c>
      <c r="C120" s="0" t="s">
        <v>31</v>
      </c>
      <c r="D120" s="0" t="s">
        <v>409</v>
      </c>
      <c r="E120" s="0" t="s">
        <v>335</v>
      </c>
      <c r="F120" s="0" t="s">
        <v>328</v>
      </c>
      <c r="G120" s="0" t="n">
        <f aca="false">HYPERLINK("http://clipc-services.ceda.ac.uk/dreq/u/9e9e7476986ece18ce380652eaabe342.html","web")</f>
        <v>0</v>
      </c>
      <c r="H120" s="0" t="s">
        <v>336</v>
      </c>
      <c r="I120" s="0" t="s">
        <v>316</v>
      </c>
      <c r="J120" s="0" t="s">
        <v>337</v>
      </c>
      <c r="K120" s="0" t="s">
        <v>410</v>
      </c>
    </row>
    <row r="121" customFormat="false" ht="15" hidden="false" customHeight="false" outlineLevel="0" collapsed="false">
      <c r="A121" s="0" t="s">
        <v>407</v>
      </c>
      <c r="B121" s="0" t="s">
        <v>338</v>
      </c>
      <c r="C121" s="0" t="s">
        <v>31</v>
      </c>
      <c r="D121" s="0" t="s">
        <v>409</v>
      </c>
      <c r="E121" s="0" t="s">
        <v>339</v>
      </c>
      <c r="F121" s="0" t="s">
        <v>340</v>
      </c>
      <c r="G121" s="0" t="n">
        <f aca="false">HYPERLINK("http://clipc-services.ceda.ac.uk/dreq/u/52c137a21845ae294b27ad40eaca096d.html","web")</f>
        <v>0</v>
      </c>
      <c r="H121" s="0" t="s">
        <v>231</v>
      </c>
      <c r="I121" s="0" t="s">
        <v>36</v>
      </c>
      <c r="J121" s="0" t="s">
        <v>341</v>
      </c>
      <c r="K121" s="0" t="s">
        <v>411</v>
      </c>
    </row>
    <row r="122" customFormat="false" ht="15" hidden="false" customHeight="false" outlineLevel="0" collapsed="false">
      <c r="A122" s="0" t="s">
        <v>407</v>
      </c>
      <c r="B122" s="0" t="s">
        <v>342</v>
      </c>
      <c r="C122" s="0" t="s">
        <v>31</v>
      </c>
      <c r="D122" s="0" t="s">
        <v>409</v>
      </c>
      <c r="E122" s="0" t="s">
        <v>343</v>
      </c>
      <c r="F122" s="0" t="s">
        <v>340</v>
      </c>
      <c r="G122" s="0" t="n">
        <f aca="false">HYPERLINK("http://clipc-services.ceda.ac.uk/dreq/u/c373986159daf18eee63ca731d52b6f7.html","web")</f>
        <v>0</v>
      </c>
      <c r="H122" s="0" t="s">
        <v>231</v>
      </c>
      <c r="I122" s="0" t="s">
        <v>36</v>
      </c>
      <c r="J122" s="0" t="s">
        <v>344</v>
      </c>
      <c r="K122" s="0" t="s">
        <v>411</v>
      </c>
    </row>
    <row r="123" customFormat="false" ht="15" hidden="false" customHeight="false" outlineLevel="0" collapsed="false">
      <c r="A123" s="0" t="s">
        <v>407</v>
      </c>
      <c r="B123" s="0" t="s">
        <v>412</v>
      </c>
      <c r="C123" s="0" t="s">
        <v>13</v>
      </c>
      <c r="D123" s="0" t="s">
        <v>409</v>
      </c>
      <c r="E123" s="0" t="s">
        <v>413</v>
      </c>
      <c r="F123" s="0" t="s">
        <v>24</v>
      </c>
      <c r="G123" s="0" t="n">
        <f aca="false">HYPERLINK("http://clipc-services.ceda.ac.uk/dreq/u/1aefc13bd27020244fe1cfd706ce1041.html","web")</f>
        <v>0</v>
      </c>
      <c r="H123" s="0" t="s">
        <v>231</v>
      </c>
      <c r="I123" s="0" t="s">
        <v>204</v>
      </c>
      <c r="J123" s="0" t="s">
        <v>414</v>
      </c>
      <c r="K123" s="0" t="s">
        <v>410</v>
      </c>
    </row>
    <row r="124" customFormat="false" ht="15" hidden="false" customHeight="false" outlineLevel="0" collapsed="false">
      <c r="A124" s="0" t="s">
        <v>407</v>
      </c>
      <c r="B124" s="0" t="s">
        <v>415</v>
      </c>
      <c r="C124" s="0" t="s">
        <v>13</v>
      </c>
      <c r="D124" s="0" t="s">
        <v>409</v>
      </c>
      <c r="E124" s="0" t="s">
        <v>416</v>
      </c>
      <c r="F124" s="0" t="s">
        <v>24</v>
      </c>
      <c r="G124" s="0" t="n">
        <f aca="false">HYPERLINK("http://clipc-services.ceda.ac.uk/dreq/u/2cd1940e7201d5adb02ba157a74fc33e.html","web")</f>
        <v>0</v>
      </c>
      <c r="H124" s="0" t="s">
        <v>417</v>
      </c>
      <c r="I124" s="0" t="s">
        <v>349</v>
      </c>
      <c r="J124" s="0" t="s">
        <v>418</v>
      </c>
      <c r="K124" s="0" t="s">
        <v>419</v>
      </c>
    </row>
    <row r="125" customFormat="false" ht="15" hidden="false" customHeight="false" outlineLevel="0" collapsed="false">
      <c r="A125" s="0" t="s">
        <v>407</v>
      </c>
      <c r="B125" s="0" t="s">
        <v>420</v>
      </c>
      <c r="C125" s="0" t="s">
        <v>13</v>
      </c>
      <c r="D125" s="0" t="s">
        <v>207</v>
      </c>
      <c r="E125" s="0" t="s">
        <v>421</v>
      </c>
      <c r="F125" s="0" t="s">
        <v>181</v>
      </c>
      <c r="G125" s="0" t="n">
        <f aca="false">HYPERLINK("http://clipc-services.ceda.ac.uk/dreq/u/62aa098b13f86fa22de1a874536a64ae.html","web")</f>
        <v>0</v>
      </c>
      <c r="H125" s="0" t="s">
        <v>422</v>
      </c>
      <c r="I125" s="0" t="s">
        <v>349</v>
      </c>
      <c r="J125" s="0" t="s">
        <v>423</v>
      </c>
      <c r="K125" s="0" t="s">
        <v>411</v>
      </c>
    </row>
    <row r="126" customFormat="false" ht="15" hidden="false" customHeight="false" outlineLevel="0" collapsed="false">
      <c r="A126" s="0" t="s">
        <v>407</v>
      </c>
      <c r="B126" s="0" t="s">
        <v>424</v>
      </c>
      <c r="C126" s="0" t="s">
        <v>31</v>
      </c>
      <c r="D126" s="0" t="s">
        <v>179</v>
      </c>
      <c r="E126" s="0" t="s">
        <v>425</v>
      </c>
      <c r="F126" s="0" t="s">
        <v>286</v>
      </c>
      <c r="G126" s="0" t="n">
        <f aca="false">HYPERLINK("http://clipc-services.ceda.ac.uk/dreq/u/58bbe37eb1035d22ab051fcfa10c67d9.html","web")</f>
        <v>0</v>
      </c>
      <c r="H126" s="0" t="s">
        <v>426</v>
      </c>
      <c r="I126" s="0" t="s">
        <v>36</v>
      </c>
      <c r="J126" s="0" t="s">
        <v>427</v>
      </c>
      <c r="K126" s="0" t="s">
        <v>428</v>
      </c>
    </row>
    <row r="127" customFormat="false" ht="15" hidden="false" customHeight="false" outlineLevel="0" collapsed="false">
      <c r="A127" s="0" t="s">
        <v>407</v>
      </c>
      <c r="B127" s="0" t="s">
        <v>429</v>
      </c>
      <c r="C127" s="0" t="s">
        <v>31</v>
      </c>
      <c r="D127" s="0" t="s">
        <v>179</v>
      </c>
      <c r="E127" s="0" t="s">
        <v>430</v>
      </c>
      <c r="F127" s="0" t="s">
        <v>286</v>
      </c>
      <c r="G127" s="0" t="n">
        <f aca="false">HYPERLINK("http://clipc-services.ceda.ac.uk/dreq/u/0888eef64215cf18affe93ca142c95ad.html","web")</f>
        <v>0</v>
      </c>
      <c r="H127" s="0" t="s">
        <v>426</v>
      </c>
      <c r="I127" s="0" t="s">
        <v>36</v>
      </c>
      <c r="J127" s="0" t="s">
        <v>431</v>
      </c>
      <c r="K127" s="0" t="s">
        <v>428</v>
      </c>
    </row>
    <row r="128" customFormat="false" ht="15" hidden="false" customHeight="false" outlineLevel="0" collapsed="false">
      <c r="A128" s="0" t="s">
        <v>407</v>
      </c>
      <c r="B128" s="0" t="s">
        <v>432</v>
      </c>
      <c r="C128" s="0" t="s">
        <v>31</v>
      </c>
      <c r="D128" s="0" t="s">
        <v>179</v>
      </c>
      <c r="E128" s="0" t="s">
        <v>433</v>
      </c>
      <c r="F128" s="0" t="s">
        <v>286</v>
      </c>
      <c r="G128" s="0" t="n">
        <f aca="false">HYPERLINK("http://clipc-services.ceda.ac.uk/dreq/u/827d0f8093c7858a784e5fda140a6e12.html","web")</f>
        <v>0</v>
      </c>
      <c r="H128" s="0" t="s">
        <v>426</v>
      </c>
      <c r="I128" s="0" t="s">
        <v>36</v>
      </c>
      <c r="J128" s="0" t="s">
        <v>434</v>
      </c>
      <c r="K128" s="0" t="s">
        <v>428</v>
      </c>
    </row>
    <row r="129" customFormat="false" ht="15" hidden="false" customHeight="false" outlineLevel="0" collapsed="false">
      <c r="A129" s="0" t="s">
        <v>407</v>
      </c>
      <c r="B129" s="0" t="s">
        <v>435</v>
      </c>
      <c r="C129" s="0" t="s">
        <v>31</v>
      </c>
      <c r="D129" s="0" t="s">
        <v>179</v>
      </c>
      <c r="E129" s="0" t="s">
        <v>436</v>
      </c>
      <c r="F129" s="0" t="s">
        <v>286</v>
      </c>
      <c r="G129" s="0" t="n">
        <f aca="false">HYPERLINK("http://clipc-services.ceda.ac.uk/dreq/u/71a3667c9d9a8b9af56e22757461b7d0.html","web")</f>
        <v>0</v>
      </c>
      <c r="H129" s="0" t="s">
        <v>426</v>
      </c>
      <c r="I129" s="0" t="s">
        <v>36</v>
      </c>
      <c r="J129" s="0" t="s">
        <v>437</v>
      </c>
      <c r="K129" s="0" t="s">
        <v>428</v>
      </c>
    </row>
    <row r="130" customFormat="false" ht="15" hidden="false" customHeight="false" outlineLevel="0" collapsed="false">
      <c r="A130" s="0" t="s">
        <v>407</v>
      </c>
      <c r="B130" s="0" t="s">
        <v>438</v>
      </c>
      <c r="C130" s="0" t="s">
        <v>31</v>
      </c>
      <c r="D130" s="0" t="s">
        <v>207</v>
      </c>
      <c r="E130" s="0" t="s">
        <v>439</v>
      </c>
      <c r="F130" s="0" t="s">
        <v>286</v>
      </c>
      <c r="G130" s="0" t="n">
        <f aca="false">HYPERLINK("http://clipc-services.ceda.ac.uk/dreq/u/01918a16b5ac9dbbe932d83357c06a21.html","web")</f>
        <v>0</v>
      </c>
      <c r="H130" s="0" t="s">
        <v>426</v>
      </c>
      <c r="I130" s="0" t="s">
        <v>36</v>
      </c>
      <c r="J130" s="0" t="s">
        <v>440</v>
      </c>
      <c r="K130" s="0" t="s">
        <v>441</v>
      </c>
    </row>
    <row r="131" customFormat="false" ht="15" hidden="false" customHeight="false" outlineLevel="0" collapsed="false">
      <c r="A131" s="0" t="s">
        <v>407</v>
      </c>
      <c r="B131" s="0" t="s">
        <v>442</v>
      </c>
      <c r="C131" s="0" t="s">
        <v>31</v>
      </c>
      <c r="D131" s="0" t="s">
        <v>207</v>
      </c>
      <c r="E131" s="0" t="s">
        <v>443</v>
      </c>
      <c r="F131" s="0" t="s">
        <v>286</v>
      </c>
      <c r="G131" s="0" t="n">
        <f aca="false">HYPERLINK("http://clipc-services.ceda.ac.uk/dreq/u/8e5acd3e73d41006a677b5e77fe383f7.html","web")</f>
        <v>0</v>
      </c>
      <c r="H131" s="0" t="s">
        <v>426</v>
      </c>
      <c r="I131" s="0" t="s">
        <v>36</v>
      </c>
      <c r="J131" s="0" t="s">
        <v>444</v>
      </c>
      <c r="K131" s="0" t="s">
        <v>441</v>
      </c>
    </row>
    <row r="132" customFormat="false" ht="15" hidden="false" customHeight="false" outlineLevel="0" collapsed="false">
      <c r="A132" s="0" t="s">
        <v>407</v>
      </c>
      <c r="B132" s="0" t="s">
        <v>445</v>
      </c>
      <c r="C132" s="0" t="s">
        <v>31</v>
      </c>
      <c r="D132" s="0" t="s">
        <v>207</v>
      </c>
      <c r="E132" s="0" t="s">
        <v>446</v>
      </c>
      <c r="F132" s="0" t="s">
        <v>286</v>
      </c>
      <c r="G132" s="0" t="n">
        <f aca="false">HYPERLINK("http://clipc-services.ceda.ac.uk/dreq/u/e0279cf7335a5b9292a1a3c8f70a32a2.html","web")</f>
        <v>0</v>
      </c>
      <c r="H132" s="0" t="s">
        <v>426</v>
      </c>
      <c r="I132" s="0" t="s">
        <v>36</v>
      </c>
      <c r="J132" s="0" t="s">
        <v>447</v>
      </c>
      <c r="K132" s="0" t="s">
        <v>441</v>
      </c>
    </row>
    <row r="133" customFormat="false" ht="15" hidden="false" customHeight="false" outlineLevel="0" collapsed="false">
      <c r="A133" s="0" t="s">
        <v>407</v>
      </c>
      <c r="B133" s="0" t="s">
        <v>448</v>
      </c>
      <c r="C133" s="0" t="s">
        <v>31</v>
      </c>
      <c r="D133" s="0" t="s">
        <v>207</v>
      </c>
      <c r="E133" s="0" t="s">
        <v>449</v>
      </c>
      <c r="F133" s="0" t="s">
        <v>286</v>
      </c>
      <c r="G133" s="0" t="n">
        <f aca="false">HYPERLINK("http://clipc-services.ceda.ac.uk/dreq/u/6248574ebce5bf9fde3841735c9108bc.html","web")</f>
        <v>0</v>
      </c>
      <c r="H133" s="0" t="s">
        <v>426</v>
      </c>
      <c r="I133" s="0" t="s">
        <v>36</v>
      </c>
      <c r="J133" s="0" t="s">
        <v>450</v>
      </c>
      <c r="K133" s="0" t="s">
        <v>441</v>
      </c>
    </row>
    <row r="134" customFormat="false" ht="15" hidden="false" customHeight="false" outlineLevel="0" collapsed="false">
      <c r="A134" s="0" t="s">
        <v>407</v>
      </c>
      <c r="B134" s="0" t="s">
        <v>451</v>
      </c>
      <c r="C134" s="0" t="s">
        <v>31</v>
      </c>
      <c r="D134" s="0" t="s">
        <v>207</v>
      </c>
      <c r="E134" s="0" t="s">
        <v>452</v>
      </c>
      <c r="F134" s="0" t="s">
        <v>286</v>
      </c>
      <c r="G134" s="0" t="n">
        <f aca="false">HYPERLINK("http://clipc-services.ceda.ac.uk/dreq/u/5951b6df2bd5a02e11213ea42620fa89.html","web")</f>
        <v>0</v>
      </c>
      <c r="H134" s="0" t="s">
        <v>426</v>
      </c>
      <c r="I134" s="0" t="s">
        <v>36</v>
      </c>
      <c r="J134" s="0" t="s">
        <v>453</v>
      </c>
      <c r="K134" s="0" t="s">
        <v>441</v>
      </c>
    </row>
    <row r="135" customFormat="false" ht="15" hidden="false" customHeight="false" outlineLevel="0" collapsed="false">
      <c r="A135" s="0" t="s">
        <v>407</v>
      </c>
      <c r="B135" s="0" t="s">
        <v>454</v>
      </c>
      <c r="C135" s="0" t="s">
        <v>31</v>
      </c>
      <c r="D135" s="0" t="s">
        <v>207</v>
      </c>
      <c r="E135" s="0" t="s">
        <v>455</v>
      </c>
      <c r="F135" s="0" t="s">
        <v>286</v>
      </c>
      <c r="G135" s="0" t="n">
        <f aca="false">HYPERLINK("http://clipc-services.ceda.ac.uk/dreq/u/bef5e52ab3ef55640ab0133c34c9dec2.html","web")</f>
        <v>0</v>
      </c>
      <c r="H135" s="0" t="s">
        <v>426</v>
      </c>
      <c r="I135" s="0" t="s">
        <v>36</v>
      </c>
      <c r="J135" s="0" t="s">
        <v>456</v>
      </c>
      <c r="K135" s="0" t="s">
        <v>441</v>
      </c>
    </row>
    <row r="136" customFormat="false" ht="15" hidden="false" customHeight="false" outlineLevel="0" collapsed="false">
      <c r="A136" s="0" t="s">
        <v>407</v>
      </c>
      <c r="B136" s="0" t="s">
        <v>457</v>
      </c>
      <c r="C136" s="0" t="s">
        <v>31</v>
      </c>
      <c r="D136" s="0" t="s">
        <v>207</v>
      </c>
      <c r="E136" s="0" t="s">
        <v>458</v>
      </c>
      <c r="F136" s="0" t="s">
        <v>286</v>
      </c>
      <c r="G136" s="0" t="n">
        <f aca="false">HYPERLINK("http://clipc-services.ceda.ac.uk/dreq/u/bc0982cd4cc45a7ad96524f549a468c4.html","web")</f>
        <v>0</v>
      </c>
      <c r="H136" s="0" t="s">
        <v>426</v>
      </c>
      <c r="I136" s="0" t="s">
        <v>36</v>
      </c>
      <c r="J136" s="0" t="s">
        <v>459</v>
      </c>
      <c r="K136" s="0" t="s">
        <v>441</v>
      </c>
    </row>
    <row r="137" customFormat="false" ht="15" hidden="false" customHeight="false" outlineLevel="0" collapsed="false">
      <c r="A137" s="0" t="s">
        <v>407</v>
      </c>
      <c r="B137" s="0" t="s">
        <v>460</v>
      </c>
      <c r="C137" s="0" t="s">
        <v>31</v>
      </c>
      <c r="D137" s="0" t="s">
        <v>207</v>
      </c>
      <c r="E137" s="0" t="s">
        <v>461</v>
      </c>
      <c r="F137" s="0" t="s">
        <v>286</v>
      </c>
      <c r="G137" s="0" t="n">
        <f aca="false">HYPERLINK("http://clipc-services.ceda.ac.uk/dreq/u/b8acc50c52fa48b40a4512d06d2d6435.html","web")</f>
        <v>0</v>
      </c>
      <c r="H137" s="0" t="s">
        <v>426</v>
      </c>
      <c r="I137" s="0" t="s">
        <v>36</v>
      </c>
      <c r="J137" s="0" t="s">
        <v>462</v>
      </c>
      <c r="K137" s="0" t="s">
        <v>441</v>
      </c>
    </row>
    <row r="138" customFormat="false" ht="15" hidden="false" customHeight="false" outlineLevel="0" collapsed="false">
      <c r="A138" s="0" t="s">
        <v>407</v>
      </c>
      <c r="B138" s="0" t="s">
        <v>217</v>
      </c>
      <c r="C138" s="0" t="s">
        <v>31</v>
      </c>
      <c r="D138" s="0" t="s">
        <v>218</v>
      </c>
      <c r="E138" s="0" t="s">
        <v>219</v>
      </c>
      <c r="F138" s="0" t="s">
        <v>24</v>
      </c>
      <c r="G138" s="0" t="n">
        <f aca="false">HYPERLINK("http://clipc-services.ceda.ac.uk/dreq/u/fa7666d61b92de5bad1ad76561b8b850.html","web")</f>
        <v>0</v>
      </c>
      <c r="H138" s="0" t="s">
        <v>214</v>
      </c>
      <c r="I138" s="0" t="s">
        <v>215</v>
      </c>
      <c r="J138" s="0" t="s">
        <v>220</v>
      </c>
      <c r="K138" s="0" t="s">
        <v>463</v>
      </c>
    </row>
    <row r="139" customFormat="false" ht="15" hidden="false" customHeight="false" outlineLevel="0" collapsed="false">
      <c r="A139" s="0" t="s">
        <v>407</v>
      </c>
      <c r="B139" s="0" t="s">
        <v>211</v>
      </c>
      <c r="C139" s="0" t="s">
        <v>31</v>
      </c>
      <c r="D139" s="0" t="s">
        <v>212</v>
      </c>
      <c r="E139" s="0" t="s">
        <v>213</v>
      </c>
      <c r="F139" s="0" t="s">
        <v>24</v>
      </c>
      <c r="G139" s="0" t="n">
        <f aca="false">HYPERLINK("http://clipc-services.ceda.ac.uk/dreq/u/400e5707b65c01e31f2ec6a59dd3983b.html","web")</f>
        <v>0</v>
      </c>
      <c r="H139" s="0" t="s">
        <v>214</v>
      </c>
      <c r="I139" s="0" t="s">
        <v>215</v>
      </c>
      <c r="J139" s="0" t="s">
        <v>216</v>
      </c>
      <c r="K139" s="0" t="s">
        <v>464</v>
      </c>
    </row>
    <row r="141" customFormat="false" ht="15" hidden="false" customHeight="false" outlineLevel="0" collapsed="false">
      <c r="A141" s="0" t="s">
        <v>465</v>
      </c>
      <c r="B141" s="0" t="s">
        <v>466</v>
      </c>
      <c r="C141" s="0" t="s">
        <v>13</v>
      </c>
      <c r="D141" s="0" t="s">
        <v>179</v>
      </c>
      <c r="E141" s="0" t="s">
        <v>467</v>
      </c>
      <c r="F141" s="0" t="s">
        <v>43</v>
      </c>
      <c r="G141" s="0" t="n">
        <f aca="false">HYPERLINK("http://clipc-services.ceda.ac.uk/dreq/u/c96c5576-c5f0-11e6-ac20-5404a60d96b5.html","web")</f>
        <v>0</v>
      </c>
      <c r="H141" s="0" t="s">
        <v>50</v>
      </c>
      <c r="I141" s="0" t="s">
        <v>45</v>
      </c>
      <c r="J141" s="0" t="s">
        <v>51</v>
      </c>
      <c r="K141" s="0" t="s">
        <v>468</v>
      </c>
    </row>
    <row r="142" customFormat="false" ht="15" hidden="false" customHeight="false" outlineLevel="0" collapsed="false">
      <c r="A142" s="0" t="s">
        <v>465</v>
      </c>
      <c r="B142" s="0" t="s">
        <v>469</v>
      </c>
      <c r="C142" s="0" t="s">
        <v>13</v>
      </c>
      <c r="D142" s="0" t="s">
        <v>179</v>
      </c>
      <c r="E142" s="0" t="s">
        <v>470</v>
      </c>
      <c r="F142" s="0" t="s">
        <v>43</v>
      </c>
      <c r="G142" s="0" t="n">
        <f aca="false">HYPERLINK("http://clipc-services.ceda.ac.uk/dreq/u/c96c6390-c5f0-11e6-ac20-5404a60d96b5.html","web")</f>
        <v>0</v>
      </c>
      <c r="H142" s="0" t="s">
        <v>54</v>
      </c>
      <c r="I142" s="0" t="s">
        <v>45</v>
      </c>
      <c r="J142" s="0" t="s">
        <v>55</v>
      </c>
      <c r="K142" s="0" t="s">
        <v>468</v>
      </c>
    </row>
    <row r="143" customFormat="false" ht="15" hidden="false" customHeight="false" outlineLevel="0" collapsed="false">
      <c r="A143" s="0" t="s">
        <v>465</v>
      </c>
      <c r="B143" s="0" t="s">
        <v>471</v>
      </c>
      <c r="C143" s="0" t="s">
        <v>13</v>
      </c>
      <c r="D143" s="0" t="s">
        <v>179</v>
      </c>
      <c r="E143" s="0" t="s">
        <v>472</v>
      </c>
      <c r="F143" s="0" t="s">
        <v>43</v>
      </c>
      <c r="G143" s="0" t="n">
        <f aca="false">HYPERLINK("http://clipc-services.ceda.ac.uk/dreq/u/c96c720e-c5f0-11e6-ac20-5404a60d96b5.html","web")</f>
        <v>0</v>
      </c>
      <c r="H143" s="0" t="s">
        <v>50</v>
      </c>
      <c r="I143" s="0" t="s">
        <v>45</v>
      </c>
      <c r="J143" s="0" t="s">
        <v>473</v>
      </c>
      <c r="K143" s="0" t="s">
        <v>474</v>
      </c>
    </row>
    <row r="144" customFormat="false" ht="15" hidden="false" customHeight="false" outlineLevel="0" collapsed="false">
      <c r="A144" s="0" t="s">
        <v>465</v>
      </c>
      <c r="B144" s="0" t="s">
        <v>78</v>
      </c>
      <c r="C144" s="0" t="s">
        <v>31</v>
      </c>
      <c r="D144" s="0" t="s">
        <v>41</v>
      </c>
      <c r="E144" s="0" t="s">
        <v>79</v>
      </c>
      <c r="F144" s="0" t="s">
        <v>80</v>
      </c>
      <c r="G144" s="0" t="n">
        <f aca="false">HYPERLINK("http://clipc-services.ceda.ac.uk/dreq/u/4c69515bfc84c5cb5624e94228f58351.html","web")</f>
        <v>0</v>
      </c>
      <c r="H144" s="0" t="s">
        <v>81</v>
      </c>
      <c r="I144" s="0" t="s">
        <v>45</v>
      </c>
      <c r="J144" s="0" t="s">
        <v>82</v>
      </c>
      <c r="K144" s="0" t="s">
        <v>475</v>
      </c>
    </row>
    <row r="145" customFormat="false" ht="15" hidden="false" customHeight="false" outlineLevel="0" collapsed="false">
      <c r="A145" s="0" t="s">
        <v>465</v>
      </c>
      <c r="B145" s="0" t="s">
        <v>476</v>
      </c>
      <c r="C145" s="0" t="s">
        <v>13</v>
      </c>
      <c r="D145" s="0" t="s">
        <v>179</v>
      </c>
      <c r="E145" s="0" t="s">
        <v>477</v>
      </c>
      <c r="F145" s="0" t="s">
        <v>43</v>
      </c>
      <c r="G145" s="0" t="n">
        <f aca="false">HYPERLINK("http://clipc-services.ceda.ac.uk/dreq/u/c96daba6-c5f0-11e6-ac20-5404a60d96b5.html","web")</f>
        <v>0</v>
      </c>
      <c r="H145" s="0" t="s">
        <v>50</v>
      </c>
      <c r="I145" s="0" t="s">
        <v>45</v>
      </c>
      <c r="J145" s="0" t="s">
        <v>478</v>
      </c>
      <c r="K145" s="0" t="s">
        <v>468</v>
      </c>
    </row>
    <row r="146" customFormat="false" ht="15" hidden="false" customHeight="false" outlineLevel="0" collapsed="false">
      <c r="A146" s="0" t="s">
        <v>465</v>
      </c>
      <c r="B146" s="0" t="s">
        <v>479</v>
      </c>
      <c r="C146" s="0" t="s">
        <v>31</v>
      </c>
      <c r="D146" s="0" t="s">
        <v>480</v>
      </c>
      <c r="E146" s="0" t="s">
        <v>481</v>
      </c>
      <c r="F146" s="0" t="s">
        <v>257</v>
      </c>
      <c r="G146" s="0" t="n">
        <f aca="false">HYPERLINK("http://clipc-services.ceda.ac.uk/dreq/u/fe8d7416c92bdae56503590599286800.html","web")</f>
        <v>0</v>
      </c>
      <c r="H146" s="0" t="s">
        <v>482</v>
      </c>
      <c r="I146" s="0" t="s">
        <v>483</v>
      </c>
      <c r="J146" s="0" t="s">
        <v>484</v>
      </c>
      <c r="K146" s="0" t="s">
        <v>485</v>
      </c>
    </row>
    <row r="147" customFormat="false" ht="15" hidden="false" customHeight="false" outlineLevel="0" collapsed="false">
      <c r="A147" s="0" t="s">
        <v>465</v>
      </c>
      <c r="B147" s="0" t="s">
        <v>486</v>
      </c>
      <c r="C147" s="0" t="s">
        <v>31</v>
      </c>
      <c r="D147" s="0" t="s">
        <v>487</v>
      </c>
      <c r="E147" s="0" t="s">
        <v>481</v>
      </c>
      <c r="F147" s="0" t="s">
        <v>257</v>
      </c>
      <c r="G147" s="0" t="n">
        <f aca="false">HYPERLINK("http://clipc-services.ceda.ac.uk/dreq/u/faeffb2438794e8400143533d61d1623.html","web")</f>
        <v>0</v>
      </c>
      <c r="H147" s="0" t="s">
        <v>488</v>
      </c>
      <c r="I147" s="0" t="s">
        <v>45</v>
      </c>
      <c r="J147" s="0" t="s">
        <v>484</v>
      </c>
      <c r="K147" s="0" t="s">
        <v>489</v>
      </c>
    </row>
    <row r="148" customFormat="false" ht="15" hidden="false" customHeight="false" outlineLevel="0" collapsed="false">
      <c r="A148" s="0" t="s">
        <v>465</v>
      </c>
      <c r="B148" s="0" t="s">
        <v>490</v>
      </c>
      <c r="C148" s="0" t="s">
        <v>31</v>
      </c>
      <c r="D148" s="0" t="s">
        <v>491</v>
      </c>
      <c r="E148" s="0" t="s">
        <v>492</v>
      </c>
      <c r="F148" s="0" t="s">
        <v>257</v>
      </c>
      <c r="G148" s="0" t="n">
        <f aca="false">HYPERLINK("http://clipc-services.ceda.ac.uk/dreq/u/29a3aaf848070fb8ff4ecb7aa2dfa2eb.html","web")</f>
        <v>0</v>
      </c>
      <c r="H148" s="0" t="s">
        <v>493</v>
      </c>
      <c r="I148" s="0" t="s">
        <v>45</v>
      </c>
      <c r="J148" s="0" t="s">
        <v>484</v>
      </c>
      <c r="K148" s="0" t="s">
        <v>494</v>
      </c>
    </row>
    <row r="149" customFormat="false" ht="15" hidden="false" customHeight="false" outlineLevel="0" collapsed="false">
      <c r="A149" s="0" t="s">
        <v>465</v>
      </c>
      <c r="B149" s="0" t="s">
        <v>495</v>
      </c>
      <c r="C149" s="0" t="s">
        <v>31</v>
      </c>
      <c r="D149" s="0" t="s">
        <v>480</v>
      </c>
      <c r="E149" s="0" t="s">
        <v>496</v>
      </c>
      <c r="F149" s="0" t="s">
        <v>257</v>
      </c>
      <c r="G149" s="0" t="n">
        <f aca="false">HYPERLINK("http://clipc-services.ceda.ac.uk/dreq/u/bd75f065fbaddd5d92f4767c6d6baaff.html","web")</f>
        <v>0</v>
      </c>
      <c r="H149" s="0" t="s">
        <v>497</v>
      </c>
      <c r="I149" s="0" t="s">
        <v>45</v>
      </c>
      <c r="J149" s="0" t="s">
        <v>498</v>
      </c>
      <c r="K149" s="0" t="s">
        <v>499</v>
      </c>
    </row>
    <row r="150" customFormat="false" ht="15" hidden="false" customHeight="false" outlineLevel="0" collapsed="false">
      <c r="A150" s="0" t="s">
        <v>465</v>
      </c>
      <c r="B150" s="0" t="s">
        <v>500</v>
      </c>
      <c r="C150" s="0" t="s">
        <v>31</v>
      </c>
      <c r="D150" s="0" t="s">
        <v>487</v>
      </c>
      <c r="E150" s="0" t="s">
        <v>496</v>
      </c>
      <c r="F150" s="0" t="s">
        <v>257</v>
      </c>
      <c r="G150" s="0" t="n">
        <f aca="false">HYPERLINK("http://clipc-services.ceda.ac.uk/dreq/u/54bc1fc90fca4b22cd73cc18e3f6ec07.html","web")</f>
        <v>0</v>
      </c>
      <c r="H150" s="0" t="s">
        <v>497</v>
      </c>
      <c r="I150" s="0" t="s">
        <v>45</v>
      </c>
      <c r="J150" s="0" t="s">
        <v>498</v>
      </c>
      <c r="K150" s="0" t="s">
        <v>494</v>
      </c>
    </row>
    <row r="151" customFormat="false" ht="15" hidden="false" customHeight="false" outlineLevel="0" collapsed="false">
      <c r="A151" s="0" t="s">
        <v>465</v>
      </c>
      <c r="B151" s="0" t="s">
        <v>501</v>
      </c>
      <c r="C151" s="0" t="s">
        <v>31</v>
      </c>
      <c r="D151" s="0" t="s">
        <v>502</v>
      </c>
      <c r="E151" s="0" t="s">
        <v>503</v>
      </c>
      <c r="F151" s="0" t="s">
        <v>257</v>
      </c>
      <c r="G151" s="0" t="n">
        <f aca="false">HYPERLINK("http://clipc-services.ceda.ac.uk/dreq/u/481469b8223841a5382d43e7c6ae204e.html","web")</f>
        <v>0</v>
      </c>
      <c r="H151" s="0" t="s">
        <v>497</v>
      </c>
      <c r="I151" s="0" t="s">
        <v>45</v>
      </c>
      <c r="J151" s="0" t="s">
        <v>498</v>
      </c>
      <c r="K151" s="0" t="s">
        <v>494</v>
      </c>
    </row>
    <row r="152" customFormat="false" ht="15" hidden="false" customHeight="false" outlineLevel="0" collapsed="false">
      <c r="A152" s="0" t="s">
        <v>465</v>
      </c>
      <c r="B152" s="0" t="s">
        <v>504</v>
      </c>
      <c r="C152" s="0" t="s">
        <v>31</v>
      </c>
      <c r="D152" s="0" t="s">
        <v>491</v>
      </c>
      <c r="E152" s="0" t="s">
        <v>503</v>
      </c>
      <c r="F152" s="0" t="s">
        <v>257</v>
      </c>
      <c r="G152" s="0" t="n">
        <f aca="false">HYPERLINK("http://clipc-services.ceda.ac.uk/dreq/u/66a6e45b205b239932b72fa67a6500ed.html","web")</f>
        <v>0</v>
      </c>
      <c r="H152" s="0" t="s">
        <v>497</v>
      </c>
      <c r="I152" s="0" t="s">
        <v>45</v>
      </c>
      <c r="J152" s="0" t="s">
        <v>498</v>
      </c>
      <c r="K152" s="0" t="s">
        <v>489</v>
      </c>
    </row>
    <row r="153" customFormat="false" ht="15" hidden="false" customHeight="false" outlineLevel="0" collapsed="false">
      <c r="A153" s="0" t="s">
        <v>465</v>
      </c>
      <c r="B153" s="0" t="s">
        <v>505</v>
      </c>
      <c r="C153" s="0" t="s">
        <v>31</v>
      </c>
      <c r="D153" s="0" t="s">
        <v>480</v>
      </c>
      <c r="E153" s="0" t="s">
        <v>506</v>
      </c>
      <c r="F153" s="0" t="s">
        <v>257</v>
      </c>
      <c r="G153" s="0" t="n">
        <f aca="false">HYPERLINK("http://clipc-services.ceda.ac.uk/dreq/u/136d81b44d45d8f7c549469ff69a74a7.html","web")</f>
        <v>0</v>
      </c>
      <c r="H153" s="0" t="s">
        <v>507</v>
      </c>
      <c r="I153" s="0" t="s">
        <v>45</v>
      </c>
      <c r="J153" s="0" t="s">
        <v>508</v>
      </c>
      <c r="K153" s="0" t="s">
        <v>494</v>
      </c>
    </row>
    <row r="154" customFormat="false" ht="15" hidden="false" customHeight="false" outlineLevel="0" collapsed="false">
      <c r="A154" s="0" t="s">
        <v>465</v>
      </c>
      <c r="B154" s="0" t="s">
        <v>509</v>
      </c>
      <c r="C154" s="0" t="s">
        <v>31</v>
      </c>
      <c r="D154" s="0" t="s">
        <v>480</v>
      </c>
      <c r="E154" s="0" t="s">
        <v>510</v>
      </c>
      <c r="F154" s="0" t="s">
        <v>257</v>
      </c>
      <c r="G154" s="0" t="n">
        <f aca="false">HYPERLINK("http://clipc-services.ceda.ac.uk/dreq/u/2ac2d8645abddc0eb9fe53a7ea680465.html","web")</f>
        <v>0</v>
      </c>
      <c r="H154" s="0" t="s">
        <v>511</v>
      </c>
      <c r="I154" s="0" t="s">
        <v>45</v>
      </c>
      <c r="J154" s="0" t="s">
        <v>508</v>
      </c>
      <c r="K154" s="0" t="s">
        <v>494</v>
      </c>
    </row>
    <row r="155" customFormat="false" ht="15" hidden="false" customHeight="false" outlineLevel="0" collapsed="false">
      <c r="A155" s="0" t="s">
        <v>465</v>
      </c>
      <c r="B155" s="0" t="s">
        <v>512</v>
      </c>
      <c r="C155" s="0" t="s">
        <v>31</v>
      </c>
      <c r="D155" s="0" t="s">
        <v>513</v>
      </c>
      <c r="E155" s="0" t="s">
        <v>514</v>
      </c>
      <c r="F155" s="0" t="s">
        <v>515</v>
      </c>
      <c r="G155" s="0" t="n">
        <f aca="false">HYPERLINK("http://clipc-services.ceda.ac.uk/dreq/u/88f1496a06008de969d5913384e6cb17.html","web")</f>
        <v>0</v>
      </c>
      <c r="H155" s="0" t="s">
        <v>516</v>
      </c>
      <c r="I155" s="0" t="s">
        <v>45</v>
      </c>
      <c r="J155" s="0" t="s">
        <v>517</v>
      </c>
      <c r="K155" s="0" t="s">
        <v>494</v>
      </c>
    </row>
    <row r="156" customFormat="false" ht="15" hidden="false" customHeight="false" outlineLevel="0" collapsed="false">
      <c r="A156" s="0" t="s">
        <v>465</v>
      </c>
      <c r="B156" s="0" t="s">
        <v>518</v>
      </c>
      <c r="C156" s="0" t="s">
        <v>31</v>
      </c>
      <c r="D156" s="0" t="s">
        <v>513</v>
      </c>
      <c r="E156" s="0" t="s">
        <v>519</v>
      </c>
      <c r="F156" s="0" t="s">
        <v>515</v>
      </c>
      <c r="G156" s="0" t="n">
        <f aca="false">HYPERLINK("http://clipc-services.ceda.ac.uk/dreq/u/cfc72744e73c1f6116661e251316c04f.html","web")</f>
        <v>0</v>
      </c>
      <c r="H156" s="0" t="s">
        <v>507</v>
      </c>
      <c r="I156" s="0" t="s">
        <v>45</v>
      </c>
      <c r="J156" s="0" t="s">
        <v>520</v>
      </c>
      <c r="K156" s="0" t="s">
        <v>494</v>
      </c>
    </row>
    <row r="157" customFormat="false" ht="15" hidden="false" customHeight="false" outlineLevel="0" collapsed="false">
      <c r="A157" s="0" t="s">
        <v>465</v>
      </c>
      <c r="B157" s="0" t="s">
        <v>521</v>
      </c>
      <c r="C157" s="0" t="s">
        <v>31</v>
      </c>
      <c r="D157" s="0" t="s">
        <v>513</v>
      </c>
      <c r="E157" s="0" t="s">
        <v>522</v>
      </c>
      <c r="F157" s="0" t="s">
        <v>515</v>
      </c>
      <c r="G157" s="0" t="n">
        <f aca="false">HYPERLINK("http://clipc-services.ceda.ac.uk/dreq/u/2e3e882a650986c1fdc5df05f5f10263.html","web")</f>
        <v>0</v>
      </c>
      <c r="H157" s="0" t="s">
        <v>523</v>
      </c>
      <c r="I157" s="0" t="s">
        <v>45</v>
      </c>
      <c r="J157" s="0" t="s">
        <v>524</v>
      </c>
      <c r="K157" s="0" t="s">
        <v>494</v>
      </c>
    </row>
    <row r="158" customFormat="false" ht="15" hidden="false" customHeight="false" outlineLevel="0" collapsed="false">
      <c r="A158" s="0" t="s">
        <v>465</v>
      </c>
      <c r="B158" s="0" t="s">
        <v>525</v>
      </c>
      <c r="C158" s="0" t="s">
        <v>13</v>
      </c>
      <c r="D158" s="0" t="s">
        <v>41</v>
      </c>
      <c r="E158" s="0" t="s">
        <v>526</v>
      </c>
      <c r="F158" s="0" t="s">
        <v>181</v>
      </c>
      <c r="G158" s="0" t="n">
        <f aca="false">HYPERLINK("http://clipc-services.ceda.ac.uk/dreq/u/0638f32ebcc32d63faad121d5a83e3be.html","web")</f>
        <v>0</v>
      </c>
      <c r="H158" s="0" t="s">
        <v>75</v>
      </c>
      <c r="I158" s="0" t="s">
        <v>89</v>
      </c>
      <c r="J158" s="0" t="s">
        <v>527</v>
      </c>
      <c r="K158" s="0" t="s">
        <v>528</v>
      </c>
    </row>
    <row r="159" customFormat="false" ht="15" hidden="false" customHeight="false" outlineLevel="0" collapsed="false">
      <c r="A159" s="0" t="s">
        <v>465</v>
      </c>
      <c r="B159" s="0" t="s">
        <v>529</v>
      </c>
      <c r="C159" s="0" t="s">
        <v>13</v>
      </c>
      <c r="D159" s="0" t="s">
        <v>179</v>
      </c>
      <c r="E159" s="0" t="s">
        <v>530</v>
      </c>
      <c r="F159" s="0" t="s">
        <v>181</v>
      </c>
      <c r="G159" s="0" t="n">
        <f aca="false">HYPERLINK("http://clipc-services.ceda.ac.uk/dreq/u/7002f5a3bc5218f16a39f3dfabf42244.html","web")</f>
        <v>0</v>
      </c>
      <c r="H159" s="0" t="s">
        <v>75</v>
      </c>
      <c r="I159" s="0" t="s">
        <v>89</v>
      </c>
      <c r="J159" s="0" t="s">
        <v>531</v>
      </c>
      <c r="K159" s="0" t="s">
        <v>532</v>
      </c>
    </row>
    <row r="160" customFormat="false" ht="15" hidden="false" customHeight="false" outlineLevel="0" collapsed="false">
      <c r="A160" s="0" t="s">
        <v>465</v>
      </c>
      <c r="B160" s="0" t="s">
        <v>533</v>
      </c>
      <c r="C160" s="0" t="s">
        <v>13</v>
      </c>
      <c r="D160" s="0" t="s">
        <v>179</v>
      </c>
      <c r="E160" s="0" t="s">
        <v>534</v>
      </c>
      <c r="F160" s="0" t="s">
        <v>181</v>
      </c>
      <c r="G160" s="0" t="n">
        <f aca="false">HYPERLINK("http://clipc-services.ceda.ac.uk/dreq/u/b76d616f8f03bb60a0dffa023dfd0525.html","web")</f>
        <v>0</v>
      </c>
      <c r="H160" s="0" t="s">
        <v>75</v>
      </c>
      <c r="I160" s="0" t="s">
        <v>89</v>
      </c>
      <c r="J160" s="0" t="s">
        <v>531</v>
      </c>
      <c r="K160" s="0" t="s">
        <v>532</v>
      </c>
    </row>
    <row r="161" customFormat="false" ht="15" hidden="false" customHeight="false" outlineLevel="0" collapsed="false">
      <c r="A161" s="0" t="s">
        <v>465</v>
      </c>
      <c r="B161" s="0" t="s">
        <v>535</v>
      </c>
      <c r="C161" s="0" t="s">
        <v>13</v>
      </c>
      <c r="D161" s="0" t="s">
        <v>179</v>
      </c>
      <c r="E161" s="0" t="s">
        <v>536</v>
      </c>
      <c r="F161" s="0" t="s">
        <v>181</v>
      </c>
      <c r="G161" s="0" t="n">
        <f aca="false">HYPERLINK("http://clipc-services.ceda.ac.uk/dreq/u/86e9eba62a2d7875705086a75ba7f78c.html","web")</f>
        <v>0</v>
      </c>
      <c r="H161" s="0" t="s">
        <v>75</v>
      </c>
      <c r="I161" s="0" t="s">
        <v>89</v>
      </c>
      <c r="J161" s="0" t="s">
        <v>531</v>
      </c>
      <c r="K161" s="0" t="s">
        <v>532</v>
      </c>
    </row>
    <row r="162" customFormat="false" ht="15" hidden="false" customHeight="false" outlineLevel="0" collapsed="false">
      <c r="A162" s="0" t="s">
        <v>465</v>
      </c>
      <c r="B162" s="0" t="s">
        <v>537</v>
      </c>
      <c r="C162" s="0" t="s">
        <v>13</v>
      </c>
      <c r="D162" s="0" t="s">
        <v>179</v>
      </c>
      <c r="E162" s="0" t="s">
        <v>538</v>
      </c>
      <c r="F162" s="0" t="s">
        <v>181</v>
      </c>
      <c r="G162" s="0" t="n">
        <f aca="false">HYPERLINK("http://clipc-services.ceda.ac.uk/dreq/u/f45dc6b68a774051705e099da83e79cf.html","web")</f>
        <v>0</v>
      </c>
      <c r="H162" s="0" t="s">
        <v>75</v>
      </c>
      <c r="I162" s="0" t="s">
        <v>89</v>
      </c>
      <c r="J162" s="0" t="s">
        <v>539</v>
      </c>
      <c r="K162" s="0" t="s">
        <v>540</v>
      </c>
    </row>
    <row r="163" customFormat="false" ht="15" hidden="false" customHeight="false" outlineLevel="0" collapsed="false">
      <c r="A163" s="0" t="s">
        <v>465</v>
      </c>
      <c r="B163" s="0" t="s">
        <v>541</v>
      </c>
      <c r="C163" s="0" t="s">
        <v>13</v>
      </c>
      <c r="D163" s="0" t="s">
        <v>179</v>
      </c>
      <c r="E163" s="0" t="s">
        <v>542</v>
      </c>
      <c r="F163" s="0" t="s">
        <v>181</v>
      </c>
      <c r="G163" s="0" t="n">
        <f aca="false">HYPERLINK("http://clipc-services.ceda.ac.uk/dreq/u/87fbc4126ce4daecf084edf9ad1f4aaf.html","web")</f>
        <v>0</v>
      </c>
      <c r="H163" s="0" t="s">
        <v>54</v>
      </c>
      <c r="I163" s="0" t="s">
        <v>45</v>
      </c>
      <c r="J163" s="0" t="s">
        <v>539</v>
      </c>
      <c r="K163" s="0" t="s">
        <v>532</v>
      </c>
    </row>
    <row r="164" customFormat="false" ht="15" hidden="false" customHeight="false" outlineLevel="0" collapsed="false">
      <c r="A164" s="0" t="s">
        <v>465</v>
      </c>
      <c r="B164" s="0" t="s">
        <v>543</v>
      </c>
      <c r="C164" s="0" t="s">
        <v>31</v>
      </c>
      <c r="D164" s="0" t="s">
        <v>179</v>
      </c>
      <c r="E164" s="0" t="s">
        <v>544</v>
      </c>
      <c r="F164" s="0" t="s">
        <v>181</v>
      </c>
      <c r="G164" s="0" t="n">
        <f aca="false">HYPERLINK("http://clipc-services.ceda.ac.uk/dreq/u/ced45b8b1f2797c54425755202dce533.html","web")</f>
        <v>0</v>
      </c>
      <c r="H164" s="0" t="s">
        <v>545</v>
      </c>
      <c r="I164" s="0" t="s">
        <v>45</v>
      </c>
      <c r="J164" s="0" t="s">
        <v>546</v>
      </c>
      <c r="K164" s="0" t="s">
        <v>547</v>
      </c>
    </row>
    <row r="165" customFormat="false" ht="15" hidden="false" customHeight="false" outlineLevel="0" collapsed="false">
      <c r="A165" s="0" t="s">
        <v>465</v>
      </c>
      <c r="B165" s="0" t="s">
        <v>548</v>
      </c>
      <c r="C165" s="0" t="s">
        <v>31</v>
      </c>
      <c r="D165" s="0" t="s">
        <v>41</v>
      </c>
      <c r="E165" s="0" t="s">
        <v>549</v>
      </c>
      <c r="F165" s="0" t="s">
        <v>286</v>
      </c>
      <c r="G165" s="0" t="n">
        <f aca="false">HYPERLINK("http://clipc-services.ceda.ac.uk/dreq/u/1b7e762395c4de9ec5c5c7bda3ce3781.html","web")</f>
        <v>0</v>
      </c>
      <c r="H165" s="0" t="s">
        <v>550</v>
      </c>
      <c r="I165" s="0" t="s">
        <v>45</v>
      </c>
      <c r="J165" s="0" t="s">
        <v>551</v>
      </c>
      <c r="K165" s="0" t="s">
        <v>489</v>
      </c>
    </row>
    <row r="166" customFormat="false" ht="15" hidden="false" customHeight="false" outlineLevel="0" collapsed="false">
      <c r="A166" s="0" t="s">
        <v>465</v>
      </c>
      <c r="B166" s="0" t="s">
        <v>552</v>
      </c>
      <c r="C166" s="0" t="s">
        <v>31</v>
      </c>
      <c r="D166" s="0" t="s">
        <v>179</v>
      </c>
      <c r="E166" s="0" t="s">
        <v>549</v>
      </c>
      <c r="F166" s="0" t="s">
        <v>286</v>
      </c>
      <c r="G166" s="0" t="n">
        <f aca="false">HYPERLINK("http://clipc-services.ceda.ac.uk/dreq/u/1b7e762395c4de9ec5c5c7bda3ce3781.html","web")</f>
        <v>0</v>
      </c>
      <c r="H166" s="0" t="s">
        <v>550</v>
      </c>
      <c r="I166" s="0" t="s">
        <v>45</v>
      </c>
      <c r="J166" s="0" t="s">
        <v>551</v>
      </c>
      <c r="K166" s="0" t="s">
        <v>489</v>
      </c>
    </row>
    <row r="167" customFormat="false" ht="15" hidden="false" customHeight="false" outlineLevel="0" collapsed="false">
      <c r="A167" s="0" t="s">
        <v>465</v>
      </c>
      <c r="B167" s="0" t="s">
        <v>553</v>
      </c>
      <c r="C167" s="0" t="s">
        <v>31</v>
      </c>
      <c r="D167" s="0" t="s">
        <v>179</v>
      </c>
      <c r="E167" s="0" t="s">
        <v>554</v>
      </c>
      <c r="F167" s="0" t="s">
        <v>555</v>
      </c>
      <c r="G167" s="0" t="n">
        <f aca="false">HYPERLINK("http://clipc-services.ceda.ac.uk/dreq/u/06942529e05aac1e9a39ca1f5737af2f.html","web")</f>
        <v>0</v>
      </c>
      <c r="H167" s="0" t="s">
        <v>81</v>
      </c>
      <c r="I167" s="0" t="s">
        <v>45</v>
      </c>
      <c r="J167" s="0" t="s">
        <v>556</v>
      </c>
      <c r="K167" s="0" t="s">
        <v>532</v>
      </c>
    </row>
    <row r="168" customFormat="false" ht="15" hidden="false" customHeight="false" outlineLevel="0" collapsed="false">
      <c r="A168" s="0" t="s">
        <v>465</v>
      </c>
      <c r="B168" s="0" t="s">
        <v>557</v>
      </c>
      <c r="C168" s="0" t="s">
        <v>31</v>
      </c>
      <c r="D168" s="0" t="s">
        <v>179</v>
      </c>
      <c r="E168" s="0" t="s">
        <v>558</v>
      </c>
      <c r="F168" s="0" t="s">
        <v>555</v>
      </c>
      <c r="G168" s="0" t="n">
        <f aca="false">HYPERLINK("http://clipc-services.ceda.ac.uk/dreq/u/ab495084beb82a29c24bf6c226fd0e57.html","web")</f>
        <v>0</v>
      </c>
      <c r="H168" s="0" t="s">
        <v>81</v>
      </c>
      <c r="I168" s="0" t="s">
        <v>45</v>
      </c>
      <c r="J168" s="0" t="s">
        <v>556</v>
      </c>
      <c r="K168" s="0" t="s">
        <v>532</v>
      </c>
    </row>
    <row r="169" customFormat="false" ht="15" hidden="false" customHeight="false" outlineLevel="0" collapsed="false">
      <c r="A169" s="0" t="s">
        <v>465</v>
      </c>
      <c r="B169" s="0" t="s">
        <v>222</v>
      </c>
      <c r="C169" s="0" t="s">
        <v>31</v>
      </c>
      <c r="D169" s="0" t="s">
        <v>41</v>
      </c>
      <c r="E169" s="0" t="s">
        <v>223</v>
      </c>
      <c r="F169" s="0" t="s">
        <v>16</v>
      </c>
      <c r="G169" s="0" t="n">
        <f aca="false">HYPERLINK("http://clipc-services.ceda.ac.uk/dreq/u/44471dd9799293cef70ac63fcdd2476e.html","web")</f>
        <v>0</v>
      </c>
      <c r="I169" s="0" t="s">
        <v>18</v>
      </c>
      <c r="J169" s="0" t="s">
        <v>224</v>
      </c>
      <c r="K169" s="0" t="s">
        <v>559</v>
      </c>
    </row>
    <row r="170" customFormat="false" ht="15" hidden="false" customHeight="false" outlineLevel="0" collapsed="false">
      <c r="A170" s="0" t="s">
        <v>465</v>
      </c>
      <c r="B170" s="0" t="s">
        <v>121</v>
      </c>
      <c r="C170" s="0" t="s">
        <v>60</v>
      </c>
      <c r="D170" s="0" t="s">
        <v>41</v>
      </c>
      <c r="E170" s="0" t="s">
        <v>122</v>
      </c>
      <c r="F170" s="0" t="s">
        <v>43</v>
      </c>
      <c r="G170" s="0" t="n">
        <f aca="false">HYPERLINK("http://clipc-services.ceda.ac.uk/dreq/u/bdce9878-233e-11e6-a788-5404a60d96b5.html","web")</f>
        <v>0</v>
      </c>
      <c r="H170" s="0" t="s">
        <v>123</v>
      </c>
      <c r="I170" s="0" t="s">
        <v>76</v>
      </c>
      <c r="J170" s="0" t="s">
        <v>124</v>
      </c>
      <c r="K170" s="0" t="s">
        <v>560</v>
      </c>
    </row>
    <row r="171" customFormat="false" ht="15" hidden="false" customHeight="false" outlineLevel="0" collapsed="false">
      <c r="A171" s="0" t="s">
        <v>465</v>
      </c>
      <c r="B171" s="0" t="s">
        <v>561</v>
      </c>
      <c r="C171" s="0" t="s">
        <v>60</v>
      </c>
      <c r="D171" s="0" t="s">
        <v>179</v>
      </c>
      <c r="E171" s="0" t="s">
        <v>143</v>
      </c>
      <c r="F171" s="0" t="s">
        <v>135</v>
      </c>
      <c r="G171" s="0" t="n">
        <f aca="false">HYPERLINK("http://clipc-services.ceda.ac.uk/dreq/u/e52807e8-dd83-11e5-9194-ac72891c3257.html","web")</f>
        <v>0</v>
      </c>
      <c r="H171" s="0" t="s">
        <v>562</v>
      </c>
      <c r="I171" s="0" t="s">
        <v>563</v>
      </c>
      <c r="J171" s="0" t="s">
        <v>564</v>
      </c>
      <c r="K171" s="0" t="s">
        <v>532</v>
      </c>
    </row>
    <row r="172" customFormat="false" ht="15" hidden="false" customHeight="false" outlineLevel="0" collapsed="false">
      <c r="A172" s="0" t="s">
        <v>465</v>
      </c>
      <c r="B172" s="0" t="s">
        <v>565</v>
      </c>
      <c r="C172" s="0" t="s">
        <v>60</v>
      </c>
      <c r="D172" s="0" t="s">
        <v>179</v>
      </c>
      <c r="E172" s="0" t="s">
        <v>149</v>
      </c>
      <c r="F172" s="0" t="s">
        <v>135</v>
      </c>
      <c r="G172" s="0" t="n">
        <f aca="false">HYPERLINK("http://clipc-services.ceda.ac.uk/dreq/u/e5287110-dd83-11e5-9194-ac72891c3257.html","web")</f>
        <v>0</v>
      </c>
      <c r="H172" s="0" t="s">
        <v>54</v>
      </c>
      <c r="I172" s="0" t="s">
        <v>45</v>
      </c>
      <c r="J172" s="0" t="s">
        <v>566</v>
      </c>
      <c r="K172" s="0" t="s">
        <v>532</v>
      </c>
    </row>
    <row r="173" customFormat="false" ht="15" hidden="false" customHeight="false" outlineLevel="0" collapsed="false">
      <c r="A173" s="0" t="s">
        <v>465</v>
      </c>
      <c r="B173" s="0" t="s">
        <v>567</v>
      </c>
      <c r="C173" s="0" t="s">
        <v>60</v>
      </c>
      <c r="D173" s="0" t="s">
        <v>179</v>
      </c>
      <c r="E173" s="0" t="s">
        <v>130</v>
      </c>
      <c r="F173" s="0" t="s">
        <v>135</v>
      </c>
      <c r="G173" s="0" t="n">
        <f aca="false">HYPERLINK("http://clipc-services.ceda.ac.uk/dreq/u/baf651d5dbd448df196faedae8a97b22.html","web")</f>
        <v>0</v>
      </c>
      <c r="H173" s="0" t="s">
        <v>568</v>
      </c>
      <c r="I173" s="0" t="s">
        <v>76</v>
      </c>
      <c r="J173" s="0" t="s">
        <v>569</v>
      </c>
      <c r="K173" s="0" t="s">
        <v>532</v>
      </c>
    </row>
    <row r="174" customFormat="false" ht="15" hidden="false" customHeight="false" outlineLevel="0" collapsed="false">
      <c r="A174" s="0" t="s">
        <v>465</v>
      </c>
      <c r="B174" s="0" t="s">
        <v>570</v>
      </c>
      <c r="C174" s="0" t="s">
        <v>60</v>
      </c>
      <c r="D174" s="0" t="s">
        <v>571</v>
      </c>
      <c r="E174" s="0" t="s">
        <v>572</v>
      </c>
      <c r="F174" s="0" t="s">
        <v>135</v>
      </c>
      <c r="G174" s="0" t="n">
        <f aca="false">HYPERLINK("http://clipc-services.ceda.ac.uk/dreq/u/5a17eb002c56c129c27f6e2b8e0c06d7.html","web")</f>
        <v>0</v>
      </c>
      <c r="H174" s="0" t="s">
        <v>75</v>
      </c>
      <c r="I174" s="0" t="s">
        <v>89</v>
      </c>
      <c r="J174" s="0" t="s">
        <v>573</v>
      </c>
      <c r="K174" s="0" t="s">
        <v>468</v>
      </c>
    </row>
    <row r="175" customFormat="false" ht="15" hidden="false" customHeight="false" outlineLevel="0" collapsed="false">
      <c r="A175" s="0" t="s">
        <v>465</v>
      </c>
      <c r="B175" s="0" t="s">
        <v>574</v>
      </c>
      <c r="C175" s="0" t="s">
        <v>60</v>
      </c>
      <c r="D175" s="0" t="s">
        <v>571</v>
      </c>
      <c r="E175" s="0" t="s">
        <v>575</v>
      </c>
      <c r="F175" s="0" t="s">
        <v>135</v>
      </c>
      <c r="G175" s="0" t="n">
        <f aca="false">HYPERLINK("http://clipc-services.ceda.ac.uk/dreq/u/600c9692a7eaef4037565fa8846ae6ba.html","web")</f>
        <v>0</v>
      </c>
      <c r="H175" s="0" t="s">
        <v>75</v>
      </c>
      <c r="I175" s="0" t="s">
        <v>89</v>
      </c>
      <c r="J175" s="0" t="s">
        <v>573</v>
      </c>
      <c r="K175" s="0" t="s">
        <v>468</v>
      </c>
    </row>
    <row r="176" customFormat="false" ht="15" hidden="false" customHeight="false" outlineLevel="0" collapsed="false">
      <c r="A176" s="0" t="s">
        <v>465</v>
      </c>
      <c r="B176" s="0" t="s">
        <v>576</v>
      </c>
      <c r="C176" s="0" t="s">
        <v>31</v>
      </c>
      <c r="D176" s="0" t="s">
        <v>571</v>
      </c>
      <c r="E176" s="0" t="s">
        <v>134</v>
      </c>
      <c r="F176" s="0" t="s">
        <v>135</v>
      </c>
      <c r="G176" s="0" t="n">
        <f aca="false">HYPERLINK("http://clipc-services.ceda.ac.uk/dreq/u/f43d7527cd48c992f075339b2bbbf9ef.html","web")</f>
        <v>0</v>
      </c>
      <c r="H176" s="0" t="s">
        <v>50</v>
      </c>
      <c r="I176" s="0" t="s">
        <v>45</v>
      </c>
      <c r="J176" s="0" t="s">
        <v>577</v>
      </c>
      <c r="K176" s="0" t="s">
        <v>547</v>
      </c>
    </row>
    <row r="177" customFormat="false" ht="15" hidden="false" customHeight="false" outlineLevel="0" collapsed="false">
      <c r="A177" s="0" t="s">
        <v>465</v>
      </c>
      <c r="B177" s="0" t="s">
        <v>578</v>
      </c>
      <c r="C177" s="0" t="s">
        <v>31</v>
      </c>
      <c r="D177" s="0" t="s">
        <v>579</v>
      </c>
      <c r="E177" s="0" t="s">
        <v>580</v>
      </c>
      <c r="F177" s="0" t="s">
        <v>197</v>
      </c>
      <c r="G177" s="0" t="n">
        <f aca="false">HYPERLINK("http://clipc-services.ceda.ac.uk/dreq/u/c972f264-c5f0-11e6-ac20-5404a60d96b5.html","web")</f>
        <v>0</v>
      </c>
      <c r="H177" s="0" t="s">
        <v>581</v>
      </c>
      <c r="I177" s="0" t="s">
        <v>45</v>
      </c>
      <c r="J177" s="0" t="s">
        <v>582</v>
      </c>
      <c r="K177" s="0" t="s">
        <v>468</v>
      </c>
    </row>
    <row r="178" customFormat="false" ht="15" hidden="false" customHeight="false" outlineLevel="0" collapsed="false">
      <c r="A178" s="0" t="s">
        <v>465</v>
      </c>
      <c r="B178" s="0" t="s">
        <v>583</v>
      </c>
      <c r="C178" s="0" t="s">
        <v>31</v>
      </c>
      <c r="D178" s="0" t="s">
        <v>579</v>
      </c>
      <c r="E178" s="0" t="s">
        <v>584</v>
      </c>
      <c r="F178" s="0" t="s">
        <v>197</v>
      </c>
      <c r="G178" s="0" t="n">
        <f aca="false">HYPERLINK("http://clipc-services.ceda.ac.uk/dreq/u/c972ffd4-c5f0-11e6-ac20-5404a60d96b5.html","web")</f>
        <v>0</v>
      </c>
      <c r="H178" s="0" t="s">
        <v>50</v>
      </c>
      <c r="I178" s="0" t="s">
        <v>45</v>
      </c>
      <c r="J178" s="0" t="s">
        <v>585</v>
      </c>
      <c r="K178" s="0" t="s">
        <v>468</v>
      </c>
    </row>
    <row r="179" customFormat="false" ht="15" hidden="false" customHeight="false" outlineLevel="0" collapsed="false">
      <c r="A179" s="0" t="s">
        <v>465</v>
      </c>
      <c r="B179" s="0" t="s">
        <v>178</v>
      </c>
      <c r="C179" s="0" t="s">
        <v>31</v>
      </c>
      <c r="D179" s="0" t="s">
        <v>579</v>
      </c>
      <c r="E179" s="0" t="s">
        <v>180</v>
      </c>
      <c r="F179" s="0" t="s">
        <v>181</v>
      </c>
      <c r="G179" s="0" t="n">
        <f aca="false">HYPERLINK("http://clipc-services.ceda.ac.uk/dreq/u/97c037c3357f24c4e06c07123224b400.html","web")</f>
        <v>0</v>
      </c>
      <c r="H179" s="0" t="s">
        <v>182</v>
      </c>
      <c r="I179" s="0" t="s">
        <v>137</v>
      </c>
      <c r="J179" s="0" t="s">
        <v>183</v>
      </c>
      <c r="K179" s="0" t="s">
        <v>468</v>
      </c>
    </row>
    <row r="180" customFormat="false" ht="15" hidden="false" customHeight="false" outlineLevel="0" collapsed="false">
      <c r="A180" s="0" t="s">
        <v>465</v>
      </c>
      <c r="B180" s="0" t="s">
        <v>184</v>
      </c>
      <c r="C180" s="0" t="s">
        <v>31</v>
      </c>
      <c r="D180" s="0" t="s">
        <v>579</v>
      </c>
      <c r="E180" s="0" t="s">
        <v>185</v>
      </c>
      <c r="F180" s="0" t="s">
        <v>181</v>
      </c>
      <c r="G180" s="0" t="n">
        <f aca="false">HYPERLINK("http://clipc-services.ceda.ac.uk/dreq/u/042e575e61a271e122d317ca7b39dcb4.html","web")</f>
        <v>0</v>
      </c>
      <c r="H180" s="0" t="s">
        <v>136</v>
      </c>
      <c r="I180" s="0" t="s">
        <v>137</v>
      </c>
      <c r="J180" s="0" t="s">
        <v>186</v>
      </c>
      <c r="K180" s="0" t="s">
        <v>468</v>
      </c>
    </row>
    <row r="181" customFormat="false" ht="15" hidden="false" customHeight="false" outlineLevel="0" collapsed="false">
      <c r="A181" s="0" t="s">
        <v>465</v>
      </c>
      <c r="B181" s="0" t="s">
        <v>187</v>
      </c>
      <c r="C181" s="0" t="s">
        <v>31</v>
      </c>
      <c r="D181" s="0" t="s">
        <v>579</v>
      </c>
      <c r="E181" s="0" t="s">
        <v>188</v>
      </c>
      <c r="F181" s="0" t="s">
        <v>181</v>
      </c>
      <c r="G181" s="0" t="n">
        <f aca="false">HYPERLINK("http://clipc-services.ceda.ac.uk/dreq/u/f36046ab9a8a24ce4d7431e2defd9cf6.html","web")</f>
        <v>0</v>
      </c>
      <c r="H181" s="0" t="s">
        <v>189</v>
      </c>
      <c r="I181" s="0" t="s">
        <v>137</v>
      </c>
      <c r="J181" s="0" t="s">
        <v>190</v>
      </c>
      <c r="K181" s="0" t="s">
        <v>468</v>
      </c>
    </row>
    <row r="182" customFormat="false" ht="15" hidden="false" customHeight="false" outlineLevel="0" collapsed="false">
      <c r="A182" s="0" t="s">
        <v>465</v>
      </c>
      <c r="B182" s="0" t="s">
        <v>191</v>
      </c>
      <c r="C182" s="0" t="s">
        <v>31</v>
      </c>
      <c r="D182" s="0" t="s">
        <v>579</v>
      </c>
      <c r="E182" s="0" t="s">
        <v>192</v>
      </c>
      <c r="F182" s="0" t="s">
        <v>181</v>
      </c>
      <c r="G182" s="0" t="n">
        <f aca="false">HYPERLINK("http://clipc-services.ceda.ac.uk/dreq/u/590e5b82-9e49-11e5-803c-0d0b866b59f3.html","web")</f>
        <v>0</v>
      </c>
      <c r="H182" s="0" t="s">
        <v>50</v>
      </c>
      <c r="I182" s="0" t="s">
        <v>45</v>
      </c>
      <c r="J182" s="0" t="s">
        <v>193</v>
      </c>
      <c r="K182" s="0" t="s">
        <v>586</v>
      </c>
    </row>
    <row r="183" customFormat="false" ht="15" hidden="false" customHeight="false" outlineLevel="0" collapsed="false">
      <c r="A183" s="0" t="s">
        <v>465</v>
      </c>
      <c r="B183" s="0" t="s">
        <v>587</v>
      </c>
      <c r="C183" s="0" t="s">
        <v>60</v>
      </c>
      <c r="D183" s="0" t="s">
        <v>579</v>
      </c>
      <c r="E183" s="0" t="s">
        <v>588</v>
      </c>
      <c r="F183" s="0" t="s">
        <v>135</v>
      </c>
      <c r="G183" s="0" t="n">
        <f aca="false">HYPERLINK("http://clipc-services.ceda.ac.uk/dreq/u/190f38cb06f9a1f3133c3dcf66e0421e.html","web")</f>
        <v>0</v>
      </c>
      <c r="H183" s="0" t="s">
        <v>136</v>
      </c>
      <c r="I183" s="0" t="s">
        <v>137</v>
      </c>
      <c r="J183" s="0" t="s">
        <v>589</v>
      </c>
      <c r="K183" s="0" t="s">
        <v>532</v>
      </c>
    </row>
    <row r="184" customFormat="false" ht="15" hidden="false" customHeight="false" outlineLevel="0" collapsed="false">
      <c r="A184" s="0" t="s">
        <v>465</v>
      </c>
      <c r="B184" s="0" t="s">
        <v>590</v>
      </c>
      <c r="C184" s="0" t="s">
        <v>60</v>
      </c>
      <c r="D184" s="0" t="s">
        <v>179</v>
      </c>
      <c r="E184" s="0" t="s">
        <v>591</v>
      </c>
      <c r="F184" s="0" t="s">
        <v>135</v>
      </c>
      <c r="G184" s="0" t="n">
        <f aca="false">HYPERLINK("http://clipc-services.ceda.ac.uk/dreq/u/ae3a674b4f541f95d2b05da4a84507e7.html","web")</f>
        <v>0</v>
      </c>
      <c r="H184" s="0" t="s">
        <v>75</v>
      </c>
      <c r="I184" s="0" t="s">
        <v>76</v>
      </c>
      <c r="J184" s="0" t="s">
        <v>592</v>
      </c>
      <c r="K184" s="0" t="s">
        <v>532</v>
      </c>
    </row>
    <row r="185" customFormat="false" ht="15" hidden="false" customHeight="false" outlineLevel="0" collapsed="false">
      <c r="A185" s="0" t="s">
        <v>465</v>
      </c>
      <c r="B185" s="0" t="s">
        <v>593</v>
      </c>
      <c r="C185" s="0" t="s">
        <v>60</v>
      </c>
      <c r="D185" s="0" t="s">
        <v>179</v>
      </c>
      <c r="E185" s="0" t="s">
        <v>594</v>
      </c>
      <c r="F185" s="0" t="s">
        <v>16</v>
      </c>
      <c r="G185" s="0" t="n">
        <f aca="false">HYPERLINK("http://clipc-services.ceda.ac.uk/dreq/u/7324bbd4b756759ef380f305fe5856b2.html","web")</f>
        <v>0</v>
      </c>
      <c r="H185" s="0" t="s">
        <v>75</v>
      </c>
      <c r="I185" s="0" t="s">
        <v>76</v>
      </c>
      <c r="J185" s="0" t="s">
        <v>595</v>
      </c>
      <c r="K185" s="0" t="s">
        <v>596</v>
      </c>
    </row>
    <row r="186" customFormat="false" ht="15" hidden="false" customHeight="false" outlineLevel="0" collapsed="false">
      <c r="A186" s="0" t="s">
        <v>465</v>
      </c>
      <c r="B186" s="0" t="s">
        <v>597</v>
      </c>
      <c r="C186" s="0" t="s">
        <v>60</v>
      </c>
      <c r="D186" s="0" t="s">
        <v>179</v>
      </c>
      <c r="E186" s="0" t="s">
        <v>598</v>
      </c>
      <c r="F186" s="0" t="s">
        <v>16</v>
      </c>
      <c r="G186" s="0" t="n">
        <f aca="false">HYPERLINK("http://clipc-services.ceda.ac.uk/dreq/u/f4b0302d898785a6003754fe9b097690.html","web")</f>
        <v>0</v>
      </c>
      <c r="H186" s="0" t="s">
        <v>75</v>
      </c>
      <c r="I186" s="0" t="s">
        <v>76</v>
      </c>
      <c r="J186" s="0" t="s">
        <v>599</v>
      </c>
      <c r="K186" s="0" t="s">
        <v>596</v>
      </c>
    </row>
    <row r="187" customFormat="false" ht="15" hidden="false" customHeight="false" outlineLevel="0" collapsed="false">
      <c r="A187" s="0" t="s">
        <v>465</v>
      </c>
      <c r="B187" s="0" t="s">
        <v>600</v>
      </c>
      <c r="C187" s="0" t="s">
        <v>60</v>
      </c>
      <c r="D187" s="0" t="s">
        <v>601</v>
      </c>
      <c r="E187" s="0" t="s">
        <v>602</v>
      </c>
      <c r="F187" s="0" t="s">
        <v>135</v>
      </c>
      <c r="G187" s="0" t="n">
        <f aca="false">HYPERLINK("http://clipc-services.ceda.ac.uk/dreq/u/1333394a296e7f8af6c9bad15cb9778d.html","web")</f>
        <v>0</v>
      </c>
      <c r="H187" s="0" t="s">
        <v>603</v>
      </c>
      <c r="I187" s="0" t="s">
        <v>18</v>
      </c>
      <c r="J187" s="0" t="s">
        <v>604</v>
      </c>
      <c r="K187" s="0" t="s">
        <v>532</v>
      </c>
    </row>
    <row r="188" customFormat="false" ht="15" hidden="false" customHeight="false" outlineLevel="0" collapsed="false">
      <c r="A188" s="0" t="s">
        <v>465</v>
      </c>
      <c r="B188" s="0" t="s">
        <v>605</v>
      </c>
      <c r="C188" s="0" t="s">
        <v>60</v>
      </c>
      <c r="D188" s="0" t="s">
        <v>601</v>
      </c>
      <c r="E188" s="0" t="s">
        <v>606</v>
      </c>
      <c r="F188" s="0" t="s">
        <v>135</v>
      </c>
      <c r="G188" s="0" t="n">
        <f aca="false">HYPERLINK("http://clipc-services.ceda.ac.uk/dreq/u/d3e6e20c91db32a83bcf3d8d8d9dafd3.html","web")</f>
        <v>0</v>
      </c>
      <c r="H188" s="0" t="s">
        <v>603</v>
      </c>
      <c r="I188" s="0" t="s">
        <v>18</v>
      </c>
      <c r="J188" s="0" t="s">
        <v>607</v>
      </c>
      <c r="K188" s="0" t="s">
        <v>468</v>
      </c>
    </row>
    <row r="189" customFormat="false" ht="15" hidden="false" customHeight="false" outlineLevel="0" collapsed="false">
      <c r="A189" s="0" t="s">
        <v>465</v>
      </c>
      <c r="B189" s="0" t="s">
        <v>608</v>
      </c>
      <c r="C189" s="0" t="s">
        <v>60</v>
      </c>
      <c r="D189" s="0" t="s">
        <v>601</v>
      </c>
      <c r="E189" s="0" t="s">
        <v>609</v>
      </c>
      <c r="F189" s="0" t="s">
        <v>135</v>
      </c>
      <c r="G189" s="0" t="n">
        <f aca="false">HYPERLINK("http://clipc-services.ceda.ac.uk/dreq/u/80a2832b0619764647393e3815ff399b.html","web")</f>
        <v>0</v>
      </c>
      <c r="H189" s="0" t="s">
        <v>603</v>
      </c>
      <c r="I189" s="0" t="s">
        <v>18</v>
      </c>
      <c r="J189" s="0" t="s">
        <v>610</v>
      </c>
      <c r="K189" s="0" t="s">
        <v>468</v>
      </c>
    </row>
    <row r="190" customFormat="false" ht="15" hidden="false" customHeight="false" outlineLevel="0" collapsed="false">
      <c r="A190" s="0" t="s">
        <v>465</v>
      </c>
      <c r="B190" s="0" t="s">
        <v>611</v>
      </c>
      <c r="C190" s="0" t="s">
        <v>60</v>
      </c>
      <c r="D190" s="0" t="s">
        <v>601</v>
      </c>
      <c r="E190" s="0" t="s">
        <v>612</v>
      </c>
      <c r="F190" s="0" t="s">
        <v>135</v>
      </c>
      <c r="G190" s="0" t="n">
        <f aca="false">HYPERLINK("http://clipc-services.ceda.ac.uk/dreq/u/df087f7801b9ca8b671eba159de9b6e7.html","web")</f>
        <v>0</v>
      </c>
      <c r="H190" s="0" t="s">
        <v>603</v>
      </c>
      <c r="I190" s="0" t="s">
        <v>18</v>
      </c>
      <c r="J190" s="0" t="s">
        <v>613</v>
      </c>
      <c r="K190" s="0" t="s">
        <v>468</v>
      </c>
    </row>
    <row r="191" customFormat="false" ht="15" hidden="false" customHeight="false" outlineLevel="0" collapsed="false">
      <c r="A191" s="0" t="s">
        <v>465</v>
      </c>
      <c r="B191" s="0" t="s">
        <v>614</v>
      </c>
      <c r="C191" s="0" t="s">
        <v>60</v>
      </c>
      <c r="D191" s="0" t="s">
        <v>601</v>
      </c>
      <c r="E191" s="0" t="s">
        <v>615</v>
      </c>
      <c r="F191" s="0" t="s">
        <v>135</v>
      </c>
      <c r="G191" s="0" t="n">
        <f aca="false">HYPERLINK("http://clipc-services.ceda.ac.uk/dreq/u/ee10c562c1164acf3bf03955dd6fc00d.html","web")</f>
        <v>0</v>
      </c>
      <c r="H191" s="0" t="s">
        <v>603</v>
      </c>
      <c r="I191" s="0" t="s">
        <v>18</v>
      </c>
      <c r="J191" s="0" t="s">
        <v>616</v>
      </c>
      <c r="K191" s="0" t="s">
        <v>468</v>
      </c>
    </row>
    <row r="192" customFormat="false" ht="15" hidden="false" customHeight="false" outlineLevel="0" collapsed="false">
      <c r="A192" s="0" t="s">
        <v>465</v>
      </c>
      <c r="B192" s="0" t="s">
        <v>617</v>
      </c>
      <c r="C192" s="0" t="s">
        <v>60</v>
      </c>
      <c r="D192" s="0" t="s">
        <v>601</v>
      </c>
      <c r="E192" s="0" t="s">
        <v>618</v>
      </c>
      <c r="F192" s="0" t="s">
        <v>135</v>
      </c>
      <c r="G192" s="0" t="n">
        <f aca="false">HYPERLINK("http://clipc-services.ceda.ac.uk/dreq/u/3e0c9853afc682db9a950cc5bc3c1c3a.html","web")</f>
        <v>0</v>
      </c>
      <c r="H192" s="0" t="s">
        <v>603</v>
      </c>
      <c r="I192" s="0" t="s">
        <v>18</v>
      </c>
      <c r="J192" s="0" t="s">
        <v>619</v>
      </c>
      <c r="K192" s="0" t="s">
        <v>532</v>
      </c>
    </row>
    <row r="193" customFormat="false" ht="15" hidden="false" customHeight="false" outlineLevel="0" collapsed="false">
      <c r="A193" s="0" t="s">
        <v>465</v>
      </c>
      <c r="B193" s="0" t="s">
        <v>40</v>
      </c>
      <c r="C193" s="0" t="s">
        <v>60</v>
      </c>
      <c r="D193" s="0" t="s">
        <v>41</v>
      </c>
      <c r="E193" s="0" t="s">
        <v>42</v>
      </c>
      <c r="F193" s="0" t="s">
        <v>43</v>
      </c>
      <c r="G193" s="0" t="n">
        <f aca="false">HYPERLINK("http://clipc-services.ceda.ac.uk/dreq/u/2fcdf51262cdbc4279810b7a487b149e.html","web")</f>
        <v>0</v>
      </c>
      <c r="H193" s="0" t="s">
        <v>44</v>
      </c>
      <c r="I193" s="0" t="s">
        <v>45</v>
      </c>
      <c r="J193" s="0" t="s">
        <v>46</v>
      </c>
      <c r="K193" s="0" t="s">
        <v>620</v>
      </c>
    </row>
    <row r="194" customFormat="false" ht="15" hidden="false" customHeight="false" outlineLevel="0" collapsed="false">
      <c r="A194" s="0" t="s">
        <v>465</v>
      </c>
      <c r="B194" s="0" t="s">
        <v>48</v>
      </c>
      <c r="C194" s="0" t="s">
        <v>60</v>
      </c>
      <c r="D194" s="0" t="s">
        <v>41</v>
      </c>
      <c r="E194" s="0" t="s">
        <v>49</v>
      </c>
      <c r="F194" s="0" t="s">
        <v>43</v>
      </c>
      <c r="G194" s="0" t="n">
        <f aca="false">HYPERLINK("http://clipc-services.ceda.ac.uk/dreq/u/55febff83b78e06576947e1c0e5b7a7d.html","web")</f>
        <v>0</v>
      </c>
      <c r="H194" s="0" t="s">
        <v>50</v>
      </c>
      <c r="I194" s="0" t="s">
        <v>45</v>
      </c>
      <c r="J194" s="0" t="s">
        <v>51</v>
      </c>
      <c r="K194" s="0" t="s">
        <v>621</v>
      </c>
    </row>
    <row r="195" customFormat="false" ht="15" hidden="false" customHeight="false" outlineLevel="0" collapsed="false">
      <c r="A195" s="0" t="s">
        <v>465</v>
      </c>
      <c r="B195" s="0" t="s">
        <v>52</v>
      </c>
      <c r="C195" s="0" t="s">
        <v>60</v>
      </c>
      <c r="D195" s="0" t="s">
        <v>41</v>
      </c>
      <c r="E195" s="0" t="s">
        <v>53</v>
      </c>
      <c r="F195" s="0" t="s">
        <v>43</v>
      </c>
      <c r="G195" s="0" t="n">
        <f aca="false">HYPERLINK("http://clipc-services.ceda.ac.uk/dreq/u/1391b0d99790cec6597b02ce4d7c5a67.html","web")</f>
        <v>0</v>
      </c>
      <c r="H195" s="0" t="s">
        <v>54</v>
      </c>
      <c r="I195" s="0" t="s">
        <v>45</v>
      </c>
      <c r="J195" s="0" t="s">
        <v>55</v>
      </c>
      <c r="K195" s="0" t="s">
        <v>620</v>
      </c>
    </row>
    <row r="196" customFormat="false" ht="15" hidden="false" customHeight="false" outlineLevel="0" collapsed="false">
      <c r="A196" s="0" t="s">
        <v>465</v>
      </c>
      <c r="B196" s="0" t="s">
        <v>56</v>
      </c>
      <c r="C196" s="0" t="s">
        <v>60</v>
      </c>
      <c r="D196" s="0" t="s">
        <v>41</v>
      </c>
      <c r="E196" s="0" t="s">
        <v>57</v>
      </c>
      <c r="F196" s="0" t="s">
        <v>43</v>
      </c>
      <c r="G196" s="0" t="n">
        <f aca="false">HYPERLINK("http://clipc-services.ceda.ac.uk/dreq/u/59175660-9e49-11e5-803c-0d0b866b59f3.html","web")</f>
        <v>0</v>
      </c>
      <c r="H196" s="0" t="s">
        <v>50</v>
      </c>
      <c r="I196" s="0" t="s">
        <v>45</v>
      </c>
      <c r="J196" s="0" t="s">
        <v>58</v>
      </c>
      <c r="K196" s="0" t="s">
        <v>622</v>
      </c>
    </row>
    <row r="197" customFormat="false" ht="15" hidden="false" customHeight="false" outlineLevel="0" collapsed="false">
      <c r="A197" s="0" t="s">
        <v>465</v>
      </c>
      <c r="B197" s="0" t="s">
        <v>59</v>
      </c>
      <c r="C197" s="0" t="s">
        <v>13</v>
      </c>
      <c r="D197" s="0" t="s">
        <v>41</v>
      </c>
      <c r="E197" s="0" t="s">
        <v>61</v>
      </c>
      <c r="F197" s="0" t="s">
        <v>43</v>
      </c>
      <c r="G197" s="0" t="n">
        <f aca="false">HYPERLINK("http://clipc-services.ceda.ac.uk/dreq/u/27ad2512525b0c42b7edd88f1dad5955.html","web")</f>
        <v>0</v>
      </c>
      <c r="H197" s="0" t="s">
        <v>54</v>
      </c>
      <c r="I197" s="0" t="s">
        <v>45</v>
      </c>
      <c r="J197" s="0" t="s">
        <v>62</v>
      </c>
      <c r="K197" s="0" t="s">
        <v>468</v>
      </c>
    </row>
    <row r="198" customFormat="false" ht="15" hidden="false" customHeight="false" outlineLevel="0" collapsed="false">
      <c r="A198" s="0" t="s">
        <v>465</v>
      </c>
      <c r="B198" s="0" t="s">
        <v>64</v>
      </c>
      <c r="C198" s="0" t="s">
        <v>13</v>
      </c>
      <c r="D198" s="0" t="s">
        <v>41</v>
      </c>
      <c r="E198" s="0" t="s">
        <v>65</v>
      </c>
      <c r="F198" s="0" t="s">
        <v>43</v>
      </c>
      <c r="G198" s="0" t="n">
        <f aca="false">HYPERLINK("http://clipc-services.ceda.ac.uk/dreq/u/a72a0bcf271db9db3a7fb9b7f3e7b93a.html","web")</f>
        <v>0</v>
      </c>
      <c r="H198" s="0" t="s">
        <v>54</v>
      </c>
      <c r="I198" s="0" t="s">
        <v>45</v>
      </c>
      <c r="J198" s="0" t="s">
        <v>66</v>
      </c>
      <c r="K198" s="0" t="s">
        <v>468</v>
      </c>
    </row>
    <row r="199" customFormat="false" ht="15" hidden="false" customHeight="false" outlineLevel="0" collapsed="false">
      <c r="A199" s="0" t="s">
        <v>465</v>
      </c>
      <c r="B199" s="0" t="s">
        <v>67</v>
      </c>
      <c r="C199" s="0" t="s">
        <v>13</v>
      </c>
      <c r="D199" s="0" t="s">
        <v>41</v>
      </c>
      <c r="E199" s="0" t="s">
        <v>68</v>
      </c>
      <c r="F199" s="0" t="s">
        <v>43</v>
      </c>
      <c r="G199" s="0" t="n">
        <f aca="false">HYPERLINK("http://clipc-services.ceda.ac.uk/dreq/u/ad7df7199759ad25164da83e37a6da17.html","web")</f>
        <v>0</v>
      </c>
      <c r="H199" s="0" t="s">
        <v>54</v>
      </c>
      <c r="I199" s="0" t="s">
        <v>45</v>
      </c>
      <c r="J199" s="0" t="s">
        <v>69</v>
      </c>
      <c r="K199" s="0" t="s">
        <v>468</v>
      </c>
    </row>
    <row r="200" customFormat="false" ht="15" hidden="false" customHeight="false" outlineLevel="0" collapsed="false">
      <c r="A200" s="0" t="s">
        <v>465</v>
      </c>
      <c r="B200" s="0" t="s">
        <v>70</v>
      </c>
      <c r="C200" s="0" t="s">
        <v>13</v>
      </c>
      <c r="D200" s="0" t="s">
        <v>41</v>
      </c>
      <c r="E200" s="0" t="s">
        <v>71</v>
      </c>
      <c r="F200" s="0" t="s">
        <v>43</v>
      </c>
      <c r="G200" s="0" t="n">
        <f aca="false">HYPERLINK("http://clipc-services.ceda.ac.uk/dreq/u/38c7aa97ad0f74e33dfd3f115124d04f.html","web")</f>
        <v>0</v>
      </c>
      <c r="H200" s="0" t="s">
        <v>54</v>
      </c>
      <c r="I200" s="0" t="s">
        <v>45</v>
      </c>
      <c r="J200" s="0" t="s">
        <v>72</v>
      </c>
      <c r="K200" s="0" t="s">
        <v>468</v>
      </c>
    </row>
    <row r="201" customFormat="false" ht="15" hidden="false" customHeight="false" outlineLevel="0" collapsed="false">
      <c r="A201" s="0" t="s">
        <v>465</v>
      </c>
      <c r="B201" s="0" t="s">
        <v>73</v>
      </c>
      <c r="C201" s="0" t="s">
        <v>13</v>
      </c>
      <c r="D201" s="0" t="s">
        <v>41</v>
      </c>
      <c r="E201" s="0" t="s">
        <v>74</v>
      </c>
      <c r="F201" s="0" t="s">
        <v>43</v>
      </c>
      <c r="G201" s="0" t="n">
        <f aca="false">HYPERLINK("http://clipc-services.ceda.ac.uk/dreq/u/3aa265a13ddf4caa82a8e1e3d4482f42.html","web")</f>
        <v>0</v>
      </c>
      <c r="H201" s="0" t="s">
        <v>75</v>
      </c>
      <c r="I201" s="0" t="s">
        <v>76</v>
      </c>
      <c r="J201" s="0" t="s">
        <v>77</v>
      </c>
      <c r="K201" s="0" t="s">
        <v>532</v>
      </c>
    </row>
    <row r="202" customFormat="false" ht="15" hidden="false" customHeight="false" outlineLevel="0" collapsed="false">
      <c r="A202" s="0" t="s">
        <v>465</v>
      </c>
      <c r="B202" s="0" t="s">
        <v>83</v>
      </c>
      <c r="C202" s="0" t="s">
        <v>13</v>
      </c>
      <c r="D202" s="0" t="s">
        <v>41</v>
      </c>
      <c r="E202" s="0" t="s">
        <v>84</v>
      </c>
      <c r="F202" s="0" t="s">
        <v>43</v>
      </c>
      <c r="G202" s="0" t="n">
        <f aca="false">HYPERLINK("http://clipc-services.ceda.ac.uk/dreq/u/c9776970-c5f0-11e6-ac20-5404a60d96b5.html","web")</f>
        <v>0</v>
      </c>
      <c r="H202" s="0" t="s">
        <v>54</v>
      </c>
      <c r="I202" s="0" t="s">
        <v>45</v>
      </c>
      <c r="J202" s="0" t="s">
        <v>85</v>
      </c>
      <c r="K202" s="0" t="s">
        <v>468</v>
      </c>
    </row>
    <row r="203" customFormat="false" ht="15" hidden="false" customHeight="false" outlineLevel="0" collapsed="false">
      <c r="A203" s="0" t="s">
        <v>465</v>
      </c>
      <c r="B203" s="0" t="s">
        <v>87</v>
      </c>
      <c r="C203" s="0" t="s">
        <v>60</v>
      </c>
      <c r="D203" s="0" t="s">
        <v>41</v>
      </c>
      <c r="E203" s="0" t="s">
        <v>88</v>
      </c>
      <c r="F203" s="0" t="s">
        <v>43</v>
      </c>
      <c r="G203" s="0" t="n">
        <f aca="false">HYPERLINK("http://clipc-services.ceda.ac.uk/dreq/u/ba20ea537eb672813c5a364655855b38.html","web")</f>
        <v>0</v>
      </c>
      <c r="H203" s="0" t="s">
        <v>75</v>
      </c>
      <c r="I203" s="0" t="s">
        <v>89</v>
      </c>
      <c r="J203" s="0" t="s">
        <v>90</v>
      </c>
      <c r="K203" s="0" t="s">
        <v>621</v>
      </c>
    </row>
    <row r="204" customFormat="false" ht="15" hidden="false" customHeight="false" outlineLevel="0" collapsed="false">
      <c r="A204" s="0" t="s">
        <v>465</v>
      </c>
      <c r="B204" s="0" t="s">
        <v>91</v>
      </c>
      <c r="C204" s="0" t="s">
        <v>60</v>
      </c>
      <c r="D204" s="0" t="s">
        <v>41</v>
      </c>
      <c r="E204" s="0" t="s">
        <v>92</v>
      </c>
      <c r="F204" s="0" t="s">
        <v>31</v>
      </c>
      <c r="G204" s="0" t="n">
        <f aca="false">HYPERLINK("http://clipc-services.ceda.ac.uk/dreq/u/c97004d2-c5f0-11e6-ac20-5404a60d96b5.html","web")</f>
        <v>0</v>
      </c>
      <c r="H204" s="0" t="s">
        <v>93</v>
      </c>
      <c r="I204" s="0" t="s">
        <v>45</v>
      </c>
      <c r="J204" s="0" t="s">
        <v>94</v>
      </c>
      <c r="K204" s="0" t="s">
        <v>623</v>
      </c>
    </row>
    <row r="205" customFormat="false" ht="15" hidden="false" customHeight="false" outlineLevel="0" collapsed="false">
      <c r="A205" s="0" t="s">
        <v>465</v>
      </c>
      <c r="B205" s="0" t="s">
        <v>95</v>
      </c>
      <c r="C205" s="0" t="s">
        <v>60</v>
      </c>
      <c r="D205" s="0" t="s">
        <v>41</v>
      </c>
      <c r="E205" s="0" t="s">
        <v>96</v>
      </c>
      <c r="F205" s="0" t="s">
        <v>31</v>
      </c>
      <c r="G205" s="0" t="n">
        <f aca="false">HYPERLINK("http://clipc-services.ceda.ac.uk/dreq/u/c977c2da-c5f0-11e6-ac20-5404a60d96b5.html","web")</f>
        <v>0</v>
      </c>
      <c r="H205" s="0" t="s">
        <v>50</v>
      </c>
      <c r="I205" s="0" t="s">
        <v>45</v>
      </c>
      <c r="J205" s="0" t="s">
        <v>97</v>
      </c>
      <c r="K205" s="0" t="s">
        <v>623</v>
      </c>
    </row>
    <row r="206" customFormat="false" ht="15" hidden="false" customHeight="false" outlineLevel="0" collapsed="false">
      <c r="A206" s="0" t="s">
        <v>465</v>
      </c>
      <c r="B206" s="0" t="s">
        <v>98</v>
      </c>
      <c r="C206" s="0" t="s">
        <v>60</v>
      </c>
      <c r="D206" s="0" t="s">
        <v>41</v>
      </c>
      <c r="E206" s="0" t="s">
        <v>99</v>
      </c>
      <c r="F206" s="0" t="s">
        <v>100</v>
      </c>
      <c r="G206" s="0" t="n">
        <f aca="false">HYPERLINK("http://clipc-services.ceda.ac.uk/dreq/u/171d617ceca8a4351f53d090c0ead89c.html","web")</f>
        <v>0</v>
      </c>
      <c r="H206" s="0" t="s">
        <v>101</v>
      </c>
      <c r="I206" s="0" t="s">
        <v>89</v>
      </c>
      <c r="J206" s="0" t="s">
        <v>102</v>
      </c>
      <c r="K206" s="0" t="s">
        <v>623</v>
      </c>
    </row>
    <row r="207" customFormat="false" ht="15" hidden="false" customHeight="false" outlineLevel="0" collapsed="false">
      <c r="A207" s="0" t="s">
        <v>465</v>
      </c>
      <c r="B207" s="0" t="s">
        <v>103</v>
      </c>
      <c r="C207" s="0" t="s">
        <v>60</v>
      </c>
      <c r="D207" s="0" t="s">
        <v>41</v>
      </c>
      <c r="E207" s="0" t="s">
        <v>104</v>
      </c>
      <c r="F207" s="0" t="s">
        <v>100</v>
      </c>
      <c r="G207" s="0" t="n">
        <f aca="false">HYPERLINK("http://clipc-services.ceda.ac.uk/dreq/u/df96c61c07957da1c4e8212f0553fa98.html","web")</f>
        <v>0</v>
      </c>
      <c r="H207" s="0" t="s">
        <v>101</v>
      </c>
      <c r="I207" s="0" t="s">
        <v>89</v>
      </c>
      <c r="J207" s="0" t="s">
        <v>105</v>
      </c>
      <c r="K207" s="0" t="s">
        <v>623</v>
      </c>
    </row>
    <row r="208" customFormat="false" ht="15" hidden="false" customHeight="false" outlineLevel="0" collapsed="false">
      <c r="A208" s="0" t="s">
        <v>465</v>
      </c>
      <c r="B208" s="0" t="s">
        <v>106</v>
      </c>
      <c r="C208" s="0" t="s">
        <v>60</v>
      </c>
      <c r="D208" s="0" t="s">
        <v>41</v>
      </c>
      <c r="E208" s="0" t="s">
        <v>107</v>
      </c>
      <c r="F208" s="0" t="s">
        <v>100</v>
      </c>
      <c r="G208" s="0" t="n">
        <f aca="false">HYPERLINK("http://clipc-services.ceda.ac.uk/dreq/u/edc3d019be9c383abbd82a4d5fad43ca.html","web")</f>
        <v>0</v>
      </c>
      <c r="H208" s="0" t="s">
        <v>101</v>
      </c>
      <c r="I208" s="0" t="s">
        <v>89</v>
      </c>
      <c r="J208" s="0" t="s">
        <v>108</v>
      </c>
      <c r="K208" s="0" t="s">
        <v>623</v>
      </c>
    </row>
    <row r="209" customFormat="false" ht="15" hidden="false" customHeight="false" outlineLevel="0" collapsed="false">
      <c r="A209" s="0" t="s">
        <v>465</v>
      </c>
      <c r="B209" s="0" t="s">
        <v>109</v>
      </c>
      <c r="C209" s="0" t="s">
        <v>60</v>
      </c>
      <c r="D209" s="0" t="s">
        <v>41</v>
      </c>
      <c r="E209" s="0" t="s">
        <v>110</v>
      </c>
      <c r="F209" s="0" t="s">
        <v>43</v>
      </c>
      <c r="G209" s="0" t="n">
        <f aca="false">HYPERLINK("http://clipc-services.ceda.ac.uk/dreq/u/14e5a31ac93e26c50f8c01ed9a032168.html","web")</f>
        <v>0</v>
      </c>
      <c r="H209" s="0" t="s">
        <v>101</v>
      </c>
      <c r="I209" s="0" t="s">
        <v>89</v>
      </c>
      <c r="J209" s="0" t="s">
        <v>111</v>
      </c>
      <c r="K209" s="0" t="s">
        <v>623</v>
      </c>
    </row>
    <row r="210" customFormat="false" ht="15" hidden="false" customHeight="false" outlineLevel="0" collapsed="false">
      <c r="A210" s="0" t="s">
        <v>465</v>
      </c>
      <c r="B210" s="0" t="s">
        <v>112</v>
      </c>
      <c r="C210" s="0" t="s">
        <v>60</v>
      </c>
      <c r="D210" s="0" t="s">
        <v>41</v>
      </c>
      <c r="E210" s="0" t="s">
        <v>113</v>
      </c>
      <c r="F210" s="0" t="s">
        <v>43</v>
      </c>
      <c r="G210" s="0" t="n">
        <f aca="false">HYPERLINK("http://clipc-services.ceda.ac.uk/dreq/u/562c99ff069851867df730ed9531c796.html","web")</f>
        <v>0</v>
      </c>
      <c r="H210" s="0" t="s">
        <v>101</v>
      </c>
      <c r="I210" s="0" t="s">
        <v>89</v>
      </c>
      <c r="J210" s="0" t="s">
        <v>114</v>
      </c>
      <c r="K210" s="0" t="s">
        <v>623</v>
      </c>
    </row>
    <row r="211" customFormat="false" ht="15" hidden="false" customHeight="false" outlineLevel="0" collapsed="false">
      <c r="A211" s="0" t="s">
        <v>465</v>
      </c>
      <c r="B211" s="0" t="s">
        <v>115</v>
      </c>
      <c r="C211" s="0" t="s">
        <v>60</v>
      </c>
      <c r="D211" s="0" t="s">
        <v>41</v>
      </c>
      <c r="E211" s="0" t="s">
        <v>116</v>
      </c>
      <c r="F211" s="0" t="s">
        <v>43</v>
      </c>
      <c r="G211" s="0" t="n">
        <f aca="false">HYPERLINK("http://clipc-services.ceda.ac.uk/dreq/u/80f337469efdd0d5392ad995a90fd15c.html","web")</f>
        <v>0</v>
      </c>
      <c r="H211" s="0" t="s">
        <v>101</v>
      </c>
      <c r="I211" s="0" t="s">
        <v>89</v>
      </c>
      <c r="J211" s="0" t="s">
        <v>117</v>
      </c>
      <c r="K211" s="0" t="s">
        <v>623</v>
      </c>
    </row>
    <row r="212" customFormat="false" ht="15" hidden="false" customHeight="false" outlineLevel="0" collapsed="false">
      <c r="A212" s="0" t="s">
        <v>465</v>
      </c>
      <c r="B212" s="0" t="s">
        <v>118</v>
      </c>
      <c r="C212" s="0" t="s">
        <v>60</v>
      </c>
      <c r="D212" s="0" t="s">
        <v>41</v>
      </c>
      <c r="E212" s="0" t="s">
        <v>119</v>
      </c>
      <c r="F212" s="0" t="s">
        <v>43</v>
      </c>
      <c r="G212" s="0" t="n">
        <f aca="false">HYPERLINK("http://clipc-services.ceda.ac.uk/dreq/u/1ae710e405acc14b368f55d9205be258.html","web")</f>
        <v>0</v>
      </c>
      <c r="H212" s="0" t="s">
        <v>101</v>
      </c>
      <c r="I212" s="0" t="s">
        <v>89</v>
      </c>
      <c r="J212" s="0" t="s">
        <v>120</v>
      </c>
      <c r="K212" s="0" t="s">
        <v>623</v>
      </c>
    </row>
    <row r="213" customFormat="false" ht="15" hidden="false" customHeight="false" outlineLevel="0" collapsed="false">
      <c r="A213" s="0" t="s">
        <v>465</v>
      </c>
      <c r="B213" s="0" t="s">
        <v>126</v>
      </c>
      <c r="C213" s="0" t="s">
        <v>13</v>
      </c>
      <c r="D213" s="0" t="s">
        <v>41</v>
      </c>
      <c r="E213" s="0" t="s">
        <v>127</v>
      </c>
      <c r="F213" s="0" t="s">
        <v>43</v>
      </c>
      <c r="G213" s="0" t="n">
        <f aca="false">HYPERLINK("http://clipc-services.ceda.ac.uk/dreq/u/065edaa295c376f0e9bc1985bc3f491c.html","web")</f>
        <v>0</v>
      </c>
      <c r="H213" s="0" t="s">
        <v>54</v>
      </c>
      <c r="I213" s="0" t="s">
        <v>45</v>
      </c>
      <c r="J213" s="0" t="s">
        <v>128</v>
      </c>
      <c r="K213" s="0" t="s">
        <v>468</v>
      </c>
    </row>
    <row r="215" customFormat="false" ht="15" hidden="false" customHeight="false" outlineLevel="0" collapsed="false">
      <c r="A215" s="0" t="s">
        <v>624</v>
      </c>
      <c r="B215" s="0" t="s">
        <v>625</v>
      </c>
      <c r="C215" s="0" t="s">
        <v>31</v>
      </c>
      <c r="D215" s="0" t="s">
        <v>228</v>
      </c>
      <c r="E215" s="0" t="s">
        <v>626</v>
      </c>
      <c r="F215" s="0" t="s">
        <v>314</v>
      </c>
      <c r="G215" s="0" t="n">
        <f aca="false">HYPERLINK("http://clipc-services.ceda.ac.uk/dreq/u/00efa75221917486576896481325ce2f.html","web")</f>
        <v>0</v>
      </c>
      <c r="H215" s="0" t="s">
        <v>627</v>
      </c>
      <c r="I215" s="0" t="s">
        <v>36</v>
      </c>
      <c r="J215" s="0" t="s">
        <v>628</v>
      </c>
      <c r="K215" s="0" t="s">
        <v>629</v>
      </c>
    </row>
    <row r="216" customFormat="false" ht="15" hidden="false" customHeight="false" outlineLevel="0" collapsed="false">
      <c r="A216" s="0" t="s">
        <v>624</v>
      </c>
      <c r="B216" s="0" t="s">
        <v>630</v>
      </c>
      <c r="C216" s="0" t="s">
        <v>31</v>
      </c>
      <c r="D216" s="0" t="s">
        <v>228</v>
      </c>
      <c r="E216" s="0" t="s">
        <v>631</v>
      </c>
      <c r="F216" s="0" t="s">
        <v>328</v>
      </c>
      <c r="G216" s="0" t="n">
        <f aca="false">HYPERLINK("http://clipc-services.ceda.ac.uk/dreq/u/59137fd6-9e49-11e5-803c-0d0b866b59f3.html","web")</f>
        <v>0</v>
      </c>
      <c r="H216" s="0" t="s">
        <v>632</v>
      </c>
      <c r="I216" s="0" t="s">
        <v>36</v>
      </c>
      <c r="J216" s="0" t="s">
        <v>633</v>
      </c>
      <c r="K216" s="0" t="s">
        <v>629</v>
      </c>
    </row>
    <row r="217" customFormat="false" ht="15" hidden="false" customHeight="false" outlineLevel="0" collapsed="false">
      <c r="A217" s="0" t="s">
        <v>624</v>
      </c>
      <c r="B217" s="0" t="s">
        <v>634</v>
      </c>
      <c r="C217" s="0" t="s">
        <v>31</v>
      </c>
      <c r="D217" s="0" t="s">
        <v>228</v>
      </c>
      <c r="E217" s="0" t="s">
        <v>635</v>
      </c>
      <c r="F217" s="0" t="s">
        <v>328</v>
      </c>
      <c r="G217" s="0" t="n">
        <f aca="false">HYPERLINK("http://clipc-services.ceda.ac.uk/dreq/u/59137d56-9e49-11e5-803c-0d0b866b59f3.html","web")</f>
        <v>0</v>
      </c>
      <c r="H217" s="0" t="s">
        <v>636</v>
      </c>
      <c r="I217" s="0" t="s">
        <v>36</v>
      </c>
      <c r="J217" s="0" t="s">
        <v>637</v>
      </c>
      <c r="K217" s="0" t="s">
        <v>629</v>
      </c>
    </row>
    <row r="218" customFormat="false" ht="15" hidden="false" customHeight="false" outlineLevel="0" collapsed="false">
      <c r="A218" s="0" t="s">
        <v>624</v>
      </c>
      <c r="B218" s="0" t="s">
        <v>638</v>
      </c>
      <c r="C218" s="0" t="s">
        <v>31</v>
      </c>
      <c r="D218" s="0" t="s">
        <v>228</v>
      </c>
      <c r="E218" s="0" t="s">
        <v>639</v>
      </c>
      <c r="F218" s="0" t="s">
        <v>131</v>
      </c>
      <c r="G218" s="0" t="n">
        <f aca="false">HYPERLINK("http://clipc-services.ceda.ac.uk/dreq/u/5917ff52-9e49-11e5-803c-0d0b866b59f3.html","web")</f>
        <v>0</v>
      </c>
      <c r="H218" s="0" t="s">
        <v>636</v>
      </c>
      <c r="I218" s="0" t="s">
        <v>36</v>
      </c>
      <c r="J218" s="0" t="s">
        <v>640</v>
      </c>
      <c r="K218" s="0" t="s">
        <v>629</v>
      </c>
    </row>
    <row r="219" customFormat="false" ht="15" hidden="false" customHeight="false" outlineLevel="0" collapsed="false">
      <c r="A219" s="0" t="s">
        <v>624</v>
      </c>
      <c r="B219" s="0" t="s">
        <v>641</v>
      </c>
      <c r="C219" s="0" t="s">
        <v>31</v>
      </c>
      <c r="D219" s="0" t="s">
        <v>228</v>
      </c>
      <c r="E219" s="0" t="s">
        <v>642</v>
      </c>
      <c r="F219" s="0" t="s">
        <v>131</v>
      </c>
      <c r="G219" s="0" t="n">
        <f aca="false">HYPERLINK("http://clipc-services.ceda.ac.uk/dreq/u/590db8c6-9e49-11e5-803c-0d0b866b59f3.html","web")</f>
        <v>0</v>
      </c>
      <c r="H219" s="0" t="s">
        <v>636</v>
      </c>
      <c r="I219" s="0" t="s">
        <v>36</v>
      </c>
      <c r="J219" s="0" t="s">
        <v>643</v>
      </c>
      <c r="K219" s="0" t="s">
        <v>629</v>
      </c>
    </row>
    <row r="220" customFormat="false" ht="15" hidden="false" customHeight="false" outlineLevel="0" collapsed="false">
      <c r="A220" s="0" t="s">
        <v>624</v>
      </c>
      <c r="B220" s="0" t="s">
        <v>644</v>
      </c>
      <c r="C220" s="0" t="s">
        <v>31</v>
      </c>
      <c r="D220" s="0" t="s">
        <v>228</v>
      </c>
      <c r="E220" s="0" t="s">
        <v>645</v>
      </c>
      <c r="F220" s="0" t="s">
        <v>646</v>
      </c>
      <c r="G220" s="0" t="n">
        <f aca="false">HYPERLINK("http://clipc-services.ceda.ac.uk/dreq/u/e51c1fc2-00a7-11e6-a8a4-5404a60d96b5.html","web")</f>
        <v>0</v>
      </c>
      <c r="H220" s="0" t="s">
        <v>636</v>
      </c>
      <c r="I220" s="0" t="s">
        <v>36</v>
      </c>
      <c r="J220" s="0" t="s">
        <v>647</v>
      </c>
      <c r="K220" s="0" t="s">
        <v>629</v>
      </c>
    </row>
    <row r="221" customFormat="false" ht="15" hidden="false" customHeight="false" outlineLevel="0" collapsed="false">
      <c r="A221" s="0" t="s">
        <v>624</v>
      </c>
      <c r="B221" s="0" t="s">
        <v>318</v>
      </c>
      <c r="C221" s="0" t="s">
        <v>31</v>
      </c>
      <c r="D221" s="0" t="s">
        <v>228</v>
      </c>
      <c r="E221" s="0" t="s">
        <v>319</v>
      </c>
      <c r="F221" s="0" t="s">
        <v>314</v>
      </c>
      <c r="G221" s="0" t="n">
        <f aca="false">HYPERLINK("http://clipc-services.ceda.ac.uk/dreq/u/621681bc7c376de66228fdde13b97516.html","web")</f>
        <v>0</v>
      </c>
      <c r="H221" s="0" t="s">
        <v>320</v>
      </c>
      <c r="I221" s="0" t="s">
        <v>36</v>
      </c>
      <c r="J221" s="0" t="s">
        <v>321</v>
      </c>
      <c r="K221" s="0" t="s">
        <v>648</v>
      </c>
    </row>
    <row r="222" customFormat="false" ht="15" hidden="false" customHeight="false" outlineLevel="0" collapsed="false">
      <c r="A222" s="0" t="s">
        <v>624</v>
      </c>
      <c r="B222" s="0" t="s">
        <v>649</v>
      </c>
      <c r="C222" s="0" t="s">
        <v>60</v>
      </c>
      <c r="D222" s="0" t="s">
        <v>228</v>
      </c>
      <c r="E222" s="0" t="s">
        <v>650</v>
      </c>
      <c r="F222" s="0" t="s">
        <v>314</v>
      </c>
      <c r="G222" s="0" t="n">
        <f aca="false">HYPERLINK("http://clipc-services.ceda.ac.uk/dreq/u/5917483c-9e49-11e5-803c-0d0b866b59f3.html","web")</f>
        <v>0</v>
      </c>
      <c r="H222" s="0" t="s">
        <v>651</v>
      </c>
      <c r="I222" s="0" t="s">
        <v>36</v>
      </c>
      <c r="J222" s="0" t="s">
        <v>652</v>
      </c>
      <c r="K222" s="0" t="s">
        <v>648</v>
      </c>
    </row>
    <row r="223" customFormat="false" ht="15" hidden="false" customHeight="false" outlineLevel="0" collapsed="false">
      <c r="A223" s="0" t="s">
        <v>624</v>
      </c>
      <c r="B223" s="0" t="s">
        <v>653</v>
      </c>
      <c r="C223" s="0" t="s">
        <v>60</v>
      </c>
      <c r="D223" s="0" t="s">
        <v>228</v>
      </c>
      <c r="E223" s="0" t="s">
        <v>654</v>
      </c>
      <c r="F223" s="0" t="s">
        <v>314</v>
      </c>
      <c r="G223" s="0" t="n">
        <f aca="false">HYPERLINK("http://clipc-services.ceda.ac.uk/dreq/u/59173c0c-9e49-11e5-803c-0d0b866b59f3.html","web")</f>
        <v>0</v>
      </c>
      <c r="H223" s="0" t="s">
        <v>651</v>
      </c>
      <c r="I223" s="0" t="s">
        <v>36</v>
      </c>
      <c r="J223" s="0" t="s">
        <v>655</v>
      </c>
      <c r="K223" s="0" t="s">
        <v>648</v>
      </c>
    </row>
    <row r="224" customFormat="false" ht="15" hidden="false" customHeight="false" outlineLevel="0" collapsed="false">
      <c r="A224" s="0" t="s">
        <v>624</v>
      </c>
      <c r="B224" s="0" t="s">
        <v>656</v>
      </c>
      <c r="C224" s="0" t="s">
        <v>31</v>
      </c>
      <c r="D224" s="0" t="s">
        <v>228</v>
      </c>
      <c r="E224" s="0" t="s">
        <v>657</v>
      </c>
      <c r="F224" s="0" t="s">
        <v>314</v>
      </c>
      <c r="G224" s="0" t="n">
        <f aca="false">HYPERLINK("http://clipc-services.ceda.ac.uk/dreq/u/59170a02-9e49-11e5-803c-0d0b866b59f3.html","web")</f>
        <v>0</v>
      </c>
      <c r="H224" s="0" t="s">
        <v>231</v>
      </c>
      <c r="I224" s="0" t="s">
        <v>204</v>
      </c>
      <c r="J224" s="0" t="s">
        <v>658</v>
      </c>
      <c r="K224" s="0" t="s">
        <v>648</v>
      </c>
    </row>
    <row r="225" customFormat="false" ht="15" hidden="false" customHeight="false" outlineLevel="0" collapsed="false">
      <c r="A225" s="0" t="s">
        <v>624</v>
      </c>
      <c r="B225" s="0" t="s">
        <v>659</v>
      </c>
      <c r="C225" s="0" t="s">
        <v>31</v>
      </c>
      <c r="D225" s="0" t="s">
        <v>228</v>
      </c>
      <c r="E225" s="0" t="s">
        <v>660</v>
      </c>
      <c r="F225" s="0" t="s">
        <v>314</v>
      </c>
      <c r="G225" s="0" t="n">
        <f aca="false">HYPERLINK("http://clipc-services.ceda.ac.uk/dreq/u/5913d86e-9e49-11e5-803c-0d0b866b59f3.html","web")</f>
        <v>0</v>
      </c>
      <c r="H225" s="0" t="s">
        <v>231</v>
      </c>
      <c r="I225" s="0" t="s">
        <v>204</v>
      </c>
      <c r="J225" s="0" t="s">
        <v>661</v>
      </c>
      <c r="K225" s="0" t="s">
        <v>648</v>
      </c>
    </row>
    <row r="226" customFormat="false" ht="15" hidden="false" customHeight="false" outlineLevel="0" collapsed="false">
      <c r="A226" s="0" t="s">
        <v>624</v>
      </c>
      <c r="B226" s="0" t="s">
        <v>662</v>
      </c>
      <c r="C226" s="0" t="s">
        <v>31</v>
      </c>
      <c r="D226" s="0" t="s">
        <v>228</v>
      </c>
      <c r="E226" s="0" t="s">
        <v>663</v>
      </c>
      <c r="F226" s="0" t="s">
        <v>314</v>
      </c>
      <c r="G226" s="0" t="n">
        <f aca="false">HYPERLINK("http://clipc-services.ceda.ac.uk/dreq/u/5913d602-9e49-11e5-803c-0d0b866b59f3.html","web")</f>
        <v>0</v>
      </c>
      <c r="H226" s="0" t="s">
        <v>231</v>
      </c>
      <c r="I226" s="0" t="s">
        <v>204</v>
      </c>
      <c r="J226" s="0" t="s">
        <v>664</v>
      </c>
      <c r="K226" s="0" t="s">
        <v>648</v>
      </c>
    </row>
    <row r="227" customFormat="false" ht="15" hidden="false" customHeight="false" outlineLevel="0" collapsed="false">
      <c r="A227" s="0" t="s">
        <v>624</v>
      </c>
      <c r="B227" s="0" t="s">
        <v>241</v>
      </c>
      <c r="C227" s="0" t="s">
        <v>31</v>
      </c>
      <c r="D227" s="0" t="s">
        <v>228</v>
      </c>
      <c r="E227" s="0" t="s">
        <v>242</v>
      </c>
      <c r="F227" s="0" t="s">
        <v>239</v>
      </c>
      <c r="G227" s="0" t="n">
        <f aca="false">HYPERLINK("http://clipc-services.ceda.ac.uk/dreq/u/85631e0f7a8fdcb10737a525f4134181.html","web")</f>
        <v>0</v>
      </c>
      <c r="H227" s="0" t="s">
        <v>231</v>
      </c>
      <c r="I227" s="0" t="s">
        <v>36</v>
      </c>
      <c r="J227" s="0" t="s">
        <v>243</v>
      </c>
      <c r="K227" s="0" t="s">
        <v>665</v>
      </c>
    </row>
    <row r="228" customFormat="false" ht="15" hidden="false" customHeight="false" outlineLevel="0" collapsed="false">
      <c r="A228" s="0" t="s">
        <v>624</v>
      </c>
      <c r="B228" s="0" t="s">
        <v>237</v>
      </c>
      <c r="C228" s="0" t="s">
        <v>13</v>
      </c>
      <c r="D228" s="0" t="s">
        <v>228</v>
      </c>
      <c r="E228" s="0" t="s">
        <v>238</v>
      </c>
      <c r="F228" s="0" t="s">
        <v>239</v>
      </c>
      <c r="G228" s="0" t="n">
        <f aca="false">HYPERLINK("http://clipc-services.ceda.ac.uk/dreq/u/9522ca96d0b066ebe8defd5541de0582.html","web")</f>
        <v>0</v>
      </c>
      <c r="H228" s="0" t="s">
        <v>231</v>
      </c>
      <c r="I228" s="0" t="s">
        <v>36</v>
      </c>
      <c r="J228" s="0" t="s">
        <v>240</v>
      </c>
      <c r="K228" s="0" t="s">
        <v>665</v>
      </c>
    </row>
    <row r="229" customFormat="false" ht="15" hidden="false" customHeight="false" outlineLevel="0" collapsed="false">
      <c r="A229" s="0" t="s">
        <v>624</v>
      </c>
      <c r="B229" s="0" t="s">
        <v>244</v>
      </c>
      <c r="C229" s="0" t="s">
        <v>13</v>
      </c>
      <c r="D229" s="0" t="s">
        <v>228</v>
      </c>
      <c r="E229" s="0" t="s">
        <v>245</v>
      </c>
      <c r="F229" s="0" t="s">
        <v>246</v>
      </c>
      <c r="G229" s="0" t="n">
        <f aca="false">HYPERLINK("http://clipc-services.ceda.ac.uk/dreq/u/590fa2bc-9e49-11e5-803c-0d0b866b59f3.html","web")</f>
        <v>0</v>
      </c>
      <c r="H229" s="0" t="s">
        <v>231</v>
      </c>
      <c r="I229" s="0" t="s">
        <v>36</v>
      </c>
      <c r="J229" s="0" t="s">
        <v>247</v>
      </c>
      <c r="K229" s="0" t="s">
        <v>665</v>
      </c>
    </row>
    <row r="230" customFormat="false" ht="15" hidden="false" customHeight="false" outlineLevel="0" collapsed="false">
      <c r="A230" s="0" t="s">
        <v>624</v>
      </c>
      <c r="B230" s="0" t="s">
        <v>227</v>
      </c>
      <c r="C230" s="0" t="s">
        <v>13</v>
      </c>
      <c r="D230" s="0" t="s">
        <v>228</v>
      </c>
      <c r="E230" s="0" t="s">
        <v>229</v>
      </c>
      <c r="F230" s="0" t="s">
        <v>230</v>
      </c>
      <c r="G230" s="0" t="n">
        <f aca="false">HYPERLINK("http://clipc-services.ceda.ac.uk/dreq/u/ba7be4134a9cf4838434bf204d80b903.html","web")</f>
        <v>0</v>
      </c>
      <c r="H230" s="0" t="s">
        <v>231</v>
      </c>
      <c r="I230" s="0" t="s">
        <v>36</v>
      </c>
      <c r="J230" s="0" t="s">
        <v>232</v>
      </c>
      <c r="K230" s="0" t="s">
        <v>665</v>
      </c>
    </row>
    <row r="231" customFormat="false" ht="15" hidden="false" customHeight="false" outlineLevel="0" collapsed="false">
      <c r="A231" s="0" t="s">
        <v>624</v>
      </c>
      <c r="B231" s="0" t="s">
        <v>234</v>
      </c>
      <c r="C231" s="0" t="s">
        <v>13</v>
      </c>
      <c r="D231" s="0" t="s">
        <v>228</v>
      </c>
      <c r="E231" s="0" t="s">
        <v>235</v>
      </c>
      <c r="F231" s="0" t="s">
        <v>230</v>
      </c>
      <c r="G231" s="0" t="n">
        <f aca="false">HYPERLINK("http://clipc-services.ceda.ac.uk/dreq/u/c64364df884a3cebaa7aebb664260776.html","web")</f>
        <v>0</v>
      </c>
      <c r="H231" s="0" t="s">
        <v>231</v>
      </c>
      <c r="I231" s="0" t="s">
        <v>36</v>
      </c>
      <c r="J231" s="0" t="s">
        <v>236</v>
      </c>
      <c r="K231" s="0" t="s">
        <v>665</v>
      </c>
    </row>
    <row r="232" customFormat="false" ht="15" hidden="false" customHeight="false" outlineLevel="0" collapsed="false">
      <c r="A232" s="0" t="s">
        <v>624</v>
      </c>
      <c r="B232" s="0" t="s">
        <v>252</v>
      </c>
      <c r="C232" s="0" t="s">
        <v>13</v>
      </c>
      <c r="D232" s="0" t="s">
        <v>228</v>
      </c>
      <c r="E232" s="0" t="s">
        <v>253</v>
      </c>
      <c r="F232" s="0" t="s">
        <v>246</v>
      </c>
      <c r="G232" s="0" t="n">
        <f aca="false">HYPERLINK("http://clipc-services.ceda.ac.uk/dreq/u/590e85a8-9e49-11e5-803c-0d0b866b59f3.html","web")</f>
        <v>0</v>
      </c>
      <c r="H232" s="0" t="s">
        <v>250</v>
      </c>
      <c r="I232" s="0" t="s">
        <v>36</v>
      </c>
      <c r="J232" s="0" t="s">
        <v>254</v>
      </c>
      <c r="K232" s="0" t="s">
        <v>666</v>
      </c>
    </row>
    <row r="234" customFormat="false" ht="15" hidden="false" customHeight="false" outlineLevel="0" collapsed="false">
      <c r="A234" s="0" t="s">
        <v>667</v>
      </c>
      <c r="B234" s="0" t="s">
        <v>195</v>
      </c>
      <c r="C234" s="0" t="s">
        <v>31</v>
      </c>
      <c r="D234" s="0" t="s">
        <v>179</v>
      </c>
      <c r="E234" s="0" t="s">
        <v>196</v>
      </c>
      <c r="F234" s="0" t="s">
        <v>197</v>
      </c>
      <c r="G234" s="0" t="n">
        <f aca="false">HYPERLINK("http://clipc-services.ceda.ac.uk/dreq/u/13484743dd3369c69df93379e6dafbb5.html","web")</f>
        <v>0</v>
      </c>
      <c r="H234" s="0" t="s">
        <v>198</v>
      </c>
      <c r="J234" s="0" t="s">
        <v>199</v>
      </c>
      <c r="K234" s="0" t="s">
        <v>668</v>
      </c>
    </row>
    <row r="235" customFormat="false" ht="15" hidden="false" customHeight="false" outlineLevel="0" collapsed="false">
      <c r="A235" s="0" t="s">
        <v>667</v>
      </c>
      <c r="B235" s="0" t="s">
        <v>201</v>
      </c>
      <c r="C235" s="0" t="s">
        <v>31</v>
      </c>
      <c r="D235" s="0" t="s">
        <v>179</v>
      </c>
      <c r="E235" s="0" t="s">
        <v>202</v>
      </c>
      <c r="F235" s="0" t="s">
        <v>197</v>
      </c>
      <c r="G235" s="0" t="n">
        <f aca="false">HYPERLINK("http://clipc-services.ceda.ac.uk/dreq/u/0062272a6a4176b8c32af87642b062c5.html","web")</f>
        <v>0</v>
      </c>
      <c r="H235" s="0" t="s">
        <v>203</v>
      </c>
      <c r="I235" s="0" t="s">
        <v>204</v>
      </c>
      <c r="J235" s="0" t="s">
        <v>205</v>
      </c>
      <c r="K235" s="0" t="s">
        <v>668</v>
      </c>
    </row>
    <row r="236" customFormat="false" ht="15" hidden="false" customHeight="false" outlineLevel="0" collapsed="false">
      <c r="A236" s="0" t="s">
        <v>667</v>
      </c>
      <c r="B236" s="0" t="s">
        <v>346</v>
      </c>
      <c r="C236" s="0" t="s">
        <v>31</v>
      </c>
      <c r="D236" s="0" t="s">
        <v>179</v>
      </c>
      <c r="E236" s="0" t="s">
        <v>347</v>
      </c>
      <c r="F236" s="0" t="s">
        <v>31</v>
      </c>
      <c r="G236" s="0" t="n">
        <f aca="false">HYPERLINK("http://clipc-services.ceda.ac.uk/dreq/u/29fae9ea0f236a3eb144026e1bafde28.html","web")</f>
        <v>0</v>
      </c>
      <c r="H236" s="0" t="s">
        <v>348</v>
      </c>
      <c r="I236" s="0" t="s">
        <v>349</v>
      </c>
      <c r="J236" s="0" t="s">
        <v>350</v>
      </c>
      <c r="K236" s="0" t="s">
        <v>669</v>
      </c>
    </row>
    <row r="237" customFormat="false" ht="15" hidden="false" customHeight="false" outlineLevel="0" collapsed="false">
      <c r="A237" s="0" t="s">
        <v>667</v>
      </c>
      <c r="B237" s="0" t="s">
        <v>351</v>
      </c>
      <c r="C237" s="0" t="s">
        <v>31</v>
      </c>
      <c r="D237" s="0" t="s">
        <v>179</v>
      </c>
      <c r="E237" s="0" t="s">
        <v>352</v>
      </c>
      <c r="F237" s="0" t="s">
        <v>31</v>
      </c>
      <c r="G237" s="0" t="n">
        <f aca="false">HYPERLINK("http://clipc-services.ceda.ac.uk/dreq/u/8de0f30b91b15720398fc10fd712a182.html","web")</f>
        <v>0</v>
      </c>
      <c r="H237" s="0" t="s">
        <v>348</v>
      </c>
      <c r="I237" s="0" t="s">
        <v>204</v>
      </c>
      <c r="J237" s="0" t="s">
        <v>353</v>
      </c>
      <c r="K237" s="0" t="s">
        <v>670</v>
      </c>
    </row>
    <row r="238" customFormat="false" ht="15" hidden="false" customHeight="false" outlineLevel="0" collapsed="false">
      <c r="A238" s="0" t="s">
        <v>667</v>
      </c>
      <c r="B238" s="0" t="s">
        <v>354</v>
      </c>
      <c r="C238" s="0" t="s">
        <v>31</v>
      </c>
      <c r="D238" s="0" t="s">
        <v>179</v>
      </c>
      <c r="E238" s="0" t="s">
        <v>355</v>
      </c>
      <c r="F238" s="0" t="s">
        <v>181</v>
      </c>
      <c r="G238" s="0" t="n">
        <f aca="false">HYPERLINK("http://clipc-services.ceda.ac.uk/dreq/u/5e49c0b73ac161d5e5dd05173416c400.html","web")</f>
        <v>0</v>
      </c>
      <c r="H238" s="0" t="s">
        <v>356</v>
      </c>
      <c r="I238" s="0" t="s">
        <v>357</v>
      </c>
      <c r="J238" s="0" t="s">
        <v>358</v>
      </c>
      <c r="K238" s="0" t="s">
        <v>671</v>
      </c>
    </row>
    <row r="239" customFormat="false" ht="15" hidden="false" customHeight="false" outlineLevel="0" collapsed="false">
      <c r="A239" s="0" t="s">
        <v>667</v>
      </c>
      <c r="B239" s="0" t="s">
        <v>206</v>
      </c>
      <c r="C239" s="0" t="s">
        <v>31</v>
      </c>
      <c r="D239" s="0" t="s">
        <v>207</v>
      </c>
      <c r="E239" s="0" t="s">
        <v>208</v>
      </c>
      <c r="F239" s="0" t="s">
        <v>181</v>
      </c>
      <c r="G239" s="0" t="n">
        <f aca="false">HYPERLINK("http://clipc-services.ceda.ac.uk/dreq/u/6d790fe4caa7feff46a41ae7b3811e52.html","web")</f>
        <v>0</v>
      </c>
      <c r="H239" s="0" t="s">
        <v>209</v>
      </c>
      <c r="J239" s="0" t="s">
        <v>210</v>
      </c>
      <c r="K239" s="0" t="s">
        <v>672</v>
      </c>
    </row>
    <row r="240" customFormat="false" ht="15" hidden="false" customHeight="false" outlineLevel="0" collapsed="false">
      <c r="A240" s="0" t="s">
        <v>667</v>
      </c>
      <c r="B240" s="0" t="s">
        <v>673</v>
      </c>
      <c r="C240" s="0" t="s">
        <v>31</v>
      </c>
      <c r="D240" s="0" t="s">
        <v>674</v>
      </c>
      <c r="E240" s="0" t="s">
        <v>675</v>
      </c>
      <c r="F240" s="0" t="s">
        <v>646</v>
      </c>
      <c r="G240" s="0" t="n">
        <f aca="false">HYPERLINK("http://clipc-services.ceda.ac.uk/dreq/u/9bb9a503065dfbd30c9bbe5c3c6abf99.html","web")</f>
        <v>0</v>
      </c>
      <c r="H240" s="0" t="s">
        <v>676</v>
      </c>
      <c r="I240" s="0" t="s">
        <v>357</v>
      </c>
      <c r="J240" s="0" t="s">
        <v>677</v>
      </c>
      <c r="K240" s="0" t="s">
        <v>678</v>
      </c>
    </row>
    <row r="241" customFormat="false" ht="15" hidden="false" customHeight="false" outlineLevel="0" collapsed="false">
      <c r="A241" s="0" t="s">
        <v>667</v>
      </c>
      <c r="B241" s="0" t="s">
        <v>679</v>
      </c>
      <c r="C241" s="0" t="s">
        <v>31</v>
      </c>
      <c r="D241" s="0" t="s">
        <v>680</v>
      </c>
      <c r="E241" s="0" t="s">
        <v>681</v>
      </c>
      <c r="F241" s="0" t="s">
        <v>682</v>
      </c>
      <c r="G241" s="0" t="n">
        <f aca="false">HYPERLINK("http://clipc-services.ceda.ac.uk/dreq/u/ddf060894b16cf89e906ecfedbba4ffb.html","web")</f>
        <v>0</v>
      </c>
      <c r="H241" s="0" t="s">
        <v>356</v>
      </c>
      <c r="I241" s="0" t="s">
        <v>357</v>
      </c>
      <c r="J241" s="0" t="s">
        <v>683</v>
      </c>
      <c r="K241" s="0" t="s">
        <v>684</v>
      </c>
    </row>
    <row r="242" customFormat="false" ht="15" hidden="false" customHeight="false" outlineLevel="0" collapsed="false">
      <c r="A242" s="0" t="s">
        <v>667</v>
      </c>
      <c r="B242" s="0" t="s">
        <v>685</v>
      </c>
      <c r="C242" s="0" t="s">
        <v>31</v>
      </c>
      <c r="D242" s="0" t="s">
        <v>674</v>
      </c>
      <c r="E242" s="0" t="s">
        <v>686</v>
      </c>
      <c r="F242" s="0" t="s">
        <v>646</v>
      </c>
      <c r="G242" s="0" t="n">
        <f aca="false">HYPERLINK("http://clipc-services.ceda.ac.uk/dreq/u/942125e5a461fef57b1477b9a2bd5fa0.html","web")</f>
        <v>0</v>
      </c>
      <c r="H242" s="0" t="s">
        <v>687</v>
      </c>
      <c r="I242" s="0" t="s">
        <v>688</v>
      </c>
      <c r="J242" s="0" t="s">
        <v>689</v>
      </c>
      <c r="K242" s="0" t="s">
        <v>678</v>
      </c>
    </row>
    <row r="243" customFormat="false" ht="15" hidden="false" customHeight="false" outlineLevel="0" collapsed="false">
      <c r="A243" s="0" t="s">
        <v>667</v>
      </c>
      <c r="B243" s="0" t="s">
        <v>690</v>
      </c>
      <c r="C243" s="0" t="s">
        <v>31</v>
      </c>
      <c r="D243" s="0" t="s">
        <v>691</v>
      </c>
      <c r="E243" s="0" t="s">
        <v>686</v>
      </c>
      <c r="F243" s="0" t="s">
        <v>646</v>
      </c>
      <c r="G243" s="0" t="n">
        <f aca="false">HYPERLINK("http://clipc-services.ceda.ac.uk/dreq/u/942125e5a461fef57b1477b9a2bd5fa0.html","web")</f>
        <v>0</v>
      </c>
      <c r="H243" s="0" t="s">
        <v>692</v>
      </c>
      <c r="I243" s="0" t="s">
        <v>693</v>
      </c>
      <c r="J243" s="0" t="s">
        <v>689</v>
      </c>
      <c r="K243" s="0" t="s">
        <v>678</v>
      </c>
    </row>
    <row r="244" customFormat="false" ht="15" hidden="false" customHeight="false" outlineLevel="0" collapsed="false">
      <c r="A244" s="0" t="s">
        <v>667</v>
      </c>
      <c r="B244" s="0" t="s">
        <v>694</v>
      </c>
      <c r="C244" s="0" t="s">
        <v>31</v>
      </c>
      <c r="D244" s="0" t="s">
        <v>680</v>
      </c>
      <c r="E244" s="0" t="s">
        <v>695</v>
      </c>
      <c r="F244" s="0" t="s">
        <v>696</v>
      </c>
      <c r="G244" s="0" t="n">
        <f aca="false">HYPERLINK("http://clipc-services.ceda.ac.uk/dreq/u/09c328529f2fac58c1b016da33ba394c.html","web")</f>
        <v>0</v>
      </c>
      <c r="H244" s="0" t="s">
        <v>692</v>
      </c>
      <c r="I244" s="0" t="s">
        <v>693</v>
      </c>
      <c r="J244" s="0" t="s">
        <v>697</v>
      </c>
      <c r="K244" s="0" t="s">
        <v>678</v>
      </c>
    </row>
    <row r="245" customFormat="false" ht="15" hidden="false" customHeight="false" outlineLevel="0" collapsed="false">
      <c r="A245" s="0" t="s">
        <v>667</v>
      </c>
      <c r="B245" s="0" t="s">
        <v>698</v>
      </c>
      <c r="C245" s="0" t="s">
        <v>31</v>
      </c>
      <c r="D245" s="0" t="s">
        <v>699</v>
      </c>
      <c r="E245" s="0" t="s">
        <v>695</v>
      </c>
      <c r="F245" s="0" t="s">
        <v>696</v>
      </c>
      <c r="G245" s="0" t="n">
        <f aca="false">HYPERLINK("http://clipc-services.ceda.ac.uk/dreq/u/09c328529f2fac58c1b016da33ba394c.html","web")</f>
        <v>0</v>
      </c>
      <c r="H245" s="0" t="s">
        <v>692</v>
      </c>
      <c r="I245" s="0" t="s">
        <v>693</v>
      </c>
      <c r="J245" s="0" t="s">
        <v>697</v>
      </c>
      <c r="K245" s="0" t="s">
        <v>678</v>
      </c>
    </row>
    <row r="247" customFormat="false" ht="15" hidden="false" customHeight="false" outlineLevel="0" collapsed="false">
      <c r="A247" s="0" t="s">
        <v>700</v>
      </c>
      <c r="B247" s="0" t="s">
        <v>701</v>
      </c>
      <c r="C247" s="0" t="s">
        <v>60</v>
      </c>
      <c r="D247" s="0" t="s">
        <v>179</v>
      </c>
      <c r="E247" s="0" t="s">
        <v>702</v>
      </c>
      <c r="F247" s="0" t="s">
        <v>181</v>
      </c>
      <c r="G247" s="0" t="n">
        <f aca="false">HYPERLINK("http://clipc-services.ceda.ac.uk/dreq/u/7553003ead183dd3276108b6311a337f.html","web")</f>
        <v>0</v>
      </c>
      <c r="H247" s="0" t="s">
        <v>231</v>
      </c>
      <c r="I247" s="0" t="s">
        <v>204</v>
      </c>
      <c r="J247" s="0" t="s">
        <v>703</v>
      </c>
      <c r="K247" s="0" t="s">
        <v>704</v>
      </c>
    </row>
    <row r="248" customFormat="false" ht="15" hidden="false" customHeight="false" outlineLevel="0" collapsed="false">
      <c r="A248" s="0" t="s">
        <v>700</v>
      </c>
      <c r="B248" s="0" t="s">
        <v>705</v>
      </c>
      <c r="C248" s="0" t="s">
        <v>31</v>
      </c>
      <c r="D248" s="0" t="s">
        <v>706</v>
      </c>
      <c r="E248" s="0" t="s">
        <v>707</v>
      </c>
      <c r="F248" s="0" t="s">
        <v>230</v>
      </c>
      <c r="G248" s="0" t="n">
        <f aca="false">HYPERLINK("http://clipc-services.ceda.ac.uk/dreq/u/e4b039da-b621-11e6-bbe2-ac72891c3257.html","web")</f>
        <v>0</v>
      </c>
      <c r="H248" s="0" t="s">
        <v>231</v>
      </c>
      <c r="I248" s="0" t="s">
        <v>204</v>
      </c>
      <c r="J248" s="0" t="s">
        <v>708</v>
      </c>
      <c r="K248" s="0" t="s">
        <v>709</v>
      </c>
    </row>
    <row r="250" customFormat="false" ht="15" hidden="false" customHeight="false" outlineLevel="0" collapsed="false">
      <c r="A250" s="0" t="s">
        <v>710</v>
      </c>
      <c r="B250" s="0" t="s">
        <v>711</v>
      </c>
      <c r="C250" s="0" t="s">
        <v>31</v>
      </c>
      <c r="D250" s="0" t="s">
        <v>409</v>
      </c>
      <c r="E250" s="0" t="s">
        <v>712</v>
      </c>
      <c r="F250" s="0" t="s">
        <v>713</v>
      </c>
      <c r="G250" s="0" t="n">
        <f aca="false">HYPERLINK("http://clipc-services.ceda.ac.uk/dreq/u/98114e26-b896-11e6-a189-5404a60d96b5.html","web")</f>
        <v>0</v>
      </c>
      <c r="H250" s="0" t="s">
        <v>714</v>
      </c>
      <c r="I250" s="0" t="s">
        <v>688</v>
      </c>
      <c r="J250" s="0" t="s">
        <v>715</v>
      </c>
      <c r="K250" s="0" t="s">
        <v>716</v>
      </c>
    </row>
    <row r="251" customFormat="false" ht="15" hidden="false" customHeight="false" outlineLevel="0" collapsed="false">
      <c r="A251" s="0" t="s">
        <v>710</v>
      </c>
      <c r="B251" s="0" t="s">
        <v>717</v>
      </c>
      <c r="C251" s="0" t="s">
        <v>31</v>
      </c>
      <c r="D251" s="0" t="s">
        <v>409</v>
      </c>
      <c r="E251" s="0" t="s">
        <v>718</v>
      </c>
      <c r="F251" s="0" t="s">
        <v>646</v>
      </c>
      <c r="G251" s="0" t="n">
        <f aca="false">HYPERLINK("http://clipc-services.ceda.ac.uk/dreq/u/e8d5bdfd24b275f0530646361967483d.html","web")</f>
        <v>0</v>
      </c>
      <c r="H251" s="0" t="s">
        <v>714</v>
      </c>
      <c r="I251" s="0" t="s">
        <v>688</v>
      </c>
      <c r="J251" s="0" t="s">
        <v>677</v>
      </c>
      <c r="K251" s="0" t="s">
        <v>716</v>
      </c>
    </row>
    <row r="252" customFormat="false" ht="15" hidden="false" customHeight="false" outlineLevel="0" collapsed="false">
      <c r="A252" s="0" t="s">
        <v>710</v>
      </c>
      <c r="B252" s="0" t="s">
        <v>719</v>
      </c>
      <c r="C252" s="0" t="s">
        <v>31</v>
      </c>
      <c r="D252" s="0" t="s">
        <v>179</v>
      </c>
      <c r="E252" s="0" t="s">
        <v>720</v>
      </c>
      <c r="F252" s="0" t="s">
        <v>721</v>
      </c>
      <c r="G252" s="0" t="n">
        <f aca="false">HYPERLINK("http://clipc-services.ceda.ac.uk/dreq/u/5fb2c6633cdd98673b7b12d257575460.html","web")</f>
        <v>0</v>
      </c>
      <c r="H252" s="0" t="s">
        <v>722</v>
      </c>
      <c r="I252" s="0" t="s">
        <v>723</v>
      </c>
      <c r="J252" s="0" t="s">
        <v>724</v>
      </c>
      <c r="K252" s="0" t="s">
        <v>725</v>
      </c>
    </row>
    <row r="253" customFormat="false" ht="15" hidden="false" customHeight="false" outlineLevel="0" collapsed="false">
      <c r="A253" s="0" t="s">
        <v>710</v>
      </c>
      <c r="B253" s="0" t="s">
        <v>726</v>
      </c>
      <c r="C253" s="0" t="s">
        <v>31</v>
      </c>
      <c r="D253" s="0" t="s">
        <v>179</v>
      </c>
      <c r="E253" s="0" t="s">
        <v>727</v>
      </c>
      <c r="F253" s="0" t="s">
        <v>181</v>
      </c>
      <c r="G253" s="0" t="n">
        <f aca="false">HYPERLINK("http://clipc-services.ceda.ac.uk/dreq/u/4ffc1f50b844980dbbae006dbcfca869.html","web")</f>
        <v>0</v>
      </c>
      <c r="H253" s="0" t="s">
        <v>714</v>
      </c>
      <c r="I253" s="0" t="s">
        <v>688</v>
      </c>
      <c r="J253" s="0" t="s">
        <v>728</v>
      </c>
      <c r="K253" s="0" t="s">
        <v>725</v>
      </c>
    </row>
    <row r="254" customFormat="false" ht="15" hidden="false" customHeight="false" outlineLevel="0" collapsed="false">
      <c r="A254" s="0" t="s">
        <v>710</v>
      </c>
      <c r="B254" s="0" t="s">
        <v>673</v>
      </c>
      <c r="C254" s="0" t="s">
        <v>31</v>
      </c>
      <c r="D254" s="0" t="s">
        <v>409</v>
      </c>
      <c r="E254" s="0" t="s">
        <v>675</v>
      </c>
      <c r="F254" s="0" t="s">
        <v>646</v>
      </c>
      <c r="G254" s="0" t="n">
        <f aca="false">HYPERLINK("http://clipc-services.ceda.ac.uk/dreq/u/9bb9a503065dfbd30c9bbe5c3c6abf99.html","web")</f>
        <v>0</v>
      </c>
      <c r="H254" s="0" t="s">
        <v>676</v>
      </c>
      <c r="I254" s="0" t="s">
        <v>357</v>
      </c>
      <c r="J254" s="0" t="s">
        <v>677</v>
      </c>
      <c r="K254" s="0" t="s">
        <v>716</v>
      </c>
    </row>
    <row r="255" customFormat="false" ht="15" hidden="false" customHeight="false" outlineLevel="0" collapsed="false">
      <c r="A255" s="0" t="s">
        <v>710</v>
      </c>
      <c r="B255" s="0" t="s">
        <v>729</v>
      </c>
      <c r="C255" s="0" t="s">
        <v>31</v>
      </c>
      <c r="D255" s="0" t="s">
        <v>179</v>
      </c>
      <c r="E255" s="0" t="s">
        <v>730</v>
      </c>
      <c r="F255" s="0" t="s">
        <v>31</v>
      </c>
      <c r="G255" s="0" t="n">
        <f aca="false">HYPERLINK("http://clipc-services.ceda.ac.uk/dreq/u/db3d77eebc6dc2fbcab4e0f894e46037.html","web")</f>
        <v>0</v>
      </c>
      <c r="H255" s="0" t="s">
        <v>231</v>
      </c>
      <c r="I255" s="0" t="s">
        <v>731</v>
      </c>
      <c r="J255" s="0" t="s">
        <v>732</v>
      </c>
      <c r="K255" s="0" t="s">
        <v>725</v>
      </c>
    </row>
    <row r="256" customFormat="false" ht="15" hidden="false" customHeight="false" outlineLevel="0" collapsed="false">
      <c r="A256" s="0" t="s">
        <v>710</v>
      </c>
      <c r="B256" s="0" t="s">
        <v>733</v>
      </c>
      <c r="C256" s="0" t="s">
        <v>31</v>
      </c>
      <c r="D256" s="0" t="s">
        <v>179</v>
      </c>
      <c r="E256" s="0" t="s">
        <v>734</v>
      </c>
      <c r="F256" s="0" t="s">
        <v>181</v>
      </c>
      <c r="G256" s="0" t="n">
        <f aca="false">HYPERLINK("http://clipc-services.ceda.ac.uk/dreq/u/ea546e38aa8fc0e021f03e746e1adb10.html","web")</f>
        <v>0</v>
      </c>
      <c r="H256" s="0" t="s">
        <v>714</v>
      </c>
      <c r="I256" s="0" t="s">
        <v>688</v>
      </c>
      <c r="J256" s="0" t="s">
        <v>735</v>
      </c>
      <c r="K256" s="0" t="s">
        <v>725</v>
      </c>
    </row>
    <row r="257" customFormat="false" ht="15" hidden="false" customHeight="false" outlineLevel="0" collapsed="false">
      <c r="A257" s="0" t="s">
        <v>710</v>
      </c>
      <c r="B257" s="0" t="s">
        <v>736</v>
      </c>
      <c r="C257" s="0" t="s">
        <v>31</v>
      </c>
      <c r="D257" s="0" t="s">
        <v>179</v>
      </c>
      <c r="E257" s="0" t="s">
        <v>737</v>
      </c>
      <c r="F257" s="0" t="s">
        <v>181</v>
      </c>
      <c r="G257" s="0" t="n">
        <f aca="false">HYPERLINK("http://clipc-services.ceda.ac.uk/dreq/u/691673a210102ac652eed2b784dd2ab4.html","web")</f>
        <v>0</v>
      </c>
      <c r="H257" s="0" t="s">
        <v>714</v>
      </c>
      <c r="I257" s="0" t="s">
        <v>688</v>
      </c>
      <c r="J257" s="0" t="s">
        <v>738</v>
      </c>
      <c r="K257" s="0" t="s">
        <v>725</v>
      </c>
    </row>
    <row r="258" customFormat="false" ht="15" hidden="false" customHeight="false" outlineLevel="0" collapsed="false">
      <c r="A258" s="0" t="s">
        <v>710</v>
      </c>
      <c r="B258" s="0" t="s">
        <v>739</v>
      </c>
      <c r="C258" s="0" t="s">
        <v>31</v>
      </c>
      <c r="D258" s="0" t="s">
        <v>179</v>
      </c>
      <c r="E258" s="0" t="s">
        <v>740</v>
      </c>
      <c r="F258" s="0" t="s">
        <v>181</v>
      </c>
      <c r="G258" s="0" t="n">
        <f aca="false">HYPERLINK("http://clipc-services.ceda.ac.uk/dreq/u/a4e52f0f3833b395c09c73f1b6f3f748.html","web")</f>
        <v>0</v>
      </c>
      <c r="H258" s="0" t="s">
        <v>714</v>
      </c>
      <c r="I258" s="0" t="s">
        <v>688</v>
      </c>
      <c r="J258" s="0" t="s">
        <v>741</v>
      </c>
      <c r="K258" s="0" t="s">
        <v>725</v>
      </c>
    </row>
    <row r="259" customFormat="false" ht="15" hidden="false" customHeight="false" outlineLevel="0" collapsed="false">
      <c r="A259" s="0" t="s">
        <v>710</v>
      </c>
      <c r="B259" s="0" t="s">
        <v>742</v>
      </c>
      <c r="C259" s="0" t="s">
        <v>31</v>
      </c>
      <c r="D259" s="0" t="s">
        <v>409</v>
      </c>
      <c r="E259" s="0" t="s">
        <v>743</v>
      </c>
      <c r="F259" s="0" t="s">
        <v>31</v>
      </c>
      <c r="G259" s="0" t="n">
        <f aca="false">HYPERLINK("http://clipc-services.ceda.ac.uk/dreq/u/a7cf325e9bf994ade073a1297378a57c.html","web")</f>
        <v>0</v>
      </c>
      <c r="H259" s="0" t="s">
        <v>744</v>
      </c>
      <c r="I259" s="0" t="s">
        <v>357</v>
      </c>
      <c r="J259" s="0" t="s">
        <v>745</v>
      </c>
      <c r="K259" s="0" t="s">
        <v>716</v>
      </c>
    </row>
    <row r="260" customFormat="false" ht="15" hidden="false" customHeight="false" outlineLevel="0" collapsed="false">
      <c r="A260" s="0" t="s">
        <v>710</v>
      </c>
      <c r="B260" s="0" t="s">
        <v>746</v>
      </c>
      <c r="C260" s="0" t="s">
        <v>31</v>
      </c>
      <c r="D260" s="0" t="s">
        <v>409</v>
      </c>
      <c r="E260" s="0" t="s">
        <v>747</v>
      </c>
      <c r="F260" s="0" t="s">
        <v>646</v>
      </c>
      <c r="G260" s="0" t="n">
        <f aca="false">HYPERLINK("http://clipc-services.ceda.ac.uk/dreq/u/cc8f92a2635774d636748ec8007c4bab.html","web")</f>
        <v>0</v>
      </c>
      <c r="H260" s="0" t="s">
        <v>714</v>
      </c>
      <c r="I260" s="0" t="s">
        <v>688</v>
      </c>
      <c r="J260" s="0" t="s">
        <v>748</v>
      </c>
      <c r="K260" s="0" t="s">
        <v>716</v>
      </c>
    </row>
    <row r="261" customFormat="false" ht="15" hidden="false" customHeight="false" outlineLevel="0" collapsed="false">
      <c r="A261" s="0" t="s">
        <v>710</v>
      </c>
      <c r="B261" s="0" t="s">
        <v>749</v>
      </c>
      <c r="C261" s="0" t="s">
        <v>31</v>
      </c>
      <c r="D261" s="0" t="s">
        <v>409</v>
      </c>
      <c r="E261" s="0" t="s">
        <v>750</v>
      </c>
      <c r="F261" s="0" t="s">
        <v>131</v>
      </c>
      <c r="G261" s="0" t="n">
        <f aca="false">HYPERLINK("http://clipc-services.ceda.ac.uk/dreq/u/2b133ea2-1b42-11e6-a696-35cd2d8034df.html","web")</f>
        <v>0</v>
      </c>
      <c r="H261" s="0" t="s">
        <v>714</v>
      </c>
      <c r="I261" s="0" t="s">
        <v>688</v>
      </c>
      <c r="J261" s="0" t="s">
        <v>751</v>
      </c>
      <c r="K261" s="0" t="s">
        <v>716</v>
      </c>
    </row>
    <row r="262" customFormat="false" ht="15" hidden="false" customHeight="false" outlineLevel="0" collapsed="false">
      <c r="A262" s="0" t="s">
        <v>710</v>
      </c>
      <c r="B262" s="0" t="s">
        <v>685</v>
      </c>
      <c r="C262" s="0" t="s">
        <v>31</v>
      </c>
      <c r="D262" s="0" t="s">
        <v>409</v>
      </c>
      <c r="E262" s="0" t="s">
        <v>686</v>
      </c>
      <c r="F262" s="0" t="s">
        <v>646</v>
      </c>
      <c r="G262" s="0" t="n">
        <f aca="false">HYPERLINK("http://clipc-services.ceda.ac.uk/dreq/u/942125e5a461fef57b1477b9a2bd5fa0.html","web")</f>
        <v>0</v>
      </c>
      <c r="H262" s="0" t="s">
        <v>687</v>
      </c>
      <c r="I262" s="0" t="s">
        <v>688</v>
      </c>
      <c r="J262" s="0" t="s">
        <v>689</v>
      </c>
      <c r="K262" s="0" t="s">
        <v>716</v>
      </c>
    </row>
    <row r="263" customFormat="false" ht="15" hidden="false" customHeight="false" outlineLevel="0" collapsed="false">
      <c r="A263" s="0" t="s">
        <v>710</v>
      </c>
      <c r="B263" s="0" t="s">
        <v>752</v>
      </c>
      <c r="C263" s="0" t="s">
        <v>31</v>
      </c>
      <c r="D263" s="0" t="s">
        <v>409</v>
      </c>
      <c r="E263" s="0" t="s">
        <v>753</v>
      </c>
      <c r="F263" s="0" t="s">
        <v>646</v>
      </c>
      <c r="G263" s="0" t="n">
        <f aca="false">HYPERLINK("http://clipc-services.ceda.ac.uk/dreq/u/97bf948c-b896-11e6-a189-5404a60d96b5.html","web")</f>
        <v>0</v>
      </c>
      <c r="H263" s="0" t="s">
        <v>356</v>
      </c>
      <c r="I263" s="0" t="s">
        <v>357</v>
      </c>
      <c r="J263" s="0" t="s">
        <v>754</v>
      </c>
      <c r="K263" s="0" t="s">
        <v>716</v>
      </c>
    </row>
    <row r="264" customFormat="false" ht="15" hidden="false" customHeight="false" outlineLevel="0" collapsed="false">
      <c r="A264" s="0" t="s">
        <v>710</v>
      </c>
      <c r="B264" s="0" t="s">
        <v>755</v>
      </c>
      <c r="C264" s="0" t="s">
        <v>31</v>
      </c>
      <c r="D264" s="0" t="s">
        <v>756</v>
      </c>
      <c r="E264" s="0" t="s">
        <v>757</v>
      </c>
      <c r="F264" s="0" t="s">
        <v>31</v>
      </c>
      <c r="G264" s="0" t="n">
        <f aca="false">HYPERLINK("http://clipc-services.ceda.ac.uk/dreq/u/a0c10a4b65d3b79db581a649058a08b1.html","web")</f>
        <v>0</v>
      </c>
      <c r="H264" s="0" t="s">
        <v>714</v>
      </c>
      <c r="I264" s="0" t="s">
        <v>688</v>
      </c>
      <c r="J264" s="0" t="s">
        <v>758</v>
      </c>
      <c r="K264" s="0" t="s">
        <v>759</v>
      </c>
    </row>
    <row r="265" customFormat="false" ht="15" hidden="false" customHeight="false" outlineLevel="0" collapsed="false">
      <c r="A265" s="0" t="s">
        <v>710</v>
      </c>
      <c r="B265" s="0" t="s">
        <v>760</v>
      </c>
      <c r="C265" s="0" t="s">
        <v>31</v>
      </c>
      <c r="D265" s="0" t="s">
        <v>756</v>
      </c>
      <c r="E265" s="0" t="s">
        <v>761</v>
      </c>
      <c r="F265" s="0" t="s">
        <v>31</v>
      </c>
      <c r="G265" s="0" t="n">
        <f aca="false">HYPERLINK("http://clipc-services.ceda.ac.uk/dreq/u/c9a72dd6-c5f0-11e6-ac20-5404a60d96b5.html","web")</f>
        <v>0</v>
      </c>
      <c r="H265" s="0" t="s">
        <v>356</v>
      </c>
      <c r="I265" s="0" t="s">
        <v>357</v>
      </c>
      <c r="J265" s="0" t="s">
        <v>762</v>
      </c>
      <c r="K265" s="0" t="s">
        <v>725</v>
      </c>
    </row>
    <row r="266" customFormat="false" ht="15" hidden="false" customHeight="false" outlineLevel="0" collapsed="false">
      <c r="A266" s="0" t="s">
        <v>710</v>
      </c>
      <c r="B266" s="0" t="s">
        <v>763</v>
      </c>
      <c r="C266" s="0" t="s">
        <v>31</v>
      </c>
      <c r="D266" s="0" t="s">
        <v>409</v>
      </c>
      <c r="E266" s="0" t="s">
        <v>764</v>
      </c>
      <c r="F266" s="0" t="s">
        <v>328</v>
      </c>
      <c r="G266" s="0" t="n">
        <f aca="false">HYPERLINK("http://clipc-services.ceda.ac.uk/dreq/u/a2609abee6ecd5d535a48e29ae70e852.html","web")</f>
        <v>0</v>
      </c>
      <c r="H266" s="0" t="s">
        <v>714</v>
      </c>
      <c r="I266" s="0" t="s">
        <v>688</v>
      </c>
      <c r="J266" s="0" t="s">
        <v>765</v>
      </c>
      <c r="K266" s="0" t="s">
        <v>716</v>
      </c>
    </row>
    <row r="267" customFormat="false" ht="15" hidden="false" customHeight="false" outlineLevel="0" collapsed="false">
      <c r="A267" s="0" t="s">
        <v>710</v>
      </c>
      <c r="B267" s="0" t="s">
        <v>766</v>
      </c>
      <c r="C267" s="0" t="s">
        <v>31</v>
      </c>
      <c r="D267" s="0" t="s">
        <v>179</v>
      </c>
      <c r="E267" s="0" t="s">
        <v>767</v>
      </c>
      <c r="F267" s="0" t="s">
        <v>768</v>
      </c>
      <c r="G267" s="0" t="n">
        <f aca="false">HYPERLINK("http://clipc-services.ceda.ac.uk/dreq/u/c9a5b6b8-c5f0-11e6-ac20-5404a60d96b5.html","web")</f>
        <v>0</v>
      </c>
      <c r="H267" s="0" t="s">
        <v>356</v>
      </c>
      <c r="I267" s="0" t="s">
        <v>769</v>
      </c>
      <c r="J267" s="0" t="s">
        <v>770</v>
      </c>
      <c r="K267" s="0" t="s">
        <v>725</v>
      </c>
    </row>
    <row r="268" customFormat="false" ht="15" hidden="false" customHeight="false" outlineLevel="0" collapsed="false">
      <c r="A268" s="0" t="s">
        <v>710</v>
      </c>
      <c r="B268" s="0" t="s">
        <v>771</v>
      </c>
      <c r="C268" s="0" t="s">
        <v>31</v>
      </c>
      <c r="D268" s="0" t="s">
        <v>179</v>
      </c>
      <c r="E268" s="0" t="s">
        <v>772</v>
      </c>
      <c r="F268" s="0" t="s">
        <v>16</v>
      </c>
      <c r="G268" s="0" t="n">
        <f aca="false">HYPERLINK("http://clipc-services.ceda.ac.uk/dreq/u/83d1d066c3325c7402b6265eee068056.html","web")</f>
        <v>0</v>
      </c>
      <c r="H268" s="0" t="s">
        <v>773</v>
      </c>
      <c r="I268" s="0" t="s">
        <v>723</v>
      </c>
      <c r="J268" s="0" t="s">
        <v>774</v>
      </c>
      <c r="K268" s="0" t="s">
        <v>775</v>
      </c>
    </row>
    <row r="269" customFormat="false" ht="15" hidden="false" customHeight="false" outlineLevel="0" collapsed="false">
      <c r="A269" s="0" t="s">
        <v>710</v>
      </c>
      <c r="B269" s="0" t="s">
        <v>776</v>
      </c>
      <c r="C269" s="0" t="s">
        <v>31</v>
      </c>
      <c r="D269" s="0" t="s">
        <v>179</v>
      </c>
      <c r="E269" s="0" t="s">
        <v>777</v>
      </c>
      <c r="F269" s="0" t="s">
        <v>286</v>
      </c>
      <c r="G269" s="0" t="n">
        <f aca="false">HYPERLINK("http://clipc-services.ceda.ac.uk/dreq/u/c9a70b4e-c5f0-11e6-ac20-5404a60d96b5.html","web")</f>
        <v>0</v>
      </c>
      <c r="H269" s="0" t="s">
        <v>778</v>
      </c>
      <c r="I269" s="0" t="s">
        <v>36</v>
      </c>
      <c r="J269" s="0" t="s">
        <v>779</v>
      </c>
      <c r="K269" s="0" t="s">
        <v>780</v>
      </c>
    </row>
    <row r="270" customFormat="false" ht="15" hidden="false" customHeight="false" outlineLevel="0" collapsed="false">
      <c r="A270" s="0" t="s">
        <v>710</v>
      </c>
      <c r="B270" s="0" t="s">
        <v>649</v>
      </c>
      <c r="C270" s="0" t="s">
        <v>31</v>
      </c>
      <c r="D270" s="0" t="s">
        <v>409</v>
      </c>
      <c r="E270" s="0" t="s">
        <v>650</v>
      </c>
      <c r="F270" s="0" t="s">
        <v>314</v>
      </c>
      <c r="G270" s="0" t="n">
        <f aca="false">HYPERLINK("http://clipc-services.ceda.ac.uk/dreq/u/5917483c-9e49-11e5-803c-0d0b866b59f3.html","web")</f>
        <v>0</v>
      </c>
      <c r="H270" s="0" t="s">
        <v>651</v>
      </c>
      <c r="I270" s="0" t="s">
        <v>36</v>
      </c>
      <c r="J270" s="0" t="s">
        <v>652</v>
      </c>
      <c r="K270" s="0" t="s">
        <v>781</v>
      </c>
    </row>
    <row r="271" customFormat="false" ht="15" hidden="false" customHeight="false" outlineLevel="0" collapsed="false">
      <c r="A271" s="0" t="s">
        <v>710</v>
      </c>
      <c r="B271" s="0" t="s">
        <v>653</v>
      </c>
      <c r="C271" s="0" t="s">
        <v>31</v>
      </c>
      <c r="D271" s="0" t="s">
        <v>409</v>
      </c>
      <c r="E271" s="0" t="s">
        <v>654</v>
      </c>
      <c r="F271" s="0" t="s">
        <v>314</v>
      </c>
      <c r="G271" s="0" t="n">
        <f aca="false">HYPERLINK("http://clipc-services.ceda.ac.uk/dreq/u/59173c0c-9e49-11e5-803c-0d0b866b59f3.html","web")</f>
        <v>0</v>
      </c>
      <c r="H271" s="0" t="s">
        <v>651</v>
      </c>
      <c r="I271" s="0" t="s">
        <v>36</v>
      </c>
      <c r="J271" s="0" t="s">
        <v>655</v>
      </c>
      <c r="K271" s="0" t="s">
        <v>782</v>
      </c>
    </row>
    <row r="272" customFormat="false" ht="15" hidden="false" customHeight="false" outlineLevel="0" collapsed="false">
      <c r="A272" s="0" t="s">
        <v>710</v>
      </c>
      <c r="B272" s="0" t="s">
        <v>783</v>
      </c>
      <c r="C272" s="0" t="s">
        <v>31</v>
      </c>
      <c r="D272" s="0" t="s">
        <v>179</v>
      </c>
      <c r="E272" s="0" t="s">
        <v>784</v>
      </c>
      <c r="F272" s="0" t="s">
        <v>785</v>
      </c>
      <c r="G272" s="0" t="n">
        <f aca="false">HYPERLINK("http://clipc-services.ceda.ac.uk/dreq/u/c26eed24b27782de78cfab86e3d3b2d2.html","web")</f>
        <v>0</v>
      </c>
      <c r="H272" s="0" t="s">
        <v>786</v>
      </c>
      <c r="I272" s="0" t="s">
        <v>787</v>
      </c>
      <c r="J272" s="0" t="s">
        <v>788</v>
      </c>
      <c r="K272" s="0" t="s">
        <v>725</v>
      </c>
    </row>
    <row r="274" customFormat="false" ht="15" hidden="false" customHeight="false" outlineLevel="0" collapsed="false">
      <c r="A274" s="0" t="s">
        <v>789</v>
      </c>
      <c r="B274" s="0" t="s">
        <v>211</v>
      </c>
      <c r="C274" s="0" t="s">
        <v>31</v>
      </c>
      <c r="D274" s="0" t="s">
        <v>790</v>
      </c>
      <c r="E274" s="0" t="s">
        <v>213</v>
      </c>
      <c r="F274" s="0" t="s">
        <v>24</v>
      </c>
      <c r="G274" s="0" t="n">
        <f aca="false">HYPERLINK("http://clipc-services.ceda.ac.uk/dreq/u/400e5707b65c01e31f2ec6a59dd3983b.html","web")</f>
        <v>0</v>
      </c>
      <c r="H274" s="0" t="s">
        <v>214</v>
      </c>
      <c r="I274" s="0" t="s">
        <v>215</v>
      </c>
      <c r="J274" s="0" t="s">
        <v>216</v>
      </c>
      <c r="K274" s="0" t="s">
        <v>791</v>
      </c>
    </row>
    <row r="275" customFormat="false" ht="15" hidden="false" customHeight="false" outlineLevel="0" collapsed="false">
      <c r="A275" s="0" t="s">
        <v>789</v>
      </c>
      <c r="B275" s="0" t="s">
        <v>792</v>
      </c>
      <c r="C275" s="0" t="s">
        <v>31</v>
      </c>
      <c r="D275" s="0" t="s">
        <v>793</v>
      </c>
      <c r="E275" s="0" t="s">
        <v>794</v>
      </c>
      <c r="F275" s="0" t="s">
        <v>31</v>
      </c>
      <c r="G275" s="0" t="n">
        <f aca="false">HYPERLINK("http://clipc-services.ceda.ac.uk/dreq/u/a06b8e83250b870d9f39dc1f6534efcb.html","web")</f>
        <v>0</v>
      </c>
      <c r="H275" s="0" t="s">
        <v>795</v>
      </c>
      <c r="I275" s="0" t="s">
        <v>215</v>
      </c>
      <c r="J275" s="0" t="s">
        <v>796</v>
      </c>
      <c r="K275" s="0" t="s">
        <v>791</v>
      </c>
    </row>
    <row r="276" customFormat="false" ht="15" hidden="false" customHeight="false" outlineLevel="0" collapsed="false">
      <c r="A276" s="0" t="s">
        <v>789</v>
      </c>
      <c r="B276" s="0" t="s">
        <v>217</v>
      </c>
      <c r="C276" s="0" t="s">
        <v>13</v>
      </c>
      <c r="D276" s="0" t="s">
        <v>797</v>
      </c>
      <c r="E276" s="0" t="s">
        <v>219</v>
      </c>
      <c r="F276" s="0" t="s">
        <v>24</v>
      </c>
      <c r="G276" s="0" t="n">
        <f aca="false">HYPERLINK("http://clipc-services.ceda.ac.uk/dreq/u/fa7666d61b92de5bad1ad76561b8b850.html","web")</f>
        <v>0</v>
      </c>
      <c r="H276" s="0" t="s">
        <v>214</v>
      </c>
      <c r="I276" s="0" t="s">
        <v>215</v>
      </c>
      <c r="J276" s="0" t="s">
        <v>220</v>
      </c>
      <c r="K276" s="0" t="s">
        <v>200</v>
      </c>
    </row>
    <row r="277" customFormat="false" ht="15" hidden="false" customHeight="false" outlineLevel="0" collapsed="false">
      <c r="A277" s="0" t="s">
        <v>789</v>
      </c>
      <c r="B277" s="0" t="s">
        <v>798</v>
      </c>
      <c r="C277" s="0" t="s">
        <v>31</v>
      </c>
      <c r="D277" s="0" t="s">
        <v>799</v>
      </c>
      <c r="E277" s="0" t="s">
        <v>800</v>
      </c>
      <c r="F277" s="0" t="s">
        <v>31</v>
      </c>
      <c r="G277" s="0" t="n">
        <f aca="false">HYPERLINK("http://clipc-services.ceda.ac.uk/dreq/u/59139cfa-9e49-11e5-803c-0d0b866b59f3.html","web")</f>
        <v>0</v>
      </c>
      <c r="H277" s="0" t="s">
        <v>801</v>
      </c>
      <c r="I277" s="0" t="s">
        <v>36</v>
      </c>
      <c r="J277" s="0" t="s">
        <v>802</v>
      </c>
      <c r="K277" s="0" t="s">
        <v>803</v>
      </c>
    </row>
    <row r="278" customFormat="false" ht="15" hidden="false" customHeight="false" outlineLevel="0" collapsed="false">
      <c r="A278" s="0" t="s">
        <v>789</v>
      </c>
      <c r="B278" s="0" t="s">
        <v>804</v>
      </c>
      <c r="C278" s="0" t="s">
        <v>31</v>
      </c>
      <c r="D278" s="0" t="s">
        <v>799</v>
      </c>
      <c r="E278" s="0" t="s">
        <v>805</v>
      </c>
      <c r="F278" s="0" t="s">
        <v>31</v>
      </c>
      <c r="G278" s="0" t="n">
        <f aca="false">HYPERLINK("http://clipc-services.ceda.ac.uk/dreq/u/590f3f16-9e49-11e5-803c-0d0b866b59f3.html","web")</f>
        <v>0</v>
      </c>
      <c r="H278" s="0" t="s">
        <v>801</v>
      </c>
      <c r="I278" s="0" t="s">
        <v>36</v>
      </c>
      <c r="J278" s="0" t="s">
        <v>806</v>
      </c>
      <c r="K278" s="0" t="s">
        <v>803</v>
      </c>
    </row>
    <row r="279" customFormat="false" ht="15" hidden="false" customHeight="false" outlineLevel="0" collapsed="false">
      <c r="A279" s="0" t="s">
        <v>789</v>
      </c>
      <c r="B279" s="0" t="s">
        <v>807</v>
      </c>
      <c r="C279" s="0" t="s">
        <v>31</v>
      </c>
      <c r="D279" s="0" t="s">
        <v>799</v>
      </c>
      <c r="E279" s="0" t="s">
        <v>808</v>
      </c>
      <c r="F279" s="0" t="s">
        <v>286</v>
      </c>
      <c r="G279" s="0" t="n">
        <f aca="false">HYPERLINK("http://clipc-services.ceda.ac.uk/dreq/u/af7306dc-a0da-11e6-bc63-ac72891c3257.html","web")</f>
        <v>0</v>
      </c>
      <c r="H279" s="0" t="s">
        <v>801</v>
      </c>
      <c r="I279" s="0" t="s">
        <v>36</v>
      </c>
      <c r="J279" s="0" t="s">
        <v>809</v>
      </c>
      <c r="K279" s="0" t="s">
        <v>803</v>
      </c>
    </row>
    <row r="280" customFormat="false" ht="15" hidden="false" customHeight="false" outlineLevel="0" collapsed="false">
      <c r="A280" s="0" t="s">
        <v>789</v>
      </c>
      <c r="B280" s="0" t="s">
        <v>810</v>
      </c>
      <c r="C280" s="0" t="s">
        <v>31</v>
      </c>
      <c r="D280" s="0" t="s">
        <v>811</v>
      </c>
      <c r="E280" s="0" t="s">
        <v>812</v>
      </c>
      <c r="F280" s="0" t="s">
        <v>31</v>
      </c>
      <c r="G280" s="0" t="n">
        <f aca="false">HYPERLINK("http://clipc-services.ceda.ac.uk/dreq/u/afd8ba4a-a0da-11e6-bc63-ac72891c3257.html","web")</f>
        <v>0</v>
      </c>
      <c r="H280" s="0" t="s">
        <v>801</v>
      </c>
      <c r="I280" s="0" t="s">
        <v>36</v>
      </c>
      <c r="J280" s="0" t="s">
        <v>813</v>
      </c>
      <c r="K280" s="0" t="s">
        <v>803</v>
      </c>
    </row>
    <row r="281" customFormat="false" ht="15" hidden="false" customHeight="false" outlineLevel="0" collapsed="false">
      <c r="A281" s="0" t="s">
        <v>789</v>
      </c>
      <c r="B281" s="0" t="s">
        <v>814</v>
      </c>
      <c r="C281" s="0" t="s">
        <v>31</v>
      </c>
      <c r="D281" s="0" t="s">
        <v>811</v>
      </c>
      <c r="E281" s="0" t="s">
        <v>815</v>
      </c>
      <c r="F281" s="0" t="s">
        <v>31</v>
      </c>
      <c r="G281" s="0" t="n">
        <f aca="false">HYPERLINK("http://clipc-services.ceda.ac.uk/dreq/u/b02eb8b4-a0da-11e6-bc63-ac72891c3257.html","web")</f>
        <v>0</v>
      </c>
      <c r="H281" s="0" t="s">
        <v>801</v>
      </c>
      <c r="I281" s="0" t="s">
        <v>36</v>
      </c>
      <c r="J281" s="0" t="s">
        <v>816</v>
      </c>
      <c r="K281" s="0" t="s">
        <v>803</v>
      </c>
    </row>
    <row r="282" customFormat="false" ht="15" hidden="false" customHeight="false" outlineLevel="0" collapsed="false">
      <c r="A282" s="0" t="s">
        <v>789</v>
      </c>
      <c r="B282" s="0" t="s">
        <v>817</v>
      </c>
      <c r="C282" s="0" t="s">
        <v>31</v>
      </c>
      <c r="D282" s="0" t="s">
        <v>811</v>
      </c>
      <c r="E282" s="0" t="s">
        <v>818</v>
      </c>
      <c r="F282" s="0" t="s">
        <v>31</v>
      </c>
      <c r="G282" s="0" t="n">
        <f aca="false">HYPERLINK("http://clipc-services.ceda.ac.uk/dreq/u/b089240c-a0da-11e6-bc63-ac72891c3257.html","web")</f>
        <v>0</v>
      </c>
      <c r="H282" s="0" t="s">
        <v>801</v>
      </c>
      <c r="I282" s="0" t="s">
        <v>36</v>
      </c>
      <c r="J282" s="0" t="s">
        <v>819</v>
      </c>
      <c r="K282" s="0" t="s">
        <v>803</v>
      </c>
    </row>
    <row r="283" customFormat="false" ht="15" hidden="false" customHeight="false" outlineLevel="0" collapsed="false">
      <c r="A283" s="0" t="s">
        <v>789</v>
      </c>
      <c r="B283" s="0" t="s">
        <v>776</v>
      </c>
      <c r="C283" s="0" t="s">
        <v>31</v>
      </c>
      <c r="D283" s="0" t="s">
        <v>820</v>
      </c>
      <c r="E283" s="0" t="s">
        <v>777</v>
      </c>
      <c r="F283" s="0" t="s">
        <v>286</v>
      </c>
      <c r="G283" s="0" t="n">
        <f aca="false">HYPERLINK("http://clipc-services.ceda.ac.uk/dreq/u/c9a70b4e-c5f0-11e6-ac20-5404a60d96b5.html","web")</f>
        <v>0</v>
      </c>
      <c r="H283" s="0" t="s">
        <v>778</v>
      </c>
      <c r="I283" s="0" t="s">
        <v>36</v>
      </c>
      <c r="J283" s="0" t="s">
        <v>779</v>
      </c>
      <c r="K283" s="0" t="s">
        <v>803</v>
      </c>
    </row>
    <row r="284" customFormat="false" ht="15" hidden="false" customHeight="false" outlineLevel="0" collapsed="false">
      <c r="A284" s="0" t="s">
        <v>789</v>
      </c>
      <c r="B284" s="0" t="s">
        <v>821</v>
      </c>
      <c r="C284" s="0" t="s">
        <v>31</v>
      </c>
      <c r="D284" s="0" t="s">
        <v>820</v>
      </c>
      <c r="E284" s="0" t="s">
        <v>822</v>
      </c>
      <c r="F284" s="0" t="s">
        <v>286</v>
      </c>
      <c r="G284" s="0" t="n">
        <f aca="false">HYPERLINK("http://clipc-services.ceda.ac.uk/dreq/u/590daf66-9e49-11e5-803c-0d0b866b59f3.html","web")</f>
        <v>0</v>
      </c>
      <c r="H284" s="0" t="s">
        <v>823</v>
      </c>
      <c r="I284" s="0" t="s">
        <v>36</v>
      </c>
      <c r="J284" s="0" t="s">
        <v>824</v>
      </c>
      <c r="K284" s="0" t="s">
        <v>803</v>
      </c>
    </row>
    <row r="285" customFormat="false" ht="15" hidden="false" customHeight="false" outlineLevel="0" collapsed="false">
      <c r="A285" s="0" t="s">
        <v>789</v>
      </c>
      <c r="B285" s="0" t="s">
        <v>825</v>
      </c>
      <c r="C285" s="0" t="s">
        <v>31</v>
      </c>
      <c r="D285" s="0" t="s">
        <v>820</v>
      </c>
      <c r="E285" s="0" t="s">
        <v>826</v>
      </c>
      <c r="F285" s="0" t="s">
        <v>286</v>
      </c>
      <c r="G285" s="0" t="n">
        <f aca="false">HYPERLINK("http://clipc-services.ceda.ac.uk/dreq/u/90df05fe3dcd9fe0c9b48aaa74b5e9e.html","web")</f>
        <v>0</v>
      </c>
      <c r="H285" s="0" t="s">
        <v>823</v>
      </c>
      <c r="I285" s="0" t="s">
        <v>36</v>
      </c>
      <c r="J285" s="0" t="s">
        <v>827</v>
      </c>
      <c r="K285" s="0" t="s">
        <v>803</v>
      </c>
    </row>
    <row r="286" customFormat="false" ht="15" hidden="false" customHeight="false" outlineLevel="0" collapsed="false">
      <c r="A286" s="0" t="s">
        <v>789</v>
      </c>
      <c r="B286" s="0" t="s">
        <v>828</v>
      </c>
      <c r="C286" s="0" t="s">
        <v>31</v>
      </c>
      <c r="D286" s="0" t="s">
        <v>799</v>
      </c>
      <c r="E286" s="0" t="s">
        <v>829</v>
      </c>
      <c r="F286" s="0" t="s">
        <v>286</v>
      </c>
      <c r="G286" s="0" t="n">
        <f aca="false">HYPERLINK("http://clipc-services.ceda.ac.uk/dreq/u/3819950e-a0dc-11e6-bc63-ac72891c3257.html","web")</f>
        <v>0</v>
      </c>
      <c r="H286" s="0" t="s">
        <v>801</v>
      </c>
      <c r="I286" s="0" t="s">
        <v>36</v>
      </c>
      <c r="J286" s="0" t="s">
        <v>830</v>
      </c>
      <c r="K286" s="0" t="s">
        <v>803</v>
      </c>
    </row>
    <row r="287" customFormat="false" ht="15" hidden="false" customHeight="false" outlineLevel="0" collapsed="false">
      <c r="A287" s="0" t="s">
        <v>789</v>
      </c>
      <c r="B287" s="0" t="s">
        <v>831</v>
      </c>
      <c r="C287" s="0" t="s">
        <v>31</v>
      </c>
      <c r="D287" s="0" t="s">
        <v>799</v>
      </c>
      <c r="E287" s="0" t="s">
        <v>832</v>
      </c>
      <c r="F287" s="0" t="s">
        <v>286</v>
      </c>
      <c r="G287" s="0" t="n">
        <f aca="false">HYPERLINK("http://clipc-services.ceda.ac.uk/dreq/u/386fb33a-a0dc-11e6-bc63-ac72891c3257.html","web")</f>
        <v>0</v>
      </c>
      <c r="H287" s="0" t="s">
        <v>801</v>
      </c>
      <c r="I287" s="0" t="s">
        <v>36</v>
      </c>
      <c r="J287" s="0" t="s">
        <v>830</v>
      </c>
      <c r="K287" s="0" t="s">
        <v>803</v>
      </c>
    </row>
    <row r="288" customFormat="false" ht="15" hidden="false" customHeight="false" outlineLevel="0" collapsed="false">
      <c r="A288" s="0" t="s">
        <v>789</v>
      </c>
      <c r="B288" s="0" t="s">
        <v>833</v>
      </c>
      <c r="C288" s="0" t="s">
        <v>31</v>
      </c>
      <c r="D288" s="0" t="s">
        <v>799</v>
      </c>
      <c r="E288" s="0" t="s">
        <v>834</v>
      </c>
      <c r="F288" s="0" t="s">
        <v>286</v>
      </c>
      <c r="G288" s="0" t="n">
        <f aca="false">HYPERLINK("http://clipc-services.ceda.ac.uk/dreq/u/38bd2912-a0dc-11e6-bc63-ac72891c3257.html","web")</f>
        <v>0</v>
      </c>
      <c r="H288" s="0" t="s">
        <v>801</v>
      </c>
      <c r="I288" s="0" t="s">
        <v>36</v>
      </c>
      <c r="J288" s="0" t="s">
        <v>835</v>
      </c>
      <c r="K288" s="0" t="s">
        <v>803</v>
      </c>
    </row>
    <row r="289" customFormat="false" ht="15" hidden="false" customHeight="false" outlineLevel="0" collapsed="false">
      <c r="A289" s="0" t="s">
        <v>789</v>
      </c>
      <c r="B289" s="0" t="s">
        <v>836</v>
      </c>
      <c r="C289" s="0" t="s">
        <v>31</v>
      </c>
      <c r="D289" s="0" t="s">
        <v>799</v>
      </c>
      <c r="E289" s="0" t="s">
        <v>837</v>
      </c>
      <c r="F289" s="0" t="s">
        <v>286</v>
      </c>
      <c r="G289" s="0" t="n">
        <f aca="false">HYPERLINK("http://clipc-services.ceda.ac.uk/dreq/u/3912bdc8-a0dc-11e6-bc63-ac72891c3257.html","web")</f>
        <v>0</v>
      </c>
      <c r="H289" s="0" t="s">
        <v>801</v>
      </c>
      <c r="I289" s="0" t="s">
        <v>36</v>
      </c>
      <c r="J289" s="0" t="s">
        <v>838</v>
      </c>
      <c r="K289" s="0" t="s">
        <v>803</v>
      </c>
    </row>
    <row r="290" customFormat="false" ht="15" hidden="false" customHeight="false" outlineLevel="0" collapsed="false">
      <c r="A290" s="0" t="s">
        <v>789</v>
      </c>
      <c r="B290" s="0" t="s">
        <v>839</v>
      </c>
      <c r="C290" s="0" t="s">
        <v>31</v>
      </c>
      <c r="D290" s="0" t="s">
        <v>799</v>
      </c>
      <c r="E290" s="0" t="s">
        <v>840</v>
      </c>
      <c r="F290" s="0" t="s">
        <v>286</v>
      </c>
      <c r="G290" s="0" t="n">
        <f aca="false">HYPERLINK("http://clipc-services.ceda.ac.uk/dreq/u/398683d4-a0dc-11e6-bc63-ac72891c3257.html","web")</f>
        <v>0</v>
      </c>
      <c r="H290" s="0" t="s">
        <v>801</v>
      </c>
      <c r="I290" s="0" t="s">
        <v>36</v>
      </c>
      <c r="J290" s="0" t="s">
        <v>838</v>
      </c>
      <c r="K290" s="0" t="s">
        <v>803</v>
      </c>
    </row>
    <row r="291" customFormat="false" ht="15" hidden="false" customHeight="false" outlineLevel="0" collapsed="false">
      <c r="A291" s="0" t="s">
        <v>789</v>
      </c>
      <c r="B291" s="0" t="s">
        <v>841</v>
      </c>
      <c r="C291" s="0" t="s">
        <v>31</v>
      </c>
      <c r="D291" s="0" t="s">
        <v>799</v>
      </c>
      <c r="E291" s="0" t="s">
        <v>842</v>
      </c>
      <c r="F291" s="0" t="s">
        <v>286</v>
      </c>
      <c r="G291" s="0" t="n">
        <f aca="false">HYPERLINK("http://clipc-services.ceda.ac.uk/dreq/u/39d8c78e-a0dc-11e6-bc63-ac72891c3257.html","web")</f>
        <v>0</v>
      </c>
      <c r="H291" s="0" t="s">
        <v>801</v>
      </c>
      <c r="I291" s="0" t="s">
        <v>36</v>
      </c>
      <c r="J291" s="0" t="s">
        <v>838</v>
      </c>
      <c r="K291" s="0" t="s">
        <v>803</v>
      </c>
    </row>
    <row r="292" customFormat="false" ht="15" hidden="false" customHeight="false" outlineLevel="0" collapsed="false">
      <c r="A292" s="0" t="s">
        <v>789</v>
      </c>
      <c r="B292" s="0" t="s">
        <v>843</v>
      </c>
      <c r="C292" s="0" t="s">
        <v>31</v>
      </c>
      <c r="D292" s="0" t="s">
        <v>844</v>
      </c>
      <c r="E292" s="0" t="s">
        <v>845</v>
      </c>
      <c r="F292" s="0" t="s">
        <v>286</v>
      </c>
      <c r="G292" s="0" t="n">
        <f aca="false">HYPERLINK("http://clipc-services.ceda.ac.uk/dreq/u/ea313ee8-a0de-11e6-bc63-ac72891c3257.html","web")</f>
        <v>0</v>
      </c>
      <c r="H292" s="0" t="s">
        <v>303</v>
      </c>
      <c r="I292" s="0" t="s">
        <v>36</v>
      </c>
      <c r="J292" s="0" t="s">
        <v>846</v>
      </c>
      <c r="K292" s="0" t="s">
        <v>803</v>
      </c>
    </row>
    <row r="293" customFormat="false" ht="15" hidden="false" customHeight="false" outlineLevel="0" collapsed="false">
      <c r="A293" s="0" t="s">
        <v>789</v>
      </c>
      <c r="B293" s="0" t="s">
        <v>847</v>
      </c>
      <c r="C293" s="0" t="s">
        <v>31</v>
      </c>
      <c r="D293" s="0" t="s">
        <v>844</v>
      </c>
      <c r="E293" s="0" t="s">
        <v>848</v>
      </c>
      <c r="F293" s="0" t="s">
        <v>286</v>
      </c>
      <c r="G293" s="0" t="n">
        <f aca="false">HYPERLINK("http://clipc-services.ceda.ac.uk/dreq/u/ea83846e-a0de-11e6-bc63-ac72891c3257.html","web")</f>
        <v>0</v>
      </c>
      <c r="H293" s="0" t="s">
        <v>303</v>
      </c>
      <c r="I293" s="0" t="s">
        <v>36</v>
      </c>
      <c r="J293" s="0" t="s">
        <v>846</v>
      </c>
      <c r="K293" s="0" t="s">
        <v>803</v>
      </c>
    </row>
    <row r="294" customFormat="false" ht="15" hidden="false" customHeight="false" outlineLevel="0" collapsed="false">
      <c r="A294" s="0" t="s">
        <v>789</v>
      </c>
      <c r="B294" s="0" t="s">
        <v>849</v>
      </c>
      <c r="C294" s="0" t="s">
        <v>31</v>
      </c>
      <c r="D294" s="0" t="s">
        <v>850</v>
      </c>
      <c r="E294" s="0" t="s">
        <v>851</v>
      </c>
      <c r="F294" s="0" t="s">
        <v>286</v>
      </c>
      <c r="G294" s="0" t="n">
        <f aca="false">HYPERLINK("http://clipc-services.ceda.ac.uk/dreq/u/ead5a730-a0de-11e6-bc63-ac72891c3257.html","web")</f>
        <v>0</v>
      </c>
      <c r="H294" s="0" t="s">
        <v>801</v>
      </c>
      <c r="I294" s="0" t="s">
        <v>36</v>
      </c>
      <c r="J294" s="0" t="s">
        <v>846</v>
      </c>
      <c r="K294" s="0" t="s">
        <v>803</v>
      </c>
    </row>
    <row r="295" customFormat="false" ht="15" hidden="false" customHeight="false" outlineLevel="0" collapsed="false">
      <c r="A295" s="0" t="s">
        <v>789</v>
      </c>
      <c r="B295" s="0" t="s">
        <v>852</v>
      </c>
      <c r="C295" s="0" t="s">
        <v>31</v>
      </c>
      <c r="D295" s="0" t="s">
        <v>850</v>
      </c>
      <c r="E295" s="0" t="s">
        <v>853</v>
      </c>
      <c r="F295" s="0" t="s">
        <v>286</v>
      </c>
      <c r="G295" s="0" t="n">
        <f aca="false">HYPERLINK("http://clipc-services.ceda.ac.uk/dreq/u/eb28c564-a0de-11e6-bc63-ac72891c3257.html","web")</f>
        <v>0</v>
      </c>
      <c r="H295" s="0" t="s">
        <v>801</v>
      </c>
      <c r="I295" s="0" t="s">
        <v>36</v>
      </c>
      <c r="J295" s="0" t="s">
        <v>846</v>
      </c>
      <c r="K295" s="0" t="s">
        <v>803</v>
      </c>
    </row>
    <row r="296" customFormat="false" ht="15" hidden="false" customHeight="false" outlineLevel="0" collapsed="false">
      <c r="A296" s="0" t="s">
        <v>789</v>
      </c>
      <c r="B296" s="0" t="s">
        <v>854</v>
      </c>
      <c r="C296" s="0" t="s">
        <v>31</v>
      </c>
      <c r="D296" s="0" t="s">
        <v>850</v>
      </c>
      <c r="E296" s="0" t="s">
        <v>855</v>
      </c>
      <c r="F296" s="0" t="s">
        <v>286</v>
      </c>
      <c r="G296" s="0" t="n">
        <f aca="false">HYPERLINK("http://clipc-services.ceda.ac.uk/dreq/u/eb85339e-a0de-11e6-bc63-ac72891c3257.html","web")</f>
        <v>0</v>
      </c>
      <c r="H296" s="0" t="s">
        <v>801</v>
      </c>
      <c r="I296" s="0" t="s">
        <v>36</v>
      </c>
      <c r="J296" s="0" t="s">
        <v>838</v>
      </c>
      <c r="K296" s="0" t="s">
        <v>803</v>
      </c>
    </row>
    <row r="297" customFormat="false" ht="15" hidden="false" customHeight="false" outlineLevel="0" collapsed="false">
      <c r="A297" s="0" t="s">
        <v>789</v>
      </c>
      <c r="B297" s="0" t="s">
        <v>856</v>
      </c>
      <c r="C297" s="0" t="s">
        <v>31</v>
      </c>
      <c r="D297" s="0" t="s">
        <v>850</v>
      </c>
      <c r="E297" s="0" t="s">
        <v>857</v>
      </c>
      <c r="F297" s="0" t="s">
        <v>286</v>
      </c>
      <c r="G297" s="0" t="n">
        <f aca="false">HYPERLINK("http://clipc-services.ceda.ac.uk/dreq/u/ebd63780-a0de-11e6-bc63-ac72891c3257.html","web")</f>
        <v>0</v>
      </c>
      <c r="H297" s="0" t="s">
        <v>801</v>
      </c>
      <c r="I297" s="0" t="s">
        <v>36</v>
      </c>
      <c r="J297" s="0" t="s">
        <v>838</v>
      </c>
      <c r="K297" s="0" t="s">
        <v>803</v>
      </c>
    </row>
    <row r="298" customFormat="false" ht="15" hidden="false" customHeight="false" outlineLevel="0" collapsed="false">
      <c r="A298" s="0" t="s">
        <v>789</v>
      </c>
      <c r="B298" s="0" t="s">
        <v>301</v>
      </c>
      <c r="C298" s="0" t="s">
        <v>31</v>
      </c>
      <c r="D298" s="0" t="s">
        <v>844</v>
      </c>
      <c r="E298" s="0" t="s">
        <v>302</v>
      </c>
      <c r="F298" s="0" t="s">
        <v>286</v>
      </c>
      <c r="G298" s="0" t="n">
        <f aca="false">HYPERLINK("http://clipc-services.ceda.ac.uk/dreq/u/eb72b66b6365daed79aefeda9d3d30b5.html","web")</f>
        <v>0</v>
      </c>
      <c r="H298" s="0" t="s">
        <v>303</v>
      </c>
      <c r="I298" s="0" t="s">
        <v>36</v>
      </c>
      <c r="J298" s="0" t="s">
        <v>304</v>
      </c>
      <c r="K298" s="0" t="s">
        <v>803</v>
      </c>
    </row>
    <row r="299" customFormat="false" ht="15" hidden="false" customHeight="false" outlineLevel="0" collapsed="false">
      <c r="A299" s="0" t="s">
        <v>789</v>
      </c>
      <c r="B299" s="0" t="s">
        <v>308</v>
      </c>
      <c r="C299" s="0" t="s">
        <v>31</v>
      </c>
      <c r="D299" s="0" t="s">
        <v>844</v>
      </c>
      <c r="E299" s="0" t="s">
        <v>309</v>
      </c>
      <c r="F299" s="0" t="s">
        <v>286</v>
      </c>
      <c r="G299" s="0" t="n">
        <f aca="false">HYPERLINK("http://clipc-services.ceda.ac.uk/dreq/u/38806cec3ba894d7745fada80c9f6fe6.html","web")</f>
        <v>0</v>
      </c>
      <c r="H299" s="0" t="s">
        <v>303</v>
      </c>
      <c r="I299" s="0" t="s">
        <v>36</v>
      </c>
      <c r="J299" s="0" t="s">
        <v>310</v>
      </c>
      <c r="K299" s="0" t="s">
        <v>803</v>
      </c>
    </row>
    <row r="300" customFormat="false" ht="15" hidden="false" customHeight="false" outlineLevel="0" collapsed="false">
      <c r="A300" s="0" t="s">
        <v>789</v>
      </c>
      <c r="B300" s="0" t="s">
        <v>673</v>
      </c>
      <c r="C300" s="0" t="s">
        <v>31</v>
      </c>
      <c r="D300" s="0" t="s">
        <v>858</v>
      </c>
      <c r="E300" s="0" t="s">
        <v>675</v>
      </c>
      <c r="F300" s="0" t="s">
        <v>646</v>
      </c>
      <c r="G300" s="0" t="n">
        <f aca="false">HYPERLINK("http://clipc-services.ceda.ac.uk/dreq/u/9bb9a503065dfbd30c9bbe5c3c6abf99.html","web")</f>
        <v>0</v>
      </c>
      <c r="H300" s="0" t="s">
        <v>676</v>
      </c>
      <c r="I300" s="0" t="s">
        <v>357</v>
      </c>
      <c r="J300" s="0" t="s">
        <v>677</v>
      </c>
      <c r="K300" s="0" t="s">
        <v>803</v>
      </c>
    </row>
    <row r="301" customFormat="false" ht="15" hidden="false" customHeight="false" outlineLevel="0" collapsed="false">
      <c r="A301" s="0" t="s">
        <v>789</v>
      </c>
      <c r="B301" s="0" t="s">
        <v>685</v>
      </c>
      <c r="C301" s="0" t="s">
        <v>31</v>
      </c>
      <c r="D301" s="0" t="s">
        <v>858</v>
      </c>
      <c r="E301" s="0" t="s">
        <v>686</v>
      </c>
      <c r="F301" s="0" t="s">
        <v>646</v>
      </c>
      <c r="G301" s="0" t="n">
        <f aca="false">HYPERLINK("http://clipc-services.ceda.ac.uk/dreq/u/942125e5a461fef57b1477b9a2bd5fa0.html","web")</f>
        <v>0</v>
      </c>
      <c r="H301" s="0" t="s">
        <v>687</v>
      </c>
      <c r="I301" s="0" t="s">
        <v>688</v>
      </c>
      <c r="J301" s="0" t="s">
        <v>689</v>
      </c>
      <c r="K301" s="0" t="s">
        <v>803</v>
      </c>
    </row>
    <row r="303" customFormat="false" ht="15" hidden="false" customHeight="false" outlineLevel="0" collapsed="false">
      <c r="A303" s="0" t="s">
        <v>859</v>
      </c>
      <c r="B303" s="0" t="s">
        <v>649</v>
      </c>
      <c r="C303" s="0" t="s">
        <v>60</v>
      </c>
      <c r="D303" s="0" t="s">
        <v>312</v>
      </c>
      <c r="E303" s="0" t="s">
        <v>650</v>
      </c>
      <c r="F303" s="0" t="s">
        <v>314</v>
      </c>
      <c r="G303" s="0" t="n">
        <f aca="false">HYPERLINK("http://clipc-services.ceda.ac.uk/dreq/u/5917483c-9e49-11e5-803c-0d0b866b59f3.html","web")</f>
        <v>0</v>
      </c>
      <c r="H303" s="0" t="s">
        <v>651</v>
      </c>
      <c r="I303" s="0" t="s">
        <v>36</v>
      </c>
      <c r="J303" s="0" t="s">
        <v>652</v>
      </c>
      <c r="K303" s="0" t="s">
        <v>791</v>
      </c>
    </row>
    <row r="304" customFormat="false" ht="15" hidden="false" customHeight="false" outlineLevel="0" collapsed="false">
      <c r="A304" s="0" t="s">
        <v>859</v>
      </c>
      <c r="B304" s="0" t="s">
        <v>653</v>
      </c>
      <c r="C304" s="0" t="s">
        <v>60</v>
      </c>
      <c r="D304" s="0" t="s">
        <v>312</v>
      </c>
      <c r="E304" s="0" t="s">
        <v>654</v>
      </c>
      <c r="F304" s="0" t="s">
        <v>314</v>
      </c>
      <c r="G304" s="0" t="n">
        <f aca="false">HYPERLINK("http://clipc-services.ceda.ac.uk/dreq/u/59173c0c-9e49-11e5-803c-0d0b866b59f3.html","web")</f>
        <v>0</v>
      </c>
      <c r="H304" s="0" t="s">
        <v>651</v>
      </c>
      <c r="I304" s="0" t="s">
        <v>36</v>
      </c>
      <c r="J304" s="0" t="s">
        <v>655</v>
      </c>
      <c r="K304" s="0" t="s">
        <v>791</v>
      </c>
    </row>
    <row r="305" customFormat="false" ht="15" hidden="false" customHeight="false" outlineLevel="0" collapsed="false">
      <c r="A305" s="0" t="s">
        <v>859</v>
      </c>
      <c r="B305" s="0" t="s">
        <v>656</v>
      </c>
      <c r="C305" s="0" t="s">
        <v>31</v>
      </c>
      <c r="D305" s="0" t="s">
        <v>312</v>
      </c>
      <c r="E305" s="0" t="s">
        <v>657</v>
      </c>
      <c r="F305" s="0" t="s">
        <v>314</v>
      </c>
      <c r="G305" s="0" t="n">
        <f aca="false">HYPERLINK("http://clipc-services.ceda.ac.uk/dreq/u/59170a02-9e49-11e5-803c-0d0b866b59f3.html","web")</f>
        <v>0</v>
      </c>
      <c r="H305" s="0" t="s">
        <v>231</v>
      </c>
      <c r="I305" s="0" t="s">
        <v>204</v>
      </c>
      <c r="J305" s="0" t="s">
        <v>658</v>
      </c>
      <c r="K305" s="0" t="s">
        <v>791</v>
      </c>
    </row>
    <row r="306" customFormat="false" ht="15" hidden="false" customHeight="false" outlineLevel="0" collapsed="false">
      <c r="A306" s="0" t="s">
        <v>859</v>
      </c>
      <c r="B306" s="0" t="s">
        <v>659</v>
      </c>
      <c r="C306" s="0" t="s">
        <v>31</v>
      </c>
      <c r="D306" s="0" t="s">
        <v>312</v>
      </c>
      <c r="E306" s="0" t="s">
        <v>660</v>
      </c>
      <c r="F306" s="0" t="s">
        <v>314</v>
      </c>
      <c r="G306" s="0" t="n">
        <f aca="false">HYPERLINK("http://clipc-services.ceda.ac.uk/dreq/u/5913d86e-9e49-11e5-803c-0d0b866b59f3.html","web")</f>
        <v>0</v>
      </c>
      <c r="H306" s="0" t="s">
        <v>231</v>
      </c>
      <c r="I306" s="0" t="s">
        <v>204</v>
      </c>
      <c r="J306" s="0" t="s">
        <v>661</v>
      </c>
      <c r="K306" s="0" t="s">
        <v>791</v>
      </c>
    </row>
    <row r="307" customFormat="false" ht="15" hidden="false" customHeight="false" outlineLevel="0" collapsed="false">
      <c r="A307" s="0" t="s">
        <v>859</v>
      </c>
      <c r="B307" s="0" t="s">
        <v>662</v>
      </c>
      <c r="C307" s="0" t="s">
        <v>31</v>
      </c>
      <c r="D307" s="0" t="s">
        <v>312</v>
      </c>
      <c r="E307" s="0" t="s">
        <v>663</v>
      </c>
      <c r="F307" s="0" t="s">
        <v>314</v>
      </c>
      <c r="G307" s="0" t="n">
        <f aca="false">HYPERLINK("http://clipc-services.ceda.ac.uk/dreq/u/5913d602-9e49-11e5-803c-0d0b866b59f3.html","web")</f>
        <v>0</v>
      </c>
      <c r="H307" s="0" t="s">
        <v>231</v>
      </c>
      <c r="I307" s="0" t="s">
        <v>204</v>
      </c>
      <c r="J307" s="0" t="s">
        <v>664</v>
      </c>
      <c r="K307" s="0" t="s">
        <v>791</v>
      </c>
    </row>
    <row r="308" customFormat="false" ht="15" hidden="false" customHeight="false" outlineLevel="0" collapsed="false">
      <c r="A308" s="0" t="s">
        <v>859</v>
      </c>
      <c r="B308" s="0" t="s">
        <v>206</v>
      </c>
      <c r="C308" s="0" t="s">
        <v>60</v>
      </c>
      <c r="D308" s="0" t="s">
        <v>858</v>
      </c>
      <c r="E308" s="0" t="s">
        <v>208</v>
      </c>
      <c r="F308" s="0" t="s">
        <v>181</v>
      </c>
      <c r="G308" s="0" t="n">
        <f aca="false">HYPERLINK("http://clipc-services.ceda.ac.uk/dreq/u/6d790fe4caa7feff46a41ae7b3811e52.html","web")</f>
        <v>0</v>
      </c>
      <c r="H308" s="0" t="s">
        <v>209</v>
      </c>
      <c r="J308" s="0" t="s">
        <v>210</v>
      </c>
      <c r="K308" s="0" t="s">
        <v>666</v>
      </c>
    </row>
    <row r="310" customFormat="false" ht="15" hidden="false" customHeight="false" outlineLevel="0" collapsed="false">
      <c r="A310" s="0" t="s">
        <v>860</v>
      </c>
      <c r="B310" s="0" t="s">
        <v>729</v>
      </c>
      <c r="C310" s="0" t="s">
        <v>31</v>
      </c>
      <c r="D310" s="0" t="s">
        <v>179</v>
      </c>
      <c r="E310" s="0" t="s">
        <v>730</v>
      </c>
      <c r="F310" s="0" t="s">
        <v>31</v>
      </c>
      <c r="G310" s="0" t="n">
        <f aca="false">HYPERLINK("http://clipc-services.ceda.ac.uk/dreq/u/db3d77eebc6dc2fbcab4e0f894e46037.html","web")</f>
        <v>0</v>
      </c>
      <c r="H310" s="0" t="s">
        <v>231</v>
      </c>
      <c r="I310" s="0" t="s">
        <v>731</v>
      </c>
      <c r="J310" s="0" t="s">
        <v>732</v>
      </c>
      <c r="K310" s="0" t="s">
        <v>38</v>
      </c>
    </row>
    <row r="311" customFormat="false" ht="15" hidden="false" customHeight="false" outlineLevel="0" collapsed="false">
      <c r="A311" s="0" t="s">
        <v>860</v>
      </c>
      <c r="B311" s="0" t="s">
        <v>861</v>
      </c>
      <c r="C311" s="0" t="s">
        <v>31</v>
      </c>
      <c r="D311" s="0" t="s">
        <v>862</v>
      </c>
      <c r="E311" s="0" t="s">
        <v>863</v>
      </c>
      <c r="F311" s="0" t="s">
        <v>230</v>
      </c>
      <c r="G311" s="0" t="n">
        <f aca="false">HYPERLINK("http://clipc-services.ceda.ac.uk/dreq/u/0cde14f7745a201d47b856579bf6e759.html","web")</f>
        <v>0</v>
      </c>
      <c r="H311" s="0" t="s">
        <v>864</v>
      </c>
      <c r="I311" s="0" t="s">
        <v>36</v>
      </c>
      <c r="J311" s="0" t="s">
        <v>865</v>
      </c>
      <c r="K311" s="0" t="s">
        <v>38</v>
      </c>
    </row>
    <row r="312" customFormat="false" ht="15" hidden="false" customHeight="false" outlineLevel="0" collapsed="false">
      <c r="A312" s="0" t="s">
        <v>860</v>
      </c>
      <c r="B312" s="0" t="s">
        <v>866</v>
      </c>
      <c r="C312" s="0" t="s">
        <v>31</v>
      </c>
      <c r="D312" s="0" t="s">
        <v>862</v>
      </c>
      <c r="E312" s="0" t="s">
        <v>867</v>
      </c>
      <c r="F312" s="0" t="s">
        <v>16</v>
      </c>
      <c r="G312" s="0" t="n">
        <f aca="false">HYPERLINK("http://clipc-services.ceda.ac.uk/dreq/u/fc0bedbaf6d676fb85fe189310c871a8.html","web")</f>
        <v>0</v>
      </c>
      <c r="H312" s="0" t="s">
        <v>868</v>
      </c>
      <c r="I312" s="0" t="s">
        <v>36</v>
      </c>
      <c r="J312" s="0" t="s">
        <v>869</v>
      </c>
      <c r="K312" s="0" t="s">
        <v>38</v>
      </c>
    </row>
    <row r="313" customFormat="false" ht="15" hidden="false" customHeight="false" outlineLevel="0" collapsed="false">
      <c r="A313" s="0" t="s">
        <v>860</v>
      </c>
      <c r="B313" s="0" t="s">
        <v>870</v>
      </c>
      <c r="C313" s="0" t="s">
        <v>31</v>
      </c>
      <c r="D313" s="0" t="s">
        <v>871</v>
      </c>
      <c r="E313" s="0" t="s">
        <v>872</v>
      </c>
      <c r="F313" s="0" t="s">
        <v>16</v>
      </c>
      <c r="G313" s="0" t="n">
        <f aca="false">HYPERLINK("http://clipc-services.ceda.ac.uk/dreq/u/b1644981b0abd369ad35fac3fc930873.html","web")</f>
        <v>0</v>
      </c>
      <c r="H313" s="0" t="s">
        <v>873</v>
      </c>
      <c r="I313" s="0" t="s">
        <v>36</v>
      </c>
      <c r="J313" s="0" t="s">
        <v>874</v>
      </c>
      <c r="K313" s="0" t="s">
        <v>38</v>
      </c>
    </row>
    <row r="315" customFormat="false" ht="15" hidden="false" customHeight="false" outlineLevel="0" collapsed="false">
      <c r="A315" s="0" t="s">
        <v>875</v>
      </c>
      <c r="B315" s="0" t="s">
        <v>876</v>
      </c>
      <c r="C315" s="0" t="s">
        <v>60</v>
      </c>
      <c r="D315" s="0" t="s">
        <v>877</v>
      </c>
      <c r="E315" s="0" t="s">
        <v>878</v>
      </c>
      <c r="F315" s="0" t="s">
        <v>340</v>
      </c>
      <c r="G315" s="0" t="n">
        <f aca="false">HYPERLINK("http://clipc-services.ceda.ac.uk/dreq/u/4fb426293126d528f2bbf902b6ede847.html","web")</f>
        <v>0</v>
      </c>
      <c r="H315" s="0" t="s">
        <v>75</v>
      </c>
      <c r="I315" s="0" t="s">
        <v>89</v>
      </c>
      <c r="J315" s="0" t="s">
        <v>879</v>
      </c>
      <c r="K315" s="0" t="s">
        <v>880</v>
      </c>
    </row>
    <row r="316" customFormat="false" ht="15" hidden="false" customHeight="false" outlineLevel="0" collapsed="false">
      <c r="A316" s="0" t="s">
        <v>875</v>
      </c>
      <c r="B316" s="0" t="s">
        <v>881</v>
      </c>
      <c r="C316" s="0" t="s">
        <v>60</v>
      </c>
      <c r="D316" s="0" t="s">
        <v>877</v>
      </c>
      <c r="E316" s="0" t="s">
        <v>882</v>
      </c>
      <c r="F316" s="0" t="s">
        <v>286</v>
      </c>
      <c r="G316" s="0" t="n">
        <f aca="false">HYPERLINK("http://clipc-services.ceda.ac.uk/dreq/u/1763f47c438dc252b1317c9861792f50.html","web")</f>
        <v>0</v>
      </c>
      <c r="H316" s="0" t="s">
        <v>75</v>
      </c>
      <c r="I316" s="0" t="s">
        <v>89</v>
      </c>
      <c r="J316" s="0" t="s">
        <v>883</v>
      </c>
      <c r="K316" s="0" t="s">
        <v>880</v>
      </c>
    </row>
    <row r="317" customFormat="false" ht="15" hidden="false" customHeight="false" outlineLevel="0" collapsed="false">
      <c r="A317" s="0" t="s">
        <v>875</v>
      </c>
      <c r="B317" s="0" t="s">
        <v>884</v>
      </c>
      <c r="C317" s="0" t="s">
        <v>60</v>
      </c>
      <c r="D317" s="0" t="s">
        <v>877</v>
      </c>
      <c r="E317" s="0" t="s">
        <v>885</v>
      </c>
      <c r="F317" s="0" t="s">
        <v>286</v>
      </c>
      <c r="G317" s="0" t="n">
        <f aca="false">HYPERLINK("http://clipc-services.ceda.ac.uk/dreq/u/d00cab8104f1a9e853ebfa511d725462.html","web")</f>
        <v>0</v>
      </c>
      <c r="H317" s="0" t="s">
        <v>75</v>
      </c>
      <c r="I317" s="0" t="s">
        <v>89</v>
      </c>
      <c r="J317" s="0" t="s">
        <v>886</v>
      </c>
      <c r="K317" s="0" t="s">
        <v>880</v>
      </c>
    </row>
    <row r="318" customFormat="false" ht="15" hidden="false" customHeight="false" outlineLevel="0" collapsed="false">
      <c r="A318" s="0" t="s">
        <v>875</v>
      </c>
      <c r="B318" s="0" t="s">
        <v>887</v>
      </c>
      <c r="C318" s="0" t="s">
        <v>60</v>
      </c>
      <c r="D318" s="0" t="s">
        <v>877</v>
      </c>
      <c r="E318" s="0" t="s">
        <v>888</v>
      </c>
      <c r="F318" s="0" t="s">
        <v>340</v>
      </c>
      <c r="G318" s="0" t="n">
        <f aca="false">HYPERLINK("http://clipc-services.ceda.ac.uk/dreq/u/f94930c327a257dddea9ef9d0e260ed3.html","web")</f>
        <v>0</v>
      </c>
      <c r="H318" s="0" t="s">
        <v>75</v>
      </c>
      <c r="I318" s="0" t="s">
        <v>89</v>
      </c>
      <c r="J318" s="0" t="s">
        <v>889</v>
      </c>
      <c r="K318" s="0" t="s">
        <v>880</v>
      </c>
    </row>
    <row r="319" customFormat="false" ht="15" hidden="false" customHeight="false" outlineLevel="0" collapsed="false">
      <c r="A319" s="0" t="s">
        <v>875</v>
      </c>
      <c r="B319" s="0" t="s">
        <v>890</v>
      </c>
      <c r="C319" s="0" t="s">
        <v>60</v>
      </c>
      <c r="D319" s="0" t="s">
        <v>877</v>
      </c>
      <c r="E319" s="0" t="s">
        <v>891</v>
      </c>
      <c r="F319" s="0" t="s">
        <v>340</v>
      </c>
      <c r="G319" s="0" t="n">
        <f aca="false">HYPERLINK("http://clipc-services.ceda.ac.uk/dreq/u/62cb333ec6550e64596f563d114977af.html","web")</f>
        <v>0</v>
      </c>
      <c r="H319" s="0" t="s">
        <v>75</v>
      </c>
      <c r="I319" s="0" t="s">
        <v>89</v>
      </c>
      <c r="J319" s="0" t="s">
        <v>892</v>
      </c>
      <c r="K319" s="0" t="s">
        <v>880</v>
      </c>
    </row>
    <row r="320" customFormat="false" ht="15" hidden="false" customHeight="false" outlineLevel="0" collapsed="false">
      <c r="A320" s="0" t="s">
        <v>875</v>
      </c>
      <c r="B320" s="0" t="s">
        <v>222</v>
      </c>
      <c r="C320" s="0" t="s">
        <v>31</v>
      </c>
      <c r="D320" s="0" t="s">
        <v>877</v>
      </c>
      <c r="E320" s="0" t="s">
        <v>223</v>
      </c>
      <c r="F320" s="0" t="s">
        <v>16</v>
      </c>
      <c r="G320" s="0" t="n">
        <f aca="false">HYPERLINK("http://clipc-services.ceda.ac.uk/dreq/u/44471dd9799293cef70ac63fcdd2476e.html","web")</f>
        <v>0</v>
      </c>
      <c r="I320" s="0" t="s">
        <v>18</v>
      </c>
      <c r="J320" s="0" t="s">
        <v>224</v>
      </c>
      <c r="K320" s="0" t="s">
        <v>880</v>
      </c>
    </row>
    <row r="322" customFormat="false" ht="15" hidden="false" customHeight="false" outlineLevel="0" collapsed="false">
      <c r="A322" s="0" t="s">
        <v>893</v>
      </c>
      <c r="B322" s="0" t="s">
        <v>78</v>
      </c>
      <c r="C322" s="0" t="s">
        <v>31</v>
      </c>
      <c r="D322" s="0" t="s">
        <v>894</v>
      </c>
      <c r="E322" s="0" t="s">
        <v>79</v>
      </c>
      <c r="F322" s="0" t="s">
        <v>80</v>
      </c>
      <c r="G322" s="0" t="n">
        <f aca="false">HYPERLINK("http://clipc-services.ceda.ac.uk/dreq/u/4c69515bfc84c5cb5624e94228f58351.html","web")</f>
        <v>0</v>
      </c>
      <c r="H322" s="0" t="s">
        <v>81</v>
      </c>
      <c r="I322" s="0" t="s">
        <v>45</v>
      </c>
      <c r="J322" s="0" t="s">
        <v>82</v>
      </c>
      <c r="K322" s="0" t="s">
        <v>895</v>
      </c>
    </row>
    <row r="323" customFormat="false" ht="15" hidden="false" customHeight="false" outlineLevel="0" collapsed="false">
      <c r="A323" s="0" t="s">
        <v>893</v>
      </c>
      <c r="B323" s="0" t="s">
        <v>896</v>
      </c>
      <c r="C323" s="0" t="s">
        <v>31</v>
      </c>
      <c r="D323" s="0" t="s">
        <v>14</v>
      </c>
      <c r="E323" s="0" t="s">
        <v>897</v>
      </c>
      <c r="G323" s="0" t="n">
        <f aca="false">HYPERLINK("http://clipc-services.ceda.ac.uk/dreq/u/962e51dc-267b-11e7-96a5-ac72891c3257.html","web")</f>
        <v>0</v>
      </c>
      <c r="H323" s="0" t="s">
        <v>898</v>
      </c>
      <c r="I323" s="0" t="s">
        <v>899</v>
      </c>
      <c r="J323" s="0" t="s">
        <v>900</v>
      </c>
      <c r="K323" s="0" t="s">
        <v>901</v>
      </c>
    </row>
    <row r="325" customFormat="false" ht="15" hidden="false" customHeight="false" outlineLevel="0" collapsed="false">
      <c r="A325" s="0" t="s">
        <v>902</v>
      </c>
      <c r="B325" s="0" t="s">
        <v>903</v>
      </c>
      <c r="C325" s="0" t="s">
        <v>31</v>
      </c>
      <c r="D325" s="0" t="s">
        <v>904</v>
      </c>
      <c r="E325" s="0" t="s">
        <v>905</v>
      </c>
      <c r="F325" s="0" t="s">
        <v>785</v>
      </c>
      <c r="G325" s="0" t="n">
        <f aca="false">HYPERLINK("http://clipc-services.ceda.ac.uk/dreq/u/5917b704-9e49-11e5-803c-0d0b866b59f3.html","web")</f>
        <v>0</v>
      </c>
      <c r="H325" s="0" t="s">
        <v>906</v>
      </c>
      <c r="I325" s="0" t="s">
        <v>204</v>
      </c>
      <c r="J325" s="0" t="s">
        <v>907</v>
      </c>
      <c r="K325" s="0" t="s">
        <v>666</v>
      </c>
    </row>
    <row r="327" customFormat="false" ht="15" hidden="false" customHeight="false" outlineLevel="0" collapsed="false">
      <c r="A327" s="0" t="s">
        <v>908</v>
      </c>
      <c r="B327" s="0" t="s">
        <v>909</v>
      </c>
      <c r="C327" s="0" t="s">
        <v>31</v>
      </c>
      <c r="D327" s="0" t="s">
        <v>910</v>
      </c>
      <c r="E327" s="0" t="s">
        <v>911</v>
      </c>
      <c r="F327" s="0" t="s">
        <v>912</v>
      </c>
      <c r="G327" s="0" t="n">
        <f aca="false">HYPERLINK("http://clipc-services.ceda.ac.uk/dreq/u/590d17f4-9e49-11e5-803c-0d0b866b59f3.html","web")</f>
        <v>0</v>
      </c>
      <c r="H327" s="0" t="s">
        <v>913</v>
      </c>
      <c r="I327" s="0" t="s">
        <v>18</v>
      </c>
      <c r="J327" s="0" t="s">
        <v>914</v>
      </c>
      <c r="K327" s="0" t="s">
        <v>915</v>
      </c>
    </row>
    <row r="328" customFormat="false" ht="15" hidden="false" customHeight="false" outlineLevel="0" collapsed="false">
      <c r="A328" s="0" t="s">
        <v>908</v>
      </c>
      <c r="B328" s="0" t="s">
        <v>792</v>
      </c>
      <c r="C328" s="0" t="s">
        <v>31</v>
      </c>
      <c r="D328" s="0" t="s">
        <v>916</v>
      </c>
      <c r="E328" s="0" t="s">
        <v>794</v>
      </c>
      <c r="F328" s="0" t="s">
        <v>31</v>
      </c>
      <c r="G328" s="0" t="n">
        <f aca="false">HYPERLINK("http://clipc-services.ceda.ac.uk/dreq/u/a06b8e83250b870d9f39dc1f6534efcb.html","web")</f>
        <v>0</v>
      </c>
      <c r="H328" s="0" t="s">
        <v>795</v>
      </c>
      <c r="I328" s="0" t="s">
        <v>215</v>
      </c>
      <c r="J328" s="0" t="s">
        <v>796</v>
      </c>
      <c r="K328" s="0" t="s">
        <v>791</v>
      </c>
    </row>
    <row r="329" customFormat="false" ht="15" hidden="false" customHeight="false" outlineLevel="0" collapsed="false">
      <c r="A329" s="0" t="s">
        <v>908</v>
      </c>
      <c r="B329" s="0" t="s">
        <v>917</v>
      </c>
      <c r="C329" s="0" t="s">
        <v>31</v>
      </c>
      <c r="D329" s="0" t="s">
        <v>179</v>
      </c>
      <c r="E329" s="0" t="s">
        <v>918</v>
      </c>
      <c r="F329" s="0" t="s">
        <v>912</v>
      </c>
      <c r="G329" s="0" t="n">
        <f aca="false">HYPERLINK("http://clipc-services.ceda.ac.uk/dreq/u/590ef7b8-9e49-11e5-803c-0d0b866b59f3.html","web")</f>
        <v>0</v>
      </c>
      <c r="H329" s="0" t="s">
        <v>919</v>
      </c>
      <c r="I329" s="0" t="s">
        <v>36</v>
      </c>
      <c r="J329" s="0" t="s">
        <v>920</v>
      </c>
      <c r="K329" s="0" t="s">
        <v>791</v>
      </c>
    </row>
    <row r="330" customFormat="false" ht="15" hidden="false" customHeight="false" outlineLevel="0" collapsed="false">
      <c r="A330" s="0" t="s">
        <v>908</v>
      </c>
      <c r="B330" s="0" t="s">
        <v>360</v>
      </c>
      <c r="C330" s="0" t="s">
        <v>31</v>
      </c>
      <c r="D330" s="0" t="s">
        <v>179</v>
      </c>
      <c r="E330" s="0" t="s">
        <v>361</v>
      </c>
      <c r="F330" s="0" t="s">
        <v>286</v>
      </c>
      <c r="G330" s="0" t="n">
        <f aca="false">HYPERLINK("http://clipc-services.ceda.ac.uk/dreq/u/f27656eeae247192e82aa1032c911399.html","web")</f>
        <v>0</v>
      </c>
      <c r="H330" s="0" t="s">
        <v>362</v>
      </c>
      <c r="I330" s="0" t="s">
        <v>363</v>
      </c>
      <c r="J330" s="0" t="s">
        <v>364</v>
      </c>
      <c r="K330" s="0" t="s">
        <v>791</v>
      </c>
    </row>
    <row r="331" customFormat="false" ht="15" hidden="false" customHeight="false" outlineLevel="0" collapsed="false">
      <c r="A331" s="0" t="s">
        <v>908</v>
      </c>
      <c r="B331" s="0" t="s">
        <v>921</v>
      </c>
      <c r="C331" s="0" t="s">
        <v>31</v>
      </c>
      <c r="D331" s="0" t="s">
        <v>179</v>
      </c>
      <c r="E331" s="0" t="s">
        <v>922</v>
      </c>
      <c r="F331" s="0" t="s">
        <v>286</v>
      </c>
      <c r="G331" s="0" t="n">
        <f aca="false">HYPERLINK("http://clipc-services.ceda.ac.uk/dreq/u/6ca9dd8a089b15fb96841e9fe56411cf.html","web")</f>
        <v>0</v>
      </c>
      <c r="H331" s="0" t="s">
        <v>923</v>
      </c>
      <c r="I331" s="0" t="s">
        <v>924</v>
      </c>
      <c r="J331" s="0" t="s">
        <v>925</v>
      </c>
      <c r="K331" s="0" t="s">
        <v>791</v>
      </c>
    </row>
    <row r="332" customFormat="false" ht="15" hidden="false" customHeight="false" outlineLevel="0" collapsed="false">
      <c r="A332" s="0" t="s">
        <v>908</v>
      </c>
      <c r="B332" s="0" t="s">
        <v>926</v>
      </c>
      <c r="C332" s="0" t="s">
        <v>31</v>
      </c>
      <c r="D332" s="0" t="s">
        <v>179</v>
      </c>
      <c r="E332" s="0" t="s">
        <v>927</v>
      </c>
      <c r="F332" s="0" t="s">
        <v>197</v>
      </c>
      <c r="G332" s="0" t="n">
        <f aca="false">HYPERLINK("http://clipc-services.ceda.ac.uk/dreq/u/590ea93e-9e49-11e5-803c-0d0b866b59f3.html","web")</f>
        <v>0</v>
      </c>
      <c r="H332" s="0" t="s">
        <v>928</v>
      </c>
      <c r="I332" s="0" t="s">
        <v>204</v>
      </c>
      <c r="J332" s="0" t="s">
        <v>929</v>
      </c>
      <c r="K332" s="0" t="s">
        <v>233</v>
      </c>
    </row>
    <row r="333" customFormat="false" ht="15" hidden="false" customHeight="false" outlineLevel="0" collapsed="false">
      <c r="A333" s="0" t="s">
        <v>908</v>
      </c>
      <c r="B333" s="0" t="s">
        <v>930</v>
      </c>
      <c r="C333" s="0" t="s">
        <v>31</v>
      </c>
      <c r="D333" s="0" t="s">
        <v>179</v>
      </c>
      <c r="E333" s="0" t="s">
        <v>931</v>
      </c>
      <c r="F333" s="0" t="s">
        <v>197</v>
      </c>
      <c r="G333" s="0" t="n">
        <f aca="false">HYPERLINK("http://clipc-services.ceda.ac.uk/dreq/u/590f5b72-9e49-11e5-803c-0d0b866b59f3.html","web")</f>
        <v>0</v>
      </c>
      <c r="H333" s="0" t="s">
        <v>932</v>
      </c>
      <c r="I333" s="0" t="s">
        <v>204</v>
      </c>
      <c r="J333" s="0" t="s">
        <v>933</v>
      </c>
      <c r="K333" s="0" t="s">
        <v>233</v>
      </c>
    </row>
    <row r="334" customFormat="false" ht="15" hidden="false" customHeight="false" outlineLevel="0" collapsed="false">
      <c r="A334" s="0" t="s">
        <v>908</v>
      </c>
      <c r="B334" s="0" t="s">
        <v>701</v>
      </c>
      <c r="C334" s="0" t="s">
        <v>31</v>
      </c>
      <c r="D334" s="0" t="s">
        <v>179</v>
      </c>
      <c r="E334" s="0" t="s">
        <v>702</v>
      </c>
      <c r="F334" s="0" t="s">
        <v>181</v>
      </c>
      <c r="G334" s="0" t="n">
        <f aca="false">HYPERLINK("http://clipc-services.ceda.ac.uk/dreq/u/7553003ead183dd3276108b6311a337f.html","web")</f>
        <v>0</v>
      </c>
      <c r="H334" s="0" t="s">
        <v>231</v>
      </c>
      <c r="I334" s="0" t="s">
        <v>204</v>
      </c>
      <c r="J334" s="0" t="s">
        <v>703</v>
      </c>
      <c r="K334" s="0" t="s">
        <v>934</v>
      </c>
    </row>
    <row r="335" customFormat="false" ht="15" hidden="false" customHeight="false" outlineLevel="0" collapsed="false">
      <c r="A335" s="0" t="s">
        <v>908</v>
      </c>
      <c r="B335" s="0" t="s">
        <v>935</v>
      </c>
      <c r="C335" s="0" t="s">
        <v>31</v>
      </c>
      <c r="D335" s="0" t="s">
        <v>936</v>
      </c>
      <c r="E335" s="0" t="s">
        <v>937</v>
      </c>
      <c r="F335" s="0" t="s">
        <v>785</v>
      </c>
      <c r="G335" s="0" t="n">
        <f aca="false">HYPERLINK("http://clipc-services.ceda.ac.uk/dreq/u/170ff384-b622-11e6-bbe2-ac72891c3257.html","web")</f>
        <v>0</v>
      </c>
      <c r="H335" s="0" t="s">
        <v>938</v>
      </c>
      <c r="I335" s="0" t="s">
        <v>939</v>
      </c>
      <c r="J335" s="0" t="s">
        <v>940</v>
      </c>
      <c r="K335" s="0" t="s">
        <v>709</v>
      </c>
    </row>
    <row r="336" customFormat="false" ht="15" hidden="false" customHeight="false" outlineLevel="0" collapsed="false">
      <c r="A336" s="0" t="s">
        <v>908</v>
      </c>
      <c r="B336" s="0" t="s">
        <v>941</v>
      </c>
      <c r="C336" s="0" t="s">
        <v>31</v>
      </c>
      <c r="D336" s="0" t="s">
        <v>936</v>
      </c>
      <c r="E336" s="0" t="s">
        <v>942</v>
      </c>
      <c r="F336" s="0" t="s">
        <v>785</v>
      </c>
      <c r="G336" s="0" t="n">
        <f aca="false">HYPERLINK("http://clipc-services.ceda.ac.uk/dreq/u/1758307c-b622-11e6-bbe2-ac72891c3257.html","web")</f>
        <v>0</v>
      </c>
      <c r="H336" s="0" t="s">
        <v>938</v>
      </c>
      <c r="I336" s="0" t="s">
        <v>939</v>
      </c>
      <c r="J336" s="0" t="s">
        <v>943</v>
      </c>
      <c r="K336" s="0" t="s">
        <v>709</v>
      </c>
    </row>
    <row r="337" customFormat="false" ht="15" hidden="false" customHeight="false" outlineLevel="0" collapsed="false">
      <c r="A337" s="0" t="s">
        <v>908</v>
      </c>
      <c r="B337" s="0" t="s">
        <v>944</v>
      </c>
      <c r="C337" s="0" t="s">
        <v>31</v>
      </c>
      <c r="D337" s="0" t="s">
        <v>936</v>
      </c>
      <c r="E337" s="0" t="s">
        <v>945</v>
      </c>
      <c r="F337" s="0" t="s">
        <v>24</v>
      </c>
      <c r="G337" s="0" t="n">
        <f aca="false">HYPERLINK("http://clipc-services.ceda.ac.uk/dreq/u/bf56baca-c14c-11e6-bb6a-ac72891c3257.html","web")</f>
        <v>0</v>
      </c>
      <c r="H337" s="0" t="s">
        <v>938</v>
      </c>
      <c r="I337" s="0" t="s">
        <v>939</v>
      </c>
      <c r="J337" s="0" t="s">
        <v>946</v>
      </c>
      <c r="K337" s="0" t="s">
        <v>709</v>
      </c>
    </row>
    <row r="339" customFormat="false" ht="15" hidden="false" customHeight="false" outlineLevel="0" collapsed="false">
      <c r="A339" s="0" t="s">
        <v>947</v>
      </c>
      <c r="B339" s="0" t="s">
        <v>948</v>
      </c>
      <c r="C339" s="0" t="s">
        <v>31</v>
      </c>
      <c r="D339" s="0" t="s">
        <v>228</v>
      </c>
      <c r="E339" s="0" t="s">
        <v>949</v>
      </c>
      <c r="F339" s="0" t="s">
        <v>646</v>
      </c>
      <c r="G339" s="0" t="n">
        <f aca="false">HYPERLINK("http://clipc-services.ceda.ac.uk/dreq/u/96a44ea6-b096-11e6-aab6-ac72891c3257.html","web")</f>
        <v>0</v>
      </c>
      <c r="H339" s="0" t="s">
        <v>714</v>
      </c>
      <c r="I339" s="0" t="s">
        <v>688</v>
      </c>
      <c r="J339" s="0" t="s">
        <v>950</v>
      </c>
      <c r="K339" s="0" t="s">
        <v>38</v>
      </c>
    </row>
    <row r="340" customFormat="false" ht="15" hidden="false" customHeight="false" outlineLevel="0" collapsed="false">
      <c r="A340" s="0" t="s">
        <v>947</v>
      </c>
      <c r="B340" s="0" t="s">
        <v>951</v>
      </c>
      <c r="C340" s="0" t="s">
        <v>31</v>
      </c>
      <c r="D340" s="0" t="s">
        <v>228</v>
      </c>
      <c r="E340" s="0" t="s">
        <v>952</v>
      </c>
      <c r="F340" s="0" t="s">
        <v>646</v>
      </c>
      <c r="G340" s="0" t="n">
        <f aca="false">HYPERLINK("http://clipc-services.ceda.ac.uk/dreq/u/afef6490-b096-11e6-aab6-ac72891c3257.html","web")</f>
        <v>0</v>
      </c>
      <c r="H340" s="0" t="s">
        <v>714</v>
      </c>
      <c r="I340" s="0" t="s">
        <v>688</v>
      </c>
      <c r="J340" s="0" t="s">
        <v>953</v>
      </c>
      <c r="K340" s="0" t="s">
        <v>38</v>
      </c>
    </row>
    <row r="341" customFormat="false" ht="15" hidden="false" customHeight="false" outlineLevel="0" collapsed="false">
      <c r="A341" s="0" t="s">
        <v>947</v>
      </c>
      <c r="B341" s="0" t="s">
        <v>742</v>
      </c>
      <c r="C341" s="0" t="s">
        <v>31</v>
      </c>
      <c r="D341" s="0" t="s">
        <v>228</v>
      </c>
      <c r="E341" s="0" t="s">
        <v>743</v>
      </c>
      <c r="F341" s="0" t="s">
        <v>31</v>
      </c>
      <c r="G341" s="0" t="n">
        <f aca="false">HYPERLINK("http://clipc-services.ceda.ac.uk/dreq/u/a7cf325e9bf994ade073a1297378a57c.html","web")</f>
        <v>0</v>
      </c>
      <c r="H341" s="0" t="s">
        <v>744</v>
      </c>
      <c r="I341" s="0" t="s">
        <v>357</v>
      </c>
      <c r="J341" s="0" t="s">
        <v>745</v>
      </c>
      <c r="K341" s="0" t="s">
        <v>38</v>
      </c>
    </row>
    <row r="342" customFormat="false" ht="15" hidden="false" customHeight="false" outlineLevel="0" collapsed="false">
      <c r="A342" s="0" t="s">
        <v>947</v>
      </c>
      <c r="B342" s="0" t="s">
        <v>746</v>
      </c>
      <c r="C342" s="0" t="s">
        <v>31</v>
      </c>
      <c r="D342" s="0" t="s">
        <v>228</v>
      </c>
      <c r="E342" s="0" t="s">
        <v>747</v>
      </c>
      <c r="F342" s="0" t="s">
        <v>646</v>
      </c>
      <c r="G342" s="0" t="n">
        <f aca="false">HYPERLINK("http://clipc-services.ceda.ac.uk/dreq/u/cc8f92a2635774d636748ec8007c4bab.html","web")</f>
        <v>0</v>
      </c>
      <c r="H342" s="0" t="s">
        <v>714</v>
      </c>
      <c r="I342" s="0" t="s">
        <v>688</v>
      </c>
      <c r="J342" s="0" t="s">
        <v>748</v>
      </c>
      <c r="K342" s="0" t="s">
        <v>38</v>
      </c>
    </row>
    <row r="343" customFormat="false" ht="15" hidden="false" customHeight="false" outlineLevel="0" collapsed="false">
      <c r="A343" s="0" t="s">
        <v>947</v>
      </c>
      <c r="B343" s="0" t="s">
        <v>954</v>
      </c>
      <c r="C343" s="0" t="s">
        <v>31</v>
      </c>
      <c r="D343" s="0" t="s">
        <v>228</v>
      </c>
      <c r="E343" s="0" t="s">
        <v>955</v>
      </c>
      <c r="F343" s="0" t="s">
        <v>713</v>
      </c>
      <c r="G343" s="0" t="n">
        <f aca="false">HYPERLINK("http://clipc-services.ceda.ac.uk/dreq/u/e703d0fcbdd5f975485b3404a331ed91.html","web")</f>
        <v>0</v>
      </c>
      <c r="H343" s="0" t="s">
        <v>54</v>
      </c>
      <c r="I343" s="0" t="s">
        <v>36</v>
      </c>
      <c r="J343" s="0" t="s">
        <v>956</v>
      </c>
      <c r="K343" s="0" t="s">
        <v>957</v>
      </c>
    </row>
    <row r="344" customFormat="false" ht="15" hidden="false" customHeight="false" outlineLevel="0" collapsed="false">
      <c r="A344" s="0" t="s">
        <v>947</v>
      </c>
      <c r="B344" s="0" t="s">
        <v>685</v>
      </c>
      <c r="C344" s="0" t="s">
        <v>31</v>
      </c>
      <c r="D344" s="0" t="s">
        <v>228</v>
      </c>
      <c r="E344" s="0" t="s">
        <v>686</v>
      </c>
      <c r="F344" s="0" t="s">
        <v>646</v>
      </c>
      <c r="G344" s="0" t="n">
        <f aca="false">HYPERLINK("http://clipc-services.ceda.ac.uk/dreq/u/942125e5a461fef57b1477b9a2bd5fa0.html","web")</f>
        <v>0</v>
      </c>
      <c r="H344" s="0" t="s">
        <v>687</v>
      </c>
      <c r="I344" s="0" t="s">
        <v>688</v>
      </c>
      <c r="J344" s="0" t="s">
        <v>689</v>
      </c>
      <c r="K344" s="0" t="s">
        <v>38</v>
      </c>
    </row>
    <row r="345" customFormat="false" ht="15" hidden="false" customHeight="false" outlineLevel="0" collapsed="false">
      <c r="A345" s="0" t="s">
        <v>947</v>
      </c>
      <c r="B345" s="0" t="s">
        <v>958</v>
      </c>
      <c r="C345" s="0" t="s">
        <v>31</v>
      </c>
      <c r="D345" s="0" t="s">
        <v>959</v>
      </c>
      <c r="E345" s="0" t="s">
        <v>960</v>
      </c>
      <c r="F345" s="0" t="s">
        <v>286</v>
      </c>
      <c r="G345" s="0" t="n">
        <f aca="false">HYPERLINK("http://clipc-services.ceda.ac.uk/dreq/u/76248ae1d72c976495be67161d5a8d7d.html","web")</f>
        <v>0</v>
      </c>
      <c r="H345" s="0" t="s">
        <v>873</v>
      </c>
      <c r="I345" s="0" t="s">
        <v>36</v>
      </c>
      <c r="J345" s="0" t="s">
        <v>961</v>
      </c>
      <c r="K345" s="0" t="s">
        <v>38</v>
      </c>
    </row>
    <row r="347" customFormat="false" ht="15" hidden="false" customHeight="false" outlineLevel="0" collapsed="false">
      <c r="A347" s="0" t="s">
        <v>962</v>
      </c>
      <c r="B347" s="0" t="s">
        <v>742</v>
      </c>
      <c r="C347" s="0" t="s">
        <v>13</v>
      </c>
      <c r="D347" s="0" t="s">
        <v>858</v>
      </c>
      <c r="E347" s="0" t="s">
        <v>743</v>
      </c>
      <c r="F347" s="0" t="s">
        <v>31</v>
      </c>
      <c r="G347" s="0" t="n">
        <f aca="false">HYPERLINK("http://clipc-services.ceda.ac.uk/dreq/u/a7cf325e9bf994ade073a1297378a57c.html","web")</f>
        <v>0</v>
      </c>
      <c r="H347" s="0" t="s">
        <v>744</v>
      </c>
      <c r="I347" s="0" t="s">
        <v>357</v>
      </c>
      <c r="J347" s="0" t="s">
        <v>745</v>
      </c>
      <c r="K347" s="0" t="s">
        <v>791</v>
      </c>
    </row>
    <row r="348" customFormat="false" ht="15" hidden="false" customHeight="false" outlineLevel="0" collapsed="false">
      <c r="A348" s="0" t="s">
        <v>962</v>
      </c>
      <c r="B348" s="0" t="s">
        <v>412</v>
      </c>
      <c r="C348" s="0" t="s">
        <v>13</v>
      </c>
      <c r="D348" s="0" t="s">
        <v>858</v>
      </c>
      <c r="E348" s="0" t="s">
        <v>413</v>
      </c>
      <c r="F348" s="0" t="s">
        <v>24</v>
      </c>
      <c r="G348" s="0" t="n">
        <f aca="false">HYPERLINK("http://clipc-services.ceda.ac.uk/dreq/u/1aefc13bd27020244fe1cfd706ce1041.html","web")</f>
        <v>0</v>
      </c>
      <c r="H348" s="0" t="s">
        <v>231</v>
      </c>
      <c r="I348" s="0" t="s">
        <v>204</v>
      </c>
      <c r="J348" s="0" t="s">
        <v>414</v>
      </c>
      <c r="K348" s="0" t="s">
        <v>791</v>
      </c>
    </row>
    <row r="349" customFormat="false" ht="15" hidden="false" customHeight="false" outlineLevel="0" collapsed="false">
      <c r="A349" s="0" t="s">
        <v>962</v>
      </c>
      <c r="B349" s="0" t="s">
        <v>415</v>
      </c>
      <c r="C349" s="0" t="s">
        <v>13</v>
      </c>
      <c r="D349" s="0" t="s">
        <v>858</v>
      </c>
      <c r="E349" s="0" t="s">
        <v>416</v>
      </c>
      <c r="F349" s="0" t="s">
        <v>24</v>
      </c>
      <c r="G349" s="0" t="n">
        <f aca="false">HYPERLINK("http://clipc-services.ceda.ac.uk/dreq/u/2cd1940e7201d5adb02ba157a74fc33e.html","web")</f>
        <v>0</v>
      </c>
      <c r="H349" s="0" t="s">
        <v>417</v>
      </c>
      <c r="I349" s="0" t="s">
        <v>349</v>
      </c>
      <c r="J349" s="0" t="s">
        <v>418</v>
      </c>
      <c r="K349" s="0" t="s">
        <v>791</v>
      </c>
    </row>
    <row r="350" customFormat="false" ht="15" hidden="false" customHeight="false" outlineLevel="0" collapsed="false">
      <c r="A350" s="0" t="s">
        <v>962</v>
      </c>
      <c r="B350" s="0" t="s">
        <v>346</v>
      </c>
      <c r="C350" s="0" t="s">
        <v>31</v>
      </c>
      <c r="D350" s="0" t="s">
        <v>820</v>
      </c>
      <c r="E350" s="0" t="s">
        <v>347</v>
      </c>
      <c r="F350" s="0" t="s">
        <v>31</v>
      </c>
      <c r="G350" s="0" t="n">
        <f aca="false">HYPERLINK("http://clipc-services.ceda.ac.uk/dreq/u/29fae9ea0f236a3eb144026e1bafde28.html","web")</f>
        <v>0</v>
      </c>
      <c r="H350" s="0" t="s">
        <v>348</v>
      </c>
      <c r="I350" s="0" t="s">
        <v>349</v>
      </c>
      <c r="J350" s="0" t="s">
        <v>350</v>
      </c>
      <c r="K350" s="0" t="s">
        <v>791</v>
      </c>
    </row>
    <row r="351" customFormat="false" ht="15" hidden="false" customHeight="false" outlineLevel="0" collapsed="false">
      <c r="A351" s="0" t="s">
        <v>962</v>
      </c>
      <c r="B351" s="0" t="s">
        <v>351</v>
      </c>
      <c r="C351" s="0" t="s">
        <v>31</v>
      </c>
      <c r="D351" s="0" t="s">
        <v>820</v>
      </c>
      <c r="E351" s="0" t="s">
        <v>352</v>
      </c>
      <c r="F351" s="0" t="s">
        <v>31</v>
      </c>
      <c r="G351" s="0" t="n">
        <f aca="false">HYPERLINK("http://clipc-services.ceda.ac.uk/dreq/u/8de0f30b91b15720398fc10fd712a182.html","web")</f>
        <v>0</v>
      </c>
      <c r="H351" s="0" t="s">
        <v>348</v>
      </c>
      <c r="I351" s="0" t="s">
        <v>204</v>
      </c>
      <c r="J351" s="0" t="s">
        <v>353</v>
      </c>
      <c r="K351" s="0" t="s">
        <v>791</v>
      </c>
    </row>
    <row r="353" customFormat="false" ht="15" hidden="false" customHeight="false" outlineLevel="0" collapsed="false">
      <c r="A353" s="0" t="s">
        <v>963</v>
      </c>
      <c r="B353" s="0" t="s">
        <v>964</v>
      </c>
      <c r="C353" s="0" t="s">
        <v>31</v>
      </c>
      <c r="D353" s="0" t="s">
        <v>179</v>
      </c>
      <c r="E353" s="0" t="s">
        <v>965</v>
      </c>
      <c r="F353" s="0" t="s">
        <v>181</v>
      </c>
      <c r="G353" s="0" t="n">
        <f aca="false">HYPERLINK("http://clipc-services.ceda.ac.uk/dreq/u/590d6e02-9e49-11e5-803c-0d0b866b59f3.html","web")</f>
        <v>0</v>
      </c>
      <c r="H353" s="0" t="s">
        <v>966</v>
      </c>
      <c r="I353" s="0" t="s">
        <v>36</v>
      </c>
      <c r="J353" s="0" t="s">
        <v>967</v>
      </c>
      <c r="K353" s="0" t="s">
        <v>666</v>
      </c>
    </row>
    <row r="355" customFormat="false" ht="15" hidden="false" customHeight="false" outlineLevel="0" collapsed="false">
      <c r="A355" s="0" t="s">
        <v>968</v>
      </c>
      <c r="B355" s="0" t="s">
        <v>969</v>
      </c>
      <c r="C355" s="0" t="s">
        <v>13</v>
      </c>
      <c r="D355" s="0" t="s">
        <v>409</v>
      </c>
      <c r="E355" s="0" t="s">
        <v>970</v>
      </c>
      <c r="F355" s="0" t="s">
        <v>971</v>
      </c>
      <c r="G355" s="0" t="n">
        <f aca="false">HYPERLINK("http://clipc-services.ceda.ac.uk/dreq/u/712473d6-c7b6-11e6-bb2a-ac72891c3257.html","web")</f>
        <v>0</v>
      </c>
      <c r="I355" s="0" t="s">
        <v>18</v>
      </c>
      <c r="J355" s="0" t="s">
        <v>972</v>
      </c>
      <c r="K355" s="0" t="s">
        <v>915</v>
      </c>
    </row>
    <row r="356" customFormat="false" ht="15" hidden="false" customHeight="false" outlineLevel="0" collapsed="false">
      <c r="A356" s="0" t="s">
        <v>968</v>
      </c>
      <c r="B356" s="0" t="s">
        <v>973</v>
      </c>
      <c r="C356" s="0" t="s">
        <v>31</v>
      </c>
      <c r="D356" s="0" t="s">
        <v>974</v>
      </c>
      <c r="E356" s="0" t="s">
        <v>975</v>
      </c>
      <c r="F356" s="0" t="s">
        <v>912</v>
      </c>
      <c r="G356" s="0" t="n">
        <f aca="false">HYPERLINK("http://clipc-services.ceda.ac.uk/dreq/u/84f0f91c-acb7-11e6-b5ee-ac72891c3257.html","web")</f>
        <v>0</v>
      </c>
      <c r="H356" s="0" t="s">
        <v>976</v>
      </c>
      <c r="I356" s="0" t="s">
        <v>18</v>
      </c>
      <c r="J356" s="0" t="s">
        <v>977</v>
      </c>
      <c r="K356" s="0" t="s">
        <v>978</v>
      </c>
    </row>
    <row r="357" customFormat="false" ht="15" hidden="false" customHeight="false" outlineLevel="0" collapsed="false">
      <c r="A357" s="0" t="s">
        <v>968</v>
      </c>
      <c r="B357" s="0" t="s">
        <v>979</v>
      </c>
      <c r="C357" s="0" t="s">
        <v>13</v>
      </c>
      <c r="D357" s="0" t="s">
        <v>179</v>
      </c>
      <c r="E357" s="0" t="s">
        <v>980</v>
      </c>
      <c r="F357" s="0" t="s">
        <v>912</v>
      </c>
      <c r="G357" s="0" t="n">
        <f aca="false">HYPERLINK("http://clipc-services.ceda.ac.uk/dreq/u/59149524-9e49-11e5-803c-0d0b866b59f3.html","web")</f>
        <v>0</v>
      </c>
      <c r="H357" s="0" t="s">
        <v>981</v>
      </c>
      <c r="I357" s="0" t="s">
        <v>18</v>
      </c>
      <c r="J357" s="0" t="s">
        <v>982</v>
      </c>
      <c r="K357" s="0" t="s">
        <v>983</v>
      </c>
    </row>
    <row r="358" customFormat="false" ht="15" hidden="false" customHeight="false" outlineLevel="0" collapsed="false">
      <c r="A358" s="0" t="s">
        <v>968</v>
      </c>
      <c r="B358" s="0" t="s">
        <v>984</v>
      </c>
      <c r="C358" s="0" t="s">
        <v>13</v>
      </c>
      <c r="D358" s="0" t="s">
        <v>179</v>
      </c>
      <c r="E358" s="0" t="s">
        <v>985</v>
      </c>
      <c r="F358" s="0" t="s">
        <v>912</v>
      </c>
      <c r="G358" s="0" t="n">
        <f aca="false">HYPERLINK("http://clipc-services.ceda.ac.uk/dreq/u/590e29c8-9e49-11e5-803c-0d0b866b59f3.html","web")</f>
        <v>0</v>
      </c>
      <c r="H358" s="0" t="s">
        <v>981</v>
      </c>
      <c r="I358" s="0" t="s">
        <v>18</v>
      </c>
      <c r="J358" s="0" t="s">
        <v>986</v>
      </c>
      <c r="K358" s="0" t="s">
        <v>983</v>
      </c>
    </row>
    <row r="359" customFormat="false" ht="15" hidden="false" customHeight="false" outlineLevel="0" collapsed="false">
      <c r="A359" s="0" t="s">
        <v>968</v>
      </c>
      <c r="B359" s="0" t="s">
        <v>987</v>
      </c>
      <c r="C359" s="0" t="s">
        <v>13</v>
      </c>
      <c r="D359" s="0" t="s">
        <v>179</v>
      </c>
      <c r="E359" s="0" t="s">
        <v>988</v>
      </c>
      <c r="F359" s="0" t="s">
        <v>912</v>
      </c>
      <c r="G359" s="0" t="n">
        <f aca="false">HYPERLINK("http://clipc-services.ceda.ac.uk/dreq/u/5913d382-9e49-11e5-803c-0d0b866b59f3.html","web")</f>
        <v>0</v>
      </c>
      <c r="H359" s="0" t="s">
        <v>981</v>
      </c>
      <c r="I359" s="0" t="s">
        <v>18</v>
      </c>
      <c r="J359" s="0" t="s">
        <v>989</v>
      </c>
      <c r="K359" s="0" t="s">
        <v>983</v>
      </c>
    </row>
    <row r="360" customFormat="false" ht="15" hidden="false" customHeight="false" outlineLevel="0" collapsed="false">
      <c r="A360" s="0" t="s">
        <v>968</v>
      </c>
      <c r="B360" s="0" t="s">
        <v>990</v>
      </c>
      <c r="C360" s="0" t="s">
        <v>13</v>
      </c>
      <c r="D360" s="0" t="s">
        <v>179</v>
      </c>
      <c r="E360" s="0" t="s">
        <v>991</v>
      </c>
      <c r="F360" s="0" t="s">
        <v>912</v>
      </c>
      <c r="G360" s="0" t="n">
        <f aca="false">HYPERLINK("http://clipc-services.ceda.ac.uk/dreq/u/59144c36-9e49-11e5-803c-0d0b866b59f3.html","web")</f>
        <v>0</v>
      </c>
      <c r="H360" s="0" t="s">
        <v>981</v>
      </c>
      <c r="I360" s="0" t="s">
        <v>18</v>
      </c>
      <c r="J360" s="0" t="s">
        <v>992</v>
      </c>
      <c r="K360" s="0" t="s">
        <v>983</v>
      </c>
    </row>
    <row r="361" customFormat="false" ht="15" hidden="false" customHeight="false" outlineLevel="0" collapsed="false">
      <c r="A361" s="0" t="s">
        <v>968</v>
      </c>
      <c r="B361" s="0" t="s">
        <v>993</v>
      </c>
      <c r="C361" s="0" t="s">
        <v>13</v>
      </c>
      <c r="D361" s="0" t="s">
        <v>179</v>
      </c>
      <c r="E361" s="0" t="s">
        <v>994</v>
      </c>
      <c r="F361" s="0" t="s">
        <v>912</v>
      </c>
      <c r="G361" s="0" t="n">
        <f aca="false">HYPERLINK("http://clipc-services.ceda.ac.uk/dreq/u/590de850-9e49-11e5-803c-0d0b866b59f3.html","web")</f>
        <v>0</v>
      </c>
      <c r="H361" s="0" t="s">
        <v>981</v>
      </c>
      <c r="I361" s="0" t="s">
        <v>18</v>
      </c>
      <c r="J361" s="0" t="s">
        <v>995</v>
      </c>
      <c r="K361" s="0" t="s">
        <v>983</v>
      </c>
    </row>
    <row r="362" customFormat="false" ht="15" hidden="false" customHeight="false" outlineLevel="0" collapsed="false">
      <c r="A362" s="0" t="s">
        <v>968</v>
      </c>
      <c r="B362" s="0" t="s">
        <v>996</v>
      </c>
      <c r="C362" s="0" t="s">
        <v>13</v>
      </c>
      <c r="D362" s="0" t="s">
        <v>179</v>
      </c>
      <c r="E362" s="0" t="s">
        <v>997</v>
      </c>
      <c r="F362" s="0" t="s">
        <v>912</v>
      </c>
      <c r="G362" s="0" t="n">
        <f aca="false">HYPERLINK("http://clipc-services.ceda.ac.uk/dreq/u/590f5e1a-9e49-11e5-803c-0d0b866b59f3.html","web")</f>
        <v>0</v>
      </c>
      <c r="H362" s="0" t="s">
        <v>981</v>
      </c>
      <c r="I362" s="0" t="s">
        <v>18</v>
      </c>
      <c r="J362" s="0" t="s">
        <v>998</v>
      </c>
      <c r="K362" s="0" t="s">
        <v>983</v>
      </c>
    </row>
    <row r="363" customFormat="false" ht="15" hidden="false" customHeight="false" outlineLevel="0" collapsed="false">
      <c r="A363" s="0" t="s">
        <v>968</v>
      </c>
      <c r="B363" s="0" t="s">
        <v>999</v>
      </c>
      <c r="C363" s="0" t="s">
        <v>13</v>
      </c>
      <c r="D363" s="0" t="s">
        <v>179</v>
      </c>
      <c r="E363" s="0" t="s">
        <v>1000</v>
      </c>
      <c r="F363" s="0" t="s">
        <v>912</v>
      </c>
      <c r="G363" s="0" t="n">
        <f aca="false">HYPERLINK("http://clipc-services.ceda.ac.uk/dreq/u/590f49fc-9e49-11e5-803c-0d0b866b59f3.html","web")</f>
        <v>0</v>
      </c>
      <c r="H363" s="0" t="s">
        <v>981</v>
      </c>
      <c r="I363" s="0" t="s">
        <v>18</v>
      </c>
      <c r="J363" s="0" t="s">
        <v>1001</v>
      </c>
      <c r="K363" s="0" t="s">
        <v>983</v>
      </c>
    </row>
    <row r="364" customFormat="false" ht="15" hidden="false" customHeight="false" outlineLevel="0" collapsed="false">
      <c r="A364" s="0" t="s">
        <v>968</v>
      </c>
      <c r="B364" s="0" t="s">
        <v>1002</v>
      </c>
      <c r="C364" s="0" t="s">
        <v>13</v>
      </c>
      <c r="D364" s="0" t="s">
        <v>179</v>
      </c>
      <c r="E364" s="0" t="s">
        <v>1003</v>
      </c>
      <c r="F364" s="0" t="s">
        <v>181</v>
      </c>
      <c r="G364" s="0" t="n">
        <f aca="false">HYPERLINK("http://clipc-services.ceda.ac.uk/dreq/u/5914517c-9e49-11e5-803c-0d0b866b59f3.html","web")</f>
        <v>0</v>
      </c>
      <c r="H364" s="0" t="s">
        <v>981</v>
      </c>
      <c r="I364" s="0" t="s">
        <v>18</v>
      </c>
      <c r="J364" s="0" t="s">
        <v>1004</v>
      </c>
      <c r="K364" s="0" t="s">
        <v>983</v>
      </c>
    </row>
    <row r="365" customFormat="false" ht="15" hidden="false" customHeight="false" outlineLevel="0" collapsed="false">
      <c r="A365" s="0" t="s">
        <v>968</v>
      </c>
      <c r="B365" s="0" t="s">
        <v>1005</v>
      </c>
      <c r="C365" s="0" t="s">
        <v>13</v>
      </c>
      <c r="D365" s="0" t="s">
        <v>179</v>
      </c>
      <c r="E365" s="0" t="s">
        <v>1006</v>
      </c>
      <c r="F365" s="0" t="s">
        <v>181</v>
      </c>
      <c r="G365" s="0" t="n">
        <f aca="false">HYPERLINK("http://clipc-services.ceda.ac.uk/dreq/u/590f1f68-9e49-11e5-803c-0d0b866b59f3.html","web")</f>
        <v>0</v>
      </c>
      <c r="H365" s="0" t="s">
        <v>981</v>
      </c>
      <c r="I365" s="0" t="s">
        <v>18</v>
      </c>
      <c r="J365" s="0" t="s">
        <v>1007</v>
      </c>
      <c r="K365" s="0" t="s">
        <v>983</v>
      </c>
    </row>
    <row r="366" customFormat="false" ht="15" hidden="false" customHeight="false" outlineLevel="0" collapsed="false">
      <c r="A366" s="0" t="s">
        <v>968</v>
      </c>
      <c r="B366" s="0" t="s">
        <v>1008</v>
      </c>
      <c r="C366" s="0" t="s">
        <v>13</v>
      </c>
      <c r="D366" s="0" t="s">
        <v>41</v>
      </c>
      <c r="E366" s="0" t="s">
        <v>1009</v>
      </c>
      <c r="F366" s="0" t="s">
        <v>43</v>
      </c>
      <c r="G366" s="0" t="n">
        <f aca="false">HYPERLINK("http://clipc-services.ceda.ac.uk/dreq/u/59144254-9e49-11e5-803c-0d0b866b59f3.html","web")</f>
        <v>0</v>
      </c>
      <c r="H366" s="0" t="s">
        <v>981</v>
      </c>
      <c r="I366" s="0" t="s">
        <v>18</v>
      </c>
      <c r="J366" s="0" t="s">
        <v>1010</v>
      </c>
      <c r="K366" s="0" t="s">
        <v>983</v>
      </c>
    </row>
    <row r="367" customFormat="false" ht="15" hidden="false" customHeight="false" outlineLevel="0" collapsed="false">
      <c r="A367" s="0" t="s">
        <v>968</v>
      </c>
      <c r="B367" s="0" t="s">
        <v>1011</v>
      </c>
      <c r="C367" s="0" t="s">
        <v>31</v>
      </c>
      <c r="D367" s="0" t="s">
        <v>179</v>
      </c>
      <c r="E367" s="0" t="s">
        <v>1012</v>
      </c>
      <c r="F367" s="0" t="s">
        <v>912</v>
      </c>
      <c r="G367" s="0" t="n">
        <f aca="false">HYPERLINK("http://clipc-services.ceda.ac.uk/dreq/u/59130e98-9e49-11e5-803c-0d0b866b59f3.html","web")</f>
        <v>0</v>
      </c>
      <c r="H367" s="0" t="s">
        <v>913</v>
      </c>
      <c r="I367" s="0" t="s">
        <v>18</v>
      </c>
      <c r="J367" s="0" t="s">
        <v>1013</v>
      </c>
      <c r="K367" s="0" t="s">
        <v>983</v>
      </c>
    </row>
    <row r="368" customFormat="false" ht="15" hidden="false" customHeight="false" outlineLevel="0" collapsed="false">
      <c r="A368" s="0" t="s">
        <v>968</v>
      </c>
      <c r="B368" s="0" t="s">
        <v>909</v>
      </c>
      <c r="C368" s="0" t="s">
        <v>31</v>
      </c>
      <c r="D368" s="0" t="s">
        <v>910</v>
      </c>
      <c r="E368" s="0" t="s">
        <v>911</v>
      </c>
      <c r="F368" s="0" t="s">
        <v>912</v>
      </c>
      <c r="G368" s="0" t="n">
        <f aca="false">HYPERLINK("http://clipc-services.ceda.ac.uk/dreq/u/590d17f4-9e49-11e5-803c-0d0b866b59f3.html","web")</f>
        <v>0</v>
      </c>
      <c r="H368" s="0" t="s">
        <v>913</v>
      </c>
      <c r="I368" s="0" t="s">
        <v>18</v>
      </c>
      <c r="J368" s="0" t="s">
        <v>914</v>
      </c>
      <c r="K368" s="0" t="s">
        <v>983</v>
      </c>
    </row>
    <row r="369" customFormat="false" ht="15" hidden="false" customHeight="false" outlineLevel="0" collapsed="false">
      <c r="A369" s="0" t="s">
        <v>968</v>
      </c>
      <c r="B369" s="0" t="s">
        <v>1014</v>
      </c>
      <c r="C369" s="0" t="s">
        <v>31</v>
      </c>
      <c r="D369" s="0" t="s">
        <v>179</v>
      </c>
      <c r="E369" s="0" t="s">
        <v>1015</v>
      </c>
      <c r="F369" s="0" t="s">
        <v>181</v>
      </c>
      <c r="G369" s="0" t="n">
        <f aca="false">HYPERLINK("http://clipc-services.ceda.ac.uk/dreq/u/5912d5ea-9e49-11e5-803c-0d0b866b59f3.html","web")</f>
        <v>0</v>
      </c>
      <c r="H369" s="0" t="s">
        <v>1016</v>
      </c>
      <c r="I369" s="0" t="s">
        <v>18</v>
      </c>
      <c r="J369" s="0" t="s">
        <v>1017</v>
      </c>
      <c r="K369" s="0" t="s">
        <v>978</v>
      </c>
    </row>
    <row r="370" customFormat="false" ht="15" hidden="false" customHeight="false" outlineLevel="0" collapsed="false">
      <c r="A370" s="0" t="s">
        <v>968</v>
      </c>
      <c r="B370" s="0" t="s">
        <v>1018</v>
      </c>
      <c r="C370" s="0" t="s">
        <v>13</v>
      </c>
      <c r="D370" s="0" t="s">
        <v>179</v>
      </c>
      <c r="E370" s="0" t="s">
        <v>1019</v>
      </c>
      <c r="F370" s="0" t="s">
        <v>16</v>
      </c>
      <c r="G370" s="0" t="n">
        <f aca="false">HYPERLINK("http://clipc-services.ceda.ac.uk/dreq/u/5913c4dc-9e49-11e5-803c-0d0b866b59f3.html","web")</f>
        <v>0</v>
      </c>
      <c r="H370" s="0" t="s">
        <v>1020</v>
      </c>
      <c r="I370" s="0" t="s">
        <v>18</v>
      </c>
      <c r="J370" s="0" t="s">
        <v>1021</v>
      </c>
      <c r="K370" s="0" t="s">
        <v>978</v>
      </c>
    </row>
    <row r="371" customFormat="false" ht="15" hidden="false" customHeight="false" outlineLevel="0" collapsed="false">
      <c r="A371" s="0" t="s">
        <v>968</v>
      </c>
      <c r="B371" s="0" t="s">
        <v>1022</v>
      </c>
      <c r="C371" s="0" t="s">
        <v>13</v>
      </c>
      <c r="D371" s="0" t="s">
        <v>179</v>
      </c>
      <c r="E371" s="0" t="s">
        <v>1023</v>
      </c>
      <c r="F371" s="0" t="s">
        <v>912</v>
      </c>
      <c r="G371" s="0" t="n">
        <f aca="false">HYPERLINK("http://clipc-services.ceda.ac.uk/dreq/u/590d24c4-9e49-11e5-803c-0d0b866b59f3.html","web")</f>
        <v>0</v>
      </c>
      <c r="H371" s="0" t="s">
        <v>1024</v>
      </c>
      <c r="I371" s="0" t="s">
        <v>1025</v>
      </c>
      <c r="J371" s="0" t="s">
        <v>1026</v>
      </c>
      <c r="K371" s="0" t="s">
        <v>983</v>
      </c>
    </row>
    <row r="372" customFormat="false" ht="15" hidden="false" customHeight="false" outlineLevel="0" collapsed="false">
      <c r="A372" s="0" t="s">
        <v>968</v>
      </c>
      <c r="B372" s="0" t="s">
        <v>1027</v>
      </c>
      <c r="C372" s="0" t="s">
        <v>13</v>
      </c>
      <c r="D372" s="0" t="s">
        <v>179</v>
      </c>
      <c r="E372" s="0" t="s">
        <v>1028</v>
      </c>
      <c r="F372" s="0" t="s">
        <v>912</v>
      </c>
      <c r="G372" s="0" t="n">
        <f aca="false">HYPERLINK("http://clipc-services.ceda.ac.uk/dreq/u/84f0ff48-acb7-11e6-b5ee-ac72891c3257.html","web")</f>
        <v>0</v>
      </c>
      <c r="H372" s="0" t="s">
        <v>1029</v>
      </c>
      <c r="I372" s="0" t="s">
        <v>18</v>
      </c>
      <c r="J372" s="0" t="s">
        <v>1030</v>
      </c>
      <c r="K372" s="0" t="s">
        <v>978</v>
      </c>
    </row>
    <row r="373" customFormat="false" ht="15" hidden="false" customHeight="false" outlineLevel="0" collapsed="false">
      <c r="A373" s="0" t="s">
        <v>968</v>
      </c>
      <c r="B373" s="0" t="s">
        <v>1031</v>
      </c>
      <c r="C373" s="0" t="s">
        <v>13</v>
      </c>
      <c r="D373" s="0" t="s">
        <v>179</v>
      </c>
      <c r="E373" s="0" t="s">
        <v>1032</v>
      </c>
      <c r="F373" s="0" t="s">
        <v>912</v>
      </c>
      <c r="G373" s="0" t="n">
        <f aca="false">HYPERLINK("http://clipc-services.ceda.ac.uk/dreq/u/84f0c19a-acb7-11e6-b5ee-ac72891c3257.html","web")</f>
        <v>0</v>
      </c>
      <c r="H373" s="0" t="s">
        <v>1029</v>
      </c>
      <c r="I373" s="0" t="s">
        <v>18</v>
      </c>
      <c r="J373" s="0" t="s">
        <v>1030</v>
      </c>
      <c r="K373" s="0" t="s">
        <v>978</v>
      </c>
    </row>
    <row r="374" customFormat="false" ht="15" hidden="false" customHeight="false" outlineLevel="0" collapsed="false">
      <c r="A374" s="0" t="s">
        <v>968</v>
      </c>
      <c r="B374" s="0" t="s">
        <v>1033</v>
      </c>
      <c r="C374" s="0" t="s">
        <v>13</v>
      </c>
      <c r="D374" s="0" t="s">
        <v>179</v>
      </c>
      <c r="E374" s="0" t="s">
        <v>1034</v>
      </c>
      <c r="F374" s="0" t="s">
        <v>912</v>
      </c>
      <c r="G374" s="0" t="n">
        <f aca="false">HYPERLINK("http://clipc-services.ceda.ac.uk/dreq/u/84f0ac28-acb7-11e6-b5ee-ac72891c3257.html","web")</f>
        <v>0</v>
      </c>
      <c r="H374" s="0" t="s">
        <v>1029</v>
      </c>
      <c r="I374" s="0" t="s">
        <v>18</v>
      </c>
      <c r="J374" s="0" t="s">
        <v>1030</v>
      </c>
      <c r="K374" s="0" t="s">
        <v>978</v>
      </c>
    </row>
    <row r="375" customFormat="false" ht="15" hidden="false" customHeight="false" outlineLevel="0" collapsed="false">
      <c r="A375" s="0" t="s">
        <v>968</v>
      </c>
      <c r="B375" s="0" t="s">
        <v>1035</v>
      </c>
      <c r="C375" s="0" t="s">
        <v>13</v>
      </c>
      <c r="D375" s="0" t="s">
        <v>179</v>
      </c>
      <c r="E375" s="0" t="s">
        <v>1036</v>
      </c>
      <c r="F375" s="0" t="s">
        <v>912</v>
      </c>
      <c r="G375" s="0" t="n">
        <f aca="false">HYPERLINK("http://clipc-services.ceda.ac.uk/dreq/u/84f0a5d4-acb7-11e6-b5ee-ac72891c3257.html","web")</f>
        <v>0</v>
      </c>
      <c r="H375" s="0" t="s">
        <v>1029</v>
      </c>
      <c r="I375" s="0" t="s">
        <v>18</v>
      </c>
      <c r="J375" s="0" t="s">
        <v>1037</v>
      </c>
      <c r="K375" s="0" t="s">
        <v>978</v>
      </c>
    </row>
    <row r="376" customFormat="false" ht="15" hidden="false" customHeight="false" outlineLevel="0" collapsed="false">
      <c r="A376" s="0" t="s">
        <v>968</v>
      </c>
      <c r="B376" s="0" t="s">
        <v>1038</v>
      </c>
      <c r="C376" s="0" t="s">
        <v>13</v>
      </c>
      <c r="D376" s="0" t="s">
        <v>179</v>
      </c>
      <c r="E376" s="0" t="s">
        <v>1039</v>
      </c>
      <c r="F376" s="0" t="s">
        <v>912</v>
      </c>
      <c r="G376" s="0" t="n">
        <f aca="false">HYPERLINK("http://clipc-services.ceda.ac.uk/dreq/u/84efa3fa-acb7-11e6-b5ee-ac72891c3257.html","web")</f>
        <v>0</v>
      </c>
      <c r="H376" s="0" t="s">
        <v>1029</v>
      </c>
      <c r="I376" s="0" t="s">
        <v>18</v>
      </c>
      <c r="J376" s="0" t="s">
        <v>1037</v>
      </c>
      <c r="K376" s="0" t="s">
        <v>978</v>
      </c>
    </row>
    <row r="377" customFormat="false" ht="15" hidden="false" customHeight="false" outlineLevel="0" collapsed="false">
      <c r="A377" s="0" t="s">
        <v>968</v>
      </c>
      <c r="B377" s="0" t="s">
        <v>1040</v>
      </c>
      <c r="C377" s="0" t="s">
        <v>13</v>
      </c>
      <c r="D377" s="0" t="s">
        <v>179</v>
      </c>
      <c r="E377" s="0" t="s">
        <v>1041</v>
      </c>
      <c r="F377" s="0" t="s">
        <v>912</v>
      </c>
      <c r="G377" s="0" t="n">
        <f aca="false">HYPERLINK("http://clipc-services.ceda.ac.uk/dreq/u/84f0f62e-acb7-11e6-b5ee-ac72891c3257.html","web")</f>
        <v>0</v>
      </c>
      <c r="H377" s="0" t="s">
        <v>1029</v>
      </c>
      <c r="I377" s="0" t="s">
        <v>18</v>
      </c>
      <c r="J377" s="0" t="s">
        <v>1037</v>
      </c>
      <c r="K377" s="0" t="s">
        <v>978</v>
      </c>
    </row>
    <row r="378" customFormat="false" ht="15" hidden="false" customHeight="false" outlineLevel="0" collapsed="false">
      <c r="A378" s="0" t="s">
        <v>968</v>
      </c>
      <c r="B378" s="0" t="s">
        <v>1042</v>
      </c>
      <c r="C378" s="0" t="s">
        <v>13</v>
      </c>
      <c r="D378" s="0" t="s">
        <v>179</v>
      </c>
      <c r="E378" s="0" t="s">
        <v>1043</v>
      </c>
      <c r="F378" s="0" t="s">
        <v>912</v>
      </c>
      <c r="G378" s="0" t="n">
        <f aca="false">HYPERLINK("http://clipc-services.ceda.ac.uk/dreq/u/84f0e418-acb7-11e6-b5ee-ac72891c3257.html","web")</f>
        <v>0</v>
      </c>
      <c r="H378" s="0" t="s">
        <v>1029</v>
      </c>
      <c r="I378" s="0" t="s">
        <v>18</v>
      </c>
      <c r="J378" s="0" t="s">
        <v>1044</v>
      </c>
      <c r="K378" s="0" t="s">
        <v>978</v>
      </c>
    </row>
    <row r="379" customFormat="false" ht="15" hidden="false" customHeight="false" outlineLevel="0" collapsed="false">
      <c r="A379" s="0" t="s">
        <v>968</v>
      </c>
      <c r="B379" s="0" t="s">
        <v>1045</v>
      </c>
      <c r="C379" s="0" t="s">
        <v>13</v>
      </c>
      <c r="D379" s="0" t="s">
        <v>179</v>
      </c>
      <c r="E379" s="0" t="s">
        <v>1046</v>
      </c>
      <c r="F379" s="0" t="s">
        <v>912</v>
      </c>
      <c r="G379" s="0" t="n">
        <f aca="false">HYPERLINK("http://clipc-services.ceda.ac.uk/dreq/u/84f10b8c-acb7-11e6-b5ee-ac72891c3257.html","web")</f>
        <v>0</v>
      </c>
      <c r="H379" s="0" t="s">
        <v>1029</v>
      </c>
      <c r="I379" s="0" t="s">
        <v>18</v>
      </c>
      <c r="J379" s="0" t="s">
        <v>1044</v>
      </c>
      <c r="K379" s="0" t="s">
        <v>978</v>
      </c>
    </row>
    <row r="380" customFormat="false" ht="15" hidden="false" customHeight="false" outlineLevel="0" collapsed="false">
      <c r="A380" s="0" t="s">
        <v>968</v>
      </c>
      <c r="B380" s="0" t="s">
        <v>1047</v>
      </c>
      <c r="C380" s="0" t="s">
        <v>13</v>
      </c>
      <c r="D380" s="0" t="s">
        <v>179</v>
      </c>
      <c r="E380" s="0" t="s">
        <v>1048</v>
      </c>
      <c r="F380" s="0" t="s">
        <v>912</v>
      </c>
      <c r="G380" s="0" t="n">
        <f aca="false">HYPERLINK("http://clipc-services.ceda.ac.uk/dreq/u/84f0d158-acb7-11e6-b5ee-ac72891c3257.html","web")</f>
        <v>0</v>
      </c>
      <c r="H380" s="0" t="s">
        <v>1029</v>
      </c>
      <c r="I380" s="0" t="s">
        <v>18</v>
      </c>
      <c r="J380" s="0" t="s">
        <v>1044</v>
      </c>
      <c r="K380" s="0" t="s">
        <v>978</v>
      </c>
    </row>
    <row r="381" customFormat="false" ht="15" hidden="false" customHeight="false" outlineLevel="0" collapsed="false">
      <c r="A381" s="0" t="s">
        <v>968</v>
      </c>
      <c r="B381" s="0" t="s">
        <v>1049</v>
      </c>
      <c r="C381" s="0" t="s">
        <v>13</v>
      </c>
      <c r="D381" s="0" t="s">
        <v>910</v>
      </c>
      <c r="E381" s="0" t="s">
        <v>1050</v>
      </c>
      <c r="F381" s="0" t="s">
        <v>912</v>
      </c>
      <c r="G381" s="0" t="n">
        <f aca="false">HYPERLINK("http://clipc-services.ceda.ac.uk/dreq/u/84f0a8f4-acb7-11e6-b5ee-ac72891c3257.html","web")</f>
        <v>0</v>
      </c>
      <c r="H381" s="0" t="s">
        <v>976</v>
      </c>
      <c r="I381" s="0" t="s">
        <v>18</v>
      </c>
      <c r="J381" s="0" t="s">
        <v>1051</v>
      </c>
      <c r="K381" s="0" t="s">
        <v>978</v>
      </c>
    </row>
    <row r="382" customFormat="false" ht="15" hidden="false" customHeight="false" outlineLevel="0" collapsed="false">
      <c r="A382" s="0" t="s">
        <v>968</v>
      </c>
      <c r="B382" s="0" t="s">
        <v>1052</v>
      </c>
      <c r="C382" s="0" t="s">
        <v>13</v>
      </c>
      <c r="D382" s="0" t="s">
        <v>1053</v>
      </c>
      <c r="E382" s="0" t="s">
        <v>1054</v>
      </c>
      <c r="F382" s="0" t="s">
        <v>912</v>
      </c>
      <c r="G382" s="0" t="n">
        <f aca="false">HYPERLINK("http://clipc-services.ceda.ac.uk/dreq/u/84f0fc3c-acb7-11e6-b5ee-ac72891c3257.html","web")</f>
        <v>0</v>
      </c>
      <c r="H382" s="0" t="s">
        <v>1055</v>
      </c>
      <c r="I382" s="0" t="s">
        <v>18</v>
      </c>
      <c r="J382" s="0" t="s">
        <v>1056</v>
      </c>
      <c r="K382" s="0" t="s">
        <v>978</v>
      </c>
    </row>
    <row r="383" customFormat="false" ht="15" hidden="false" customHeight="false" outlineLevel="0" collapsed="false">
      <c r="A383" s="0" t="s">
        <v>968</v>
      </c>
      <c r="B383" s="0" t="s">
        <v>1057</v>
      </c>
      <c r="C383" s="0" t="s">
        <v>13</v>
      </c>
      <c r="D383" s="0" t="s">
        <v>1053</v>
      </c>
      <c r="E383" s="0" t="s">
        <v>1058</v>
      </c>
      <c r="F383" s="0" t="s">
        <v>328</v>
      </c>
      <c r="G383" s="0" t="n">
        <f aca="false">HYPERLINK("http://clipc-services.ceda.ac.uk/dreq/u/84f1146a-acb7-11e6-b5ee-ac72891c3257.html","web")</f>
        <v>0</v>
      </c>
      <c r="H383" s="0" t="s">
        <v>1055</v>
      </c>
      <c r="I383" s="0" t="s">
        <v>18</v>
      </c>
      <c r="J383" s="0" t="s">
        <v>1059</v>
      </c>
      <c r="K383" s="0" t="s">
        <v>978</v>
      </c>
    </row>
    <row r="384" customFormat="false" ht="15" hidden="false" customHeight="false" outlineLevel="0" collapsed="false">
      <c r="A384" s="0" t="s">
        <v>968</v>
      </c>
      <c r="B384" s="0" t="s">
        <v>1060</v>
      </c>
      <c r="C384" s="0" t="s">
        <v>13</v>
      </c>
      <c r="D384" s="0" t="s">
        <v>179</v>
      </c>
      <c r="E384" s="0" t="s">
        <v>1061</v>
      </c>
      <c r="F384" s="0" t="s">
        <v>181</v>
      </c>
      <c r="G384" s="0" t="n">
        <f aca="false">HYPERLINK("http://clipc-services.ceda.ac.uk/dreq/u/591348fe-9e49-11e5-803c-0d0b866b59f3.html","web")</f>
        <v>0</v>
      </c>
      <c r="H384" s="0" t="s">
        <v>1055</v>
      </c>
      <c r="I384" s="0" t="s">
        <v>18</v>
      </c>
      <c r="J384" s="0" t="s">
        <v>1062</v>
      </c>
      <c r="K384" s="0" t="s">
        <v>978</v>
      </c>
    </row>
    <row r="385" customFormat="false" ht="15" hidden="false" customHeight="false" outlineLevel="0" collapsed="false">
      <c r="A385" s="0" t="s">
        <v>968</v>
      </c>
      <c r="B385" s="0" t="s">
        <v>1063</v>
      </c>
      <c r="C385" s="0" t="s">
        <v>13</v>
      </c>
      <c r="D385" s="0" t="s">
        <v>179</v>
      </c>
      <c r="E385" s="0" t="s">
        <v>1064</v>
      </c>
      <c r="F385" s="0" t="s">
        <v>181</v>
      </c>
      <c r="G385" s="0" t="n">
        <f aca="false">HYPERLINK("http://clipc-services.ceda.ac.uk/dreq/u/5913a696-9e49-11e5-803c-0d0b866b59f3.html","web")</f>
        <v>0</v>
      </c>
      <c r="H385" s="0" t="s">
        <v>1055</v>
      </c>
      <c r="I385" s="0" t="s">
        <v>18</v>
      </c>
      <c r="J385" s="0" t="s">
        <v>1062</v>
      </c>
      <c r="K385" s="0" t="s">
        <v>978</v>
      </c>
    </row>
    <row r="386" customFormat="false" ht="15" hidden="false" customHeight="false" outlineLevel="0" collapsed="false">
      <c r="A386" s="0" t="s">
        <v>968</v>
      </c>
      <c r="B386" s="0" t="s">
        <v>1065</v>
      </c>
      <c r="C386" s="0" t="s">
        <v>13</v>
      </c>
      <c r="D386" s="0" t="s">
        <v>179</v>
      </c>
      <c r="E386" s="0" t="s">
        <v>1066</v>
      </c>
      <c r="F386" s="0" t="s">
        <v>181</v>
      </c>
      <c r="G386" s="0" t="n">
        <f aca="false">HYPERLINK("http://clipc-services.ceda.ac.uk/dreq/u/84f0ddec-acb7-11e6-b5ee-ac72891c3257.html","web")</f>
        <v>0</v>
      </c>
      <c r="H386" s="0" t="s">
        <v>1055</v>
      </c>
      <c r="I386" s="0" t="s">
        <v>18</v>
      </c>
      <c r="J386" s="0" t="s">
        <v>1062</v>
      </c>
      <c r="K386" s="0" t="s">
        <v>978</v>
      </c>
    </row>
    <row r="387" customFormat="false" ht="15" hidden="false" customHeight="false" outlineLevel="0" collapsed="false">
      <c r="A387" s="0" t="s">
        <v>968</v>
      </c>
      <c r="B387" s="0" t="s">
        <v>1067</v>
      </c>
      <c r="C387" s="0" t="s">
        <v>13</v>
      </c>
      <c r="D387" s="0" t="s">
        <v>179</v>
      </c>
      <c r="E387" s="0" t="s">
        <v>1068</v>
      </c>
      <c r="F387" s="0" t="s">
        <v>181</v>
      </c>
      <c r="G387" s="0" t="n">
        <f aca="false">HYPERLINK("http://clipc-services.ceda.ac.uk/dreq/u/84ef402c-acb7-11e6-b5ee-ac72891c3257.html","web")</f>
        <v>0</v>
      </c>
      <c r="H387" s="0" t="s">
        <v>1055</v>
      </c>
      <c r="I387" s="0" t="s">
        <v>18</v>
      </c>
      <c r="J387" s="0" t="s">
        <v>1062</v>
      </c>
      <c r="K387" s="0" t="s">
        <v>978</v>
      </c>
    </row>
    <row r="388" customFormat="false" ht="15" hidden="false" customHeight="false" outlineLevel="0" collapsed="false">
      <c r="A388" s="0" t="s">
        <v>968</v>
      </c>
      <c r="B388" s="0" t="s">
        <v>1069</v>
      </c>
      <c r="C388" s="0" t="s">
        <v>13</v>
      </c>
      <c r="D388" s="0" t="s">
        <v>179</v>
      </c>
      <c r="E388" s="0" t="s">
        <v>1070</v>
      </c>
      <c r="F388" s="0" t="s">
        <v>181</v>
      </c>
      <c r="G388" s="0" t="n">
        <f aca="false">HYPERLINK("http://clipc-services.ceda.ac.uk/dreq/u/84f09f30-acb7-11e6-b5ee-ac72891c3257.html","web")</f>
        <v>0</v>
      </c>
      <c r="H388" s="0" t="s">
        <v>1071</v>
      </c>
      <c r="I388" s="0" t="s">
        <v>18</v>
      </c>
      <c r="J388" s="0" t="s">
        <v>1072</v>
      </c>
      <c r="K388" s="0" t="s">
        <v>978</v>
      </c>
    </row>
    <row r="389" customFormat="false" ht="15" hidden="false" customHeight="false" outlineLevel="0" collapsed="false">
      <c r="A389" s="0" t="s">
        <v>968</v>
      </c>
      <c r="B389" s="0" t="s">
        <v>1073</v>
      </c>
      <c r="C389" s="0" t="s">
        <v>13</v>
      </c>
      <c r="D389" s="0" t="s">
        <v>179</v>
      </c>
      <c r="E389" s="0" t="s">
        <v>1074</v>
      </c>
      <c r="F389" s="0" t="s">
        <v>181</v>
      </c>
      <c r="G389" s="0" t="n">
        <f aca="false">HYPERLINK("http://clipc-services.ceda.ac.uk/dreq/u/84f0bbbe-acb7-11e6-b5ee-ac72891c3257.html","web")</f>
        <v>0</v>
      </c>
      <c r="H389" s="0" t="s">
        <v>1071</v>
      </c>
      <c r="I389" s="0" t="s">
        <v>18</v>
      </c>
      <c r="J389" s="0" t="s">
        <v>1072</v>
      </c>
      <c r="K389" s="0" t="s">
        <v>978</v>
      </c>
    </row>
    <row r="390" customFormat="false" ht="15" hidden="false" customHeight="false" outlineLevel="0" collapsed="false">
      <c r="A390" s="0" t="s">
        <v>968</v>
      </c>
      <c r="B390" s="0" t="s">
        <v>1075</v>
      </c>
      <c r="C390" s="0" t="s">
        <v>13</v>
      </c>
      <c r="D390" s="0" t="s">
        <v>179</v>
      </c>
      <c r="E390" s="0" t="s">
        <v>1076</v>
      </c>
      <c r="F390" s="0" t="s">
        <v>181</v>
      </c>
      <c r="G390" s="0" t="n">
        <f aca="false">HYPERLINK("http://clipc-services.ceda.ac.uk/dreq/u/84f0c47e-acb7-11e6-b5ee-ac72891c3257.html","web")</f>
        <v>0</v>
      </c>
      <c r="H390" s="0" t="s">
        <v>1077</v>
      </c>
      <c r="I390" s="0" t="s">
        <v>18</v>
      </c>
      <c r="J390" s="0" t="s">
        <v>1078</v>
      </c>
      <c r="K390" s="0" t="s">
        <v>978</v>
      </c>
    </row>
    <row r="391" customFormat="false" ht="15" hidden="false" customHeight="false" outlineLevel="0" collapsed="false">
      <c r="A391" s="0" t="s">
        <v>968</v>
      </c>
      <c r="B391" s="0" t="s">
        <v>1079</v>
      </c>
      <c r="C391" s="0" t="s">
        <v>13</v>
      </c>
      <c r="D391" s="0" t="s">
        <v>179</v>
      </c>
      <c r="E391" s="0" t="s">
        <v>1080</v>
      </c>
      <c r="F391" s="0" t="s">
        <v>181</v>
      </c>
      <c r="G391" s="0" t="n">
        <f aca="false">HYPERLINK("http://clipc-services.ceda.ac.uk/dreq/u/84f0f052-acb7-11e6-b5ee-ac72891c3257.html","web")</f>
        <v>0</v>
      </c>
      <c r="H391" s="0" t="s">
        <v>1077</v>
      </c>
      <c r="I391" s="0" t="s">
        <v>18</v>
      </c>
      <c r="J391" s="0" t="s">
        <v>1081</v>
      </c>
      <c r="K391" s="0" t="s">
        <v>978</v>
      </c>
    </row>
    <row r="392" customFormat="false" ht="15" hidden="false" customHeight="false" outlineLevel="0" collapsed="false">
      <c r="A392" s="0" t="s">
        <v>968</v>
      </c>
      <c r="B392" s="0" t="s">
        <v>1082</v>
      </c>
      <c r="C392" s="0" t="s">
        <v>13</v>
      </c>
      <c r="D392" s="0" t="s">
        <v>179</v>
      </c>
      <c r="E392" s="0" t="s">
        <v>1083</v>
      </c>
      <c r="F392" s="0" t="s">
        <v>181</v>
      </c>
      <c r="G392" s="0" t="n">
        <f aca="false">HYPERLINK("http://clipc-services.ceda.ac.uk/dreq/u/84f108a8-acb7-11e6-b5ee-ac72891c3257.html","web")</f>
        <v>0</v>
      </c>
      <c r="H392" s="0" t="s">
        <v>1077</v>
      </c>
      <c r="I392" s="0" t="s">
        <v>18</v>
      </c>
      <c r="J392" s="0" t="s">
        <v>1084</v>
      </c>
      <c r="K392" s="0" t="s">
        <v>978</v>
      </c>
    </row>
    <row r="393" customFormat="false" ht="15" hidden="false" customHeight="false" outlineLevel="0" collapsed="false">
      <c r="A393" s="0" t="s">
        <v>968</v>
      </c>
      <c r="B393" s="0" t="s">
        <v>1085</v>
      </c>
      <c r="C393" s="0" t="s">
        <v>13</v>
      </c>
      <c r="D393" s="0" t="s">
        <v>179</v>
      </c>
      <c r="E393" s="0" t="s">
        <v>1086</v>
      </c>
      <c r="F393" s="0" t="s">
        <v>181</v>
      </c>
      <c r="G393" s="0" t="n">
        <f aca="false">HYPERLINK("http://clipc-services.ceda.ac.uk/dreq/u/84f1117c-acb7-11e6-b5ee-ac72891c3257.html","web")</f>
        <v>0</v>
      </c>
      <c r="H393" s="0" t="s">
        <v>1087</v>
      </c>
      <c r="I393" s="0" t="s">
        <v>18</v>
      </c>
      <c r="J393" s="0" t="s">
        <v>1088</v>
      </c>
      <c r="K393" s="0" t="s">
        <v>978</v>
      </c>
    </row>
    <row r="394" customFormat="false" ht="15" hidden="false" customHeight="false" outlineLevel="0" collapsed="false">
      <c r="A394" s="0" t="s">
        <v>968</v>
      </c>
      <c r="B394" s="0" t="s">
        <v>1089</v>
      </c>
      <c r="C394" s="0" t="s">
        <v>13</v>
      </c>
      <c r="D394" s="0" t="s">
        <v>179</v>
      </c>
      <c r="E394" s="0" t="s">
        <v>1090</v>
      </c>
      <c r="F394" s="0" t="s">
        <v>181</v>
      </c>
      <c r="G394" s="0" t="n">
        <f aca="false">HYPERLINK("http://clipc-services.ceda.ac.uk/dreq/u/84f0f354-acb7-11e6-b5ee-ac72891c3257.html","web")</f>
        <v>0</v>
      </c>
      <c r="H394" s="0" t="s">
        <v>1087</v>
      </c>
      <c r="I394" s="0" t="s">
        <v>18</v>
      </c>
      <c r="J394" s="0" t="s">
        <v>1091</v>
      </c>
      <c r="K394" s="0" t="s">
        <v>978</v>
      </c>
    </row>
    <row r="395" customFormat="false" ht="15" hidden="false" customHeight="false" outlineLevel="0" collapsed="false">
      <c r="A395" s="0" t="s">
        <v>968</v>
      </c>
      <c r="B395" s="0" t="s">
        <v>1092</v>
      </c>
      <c r="C395" s="0" t="s">
        <v>13</v>
      </c>
      <c r="D395" s="0" t="s">
        <v>179</v>
      </c>
      <c r="E395" s="0" t="s">
        <v>1093</v>
      </c>
      <c r="F395" s="0" t="s">
        <v>181</v>
      </c>
      <c r="G395" s="0" t="n">
        <f aca="false">HYPERLINK("http://clipc-services.ceda.ac.uk/dreq/u/84f0beac-acb7-11e6-b5ee-ac72891c3257.html","web")</f>
        <v>0</v>
      </c>
      <c r="H395" s="0" t="s">
        <v>1087</v>
      </c>
      <c r="I395" s="0" t="s">
        <v>18</v>
      </c>
      <c r="J395" s="0" t="s">
        <v>1094</v>
      </c>
      <c r="K395" s="0" t="s">
        <v>978</v>
      </c>
    </row>
    <row r="396" customFormat="false" ht="15" hidden="false" customHeight="false" outlineLevel="0" collapsed="false">
      <c r="A396" s="0" t="s">
        <v>968</v>
      </c>
      <c r="B396" s="0" t="s">
        <v>1095</v>
      </c>
      <c r="C396" s="0" t="s">
        <v>13</v>
      </c>
      <c r="D396" s="0" t="s">
        <v>179</v>
      </c>
      <c r="E396" s="0" t="s">
        <v>1096</v>
      </c>
      <c r="F396" s="0" t="s">
        <v>16</v>
      </c>
      <c r="G396" s="0" t="n">
        <f aca="false">HYPERLINK("http://clipc-services.ceda.ac.uk/dreq/u/591384a4-9e49-11e5-803c-0d0b866b59f3.html","web")</f>
        <v>0</v>
      </c>
      <c r="H396" s="0" t="s">
        <v>1097</v>
      </c>
      <c r="I396" s="0" t="s">
        <v>18</v>
      </c>
      <c r="J396" s="0" t="s">
        <v>1098</v>
      </c>
      <c r="K396" s="0" t="s">
        <v>983</v>
      </c>
    </row>
    <row r="397" customFormat="false" ht="15" hidden="false" customHeight="false" outlineLevel="0" collapsed="false">
      <c r="A397" s="0" t="s">
        <v>968</v>
      </c>
      <c r="B397" s="0" t="s">
        <v>1099</v>
      </c>
      <c r="C397" s="0" t="s">
        <v>13</v>
      </c>
      <c r="D397" s="0" t="s">
        <v>179</v>
      </c>
      <c r="E397" s="0" t="s">
        <v>1100</v>
      </c>
      <c r="F397" s="0" t="s">
        <v>16</v>
      </c>
      <c r="G397" s="0" t="n">
        <f aca="false">HYPERLINK("http://clipc-services.ceda.ac.uk/dreq/u/59174aa8-9e49-11e5-803c-0d0b866b59f3.html","web")</f>
        <v>0</v>
      </c>
      <c r="H397" s="0" t="s">
        <v>1077</v>
      </c>
      <c r="I397" s="0" t="s">
        <v>18</v>
      </c>
      <c r="J397" s="0" t="s">
        <v>1101</v>
      </c>
      <c r="K397" s="0" t="s">
        <v>983</v>
      </c>
    </row>
    <row r="398" customFormat="false" ht="15" hidden="false" customHeight="false" outlineLevel="0" collapsed="false">
      <c r="A398" s="0" t="s">
        <v>968</v>
      </c>
      <c r="B398" s="0" t="s">
        <v>1102</v>
      </c>
      <c r="C398" s="0" t="s">
        <v>13</v>
      </c>
      <c r="D398" s="0" t="s">
        <v>179</v>
      </c>
      <c r="E398" s="0" t="s">
        <v>1103</v>
      </c>
      <c r="F398" s="0" t="s">
        <v>16</v>
      </c>
      <c r="G398" s="0" t="n">
        <f aca="false">HYPERLINK("http://clipc-services.ceda.ac.uk/dreq/u/5917d9fa-9e49-11e5-803c-0d0b866b59f3.html","web")</f>
        <v>0</v>
      </c>
      <c r="H398" s="0" t="s">
        <v>1104</v>
      </c>
      <c r="I398" s="0" t="s">
        <v>18</v>
      </c>
      <c r="J398" s="0" t="s">
        <v>1105</v>
      </c>
      <c r="K398" s="0" t="s">
        <v>983</v>
      </c>
    </row>
    <row r="399" customFormat="false" ht="15" hidden="false" customHeight="false" outlineLevel="0" collapsed="false">
      <c r="A399" s="0" t="s">
        <v>968</v>
      </c>
      <c r="B399" s="0" t="s">
        <v>1106</v>
      </c>
      <c r="C399" s="0" t="s">
        <v>13</v>
      </c>
      <c r="D399" s="0" t="s">
        <v>179</v>
      </c>
      <c r="E399" s="0" t="s">
        <v>1107</v>
      </c>
      <c r="F399" s="0" t="s">
        <v>16</v>
      </c>
      <c r="G399" s="0" t="n">
        <f aca="false">HYPERLINK("http://clipc-services.ceda.ac.uk/dreq/u/84f0430a-acb7-11e6-b5ee-ac72891c3257.html","web")</f>
        <v>0</v>
      </c>
      <c r="H399" s="0" t="s">
        <v>1097</v>
      </c>
      <c r="I399" s="0" t="s">
        <v>18</v>
      </c>
      <c r="J399" s="0" t="s">
        <v>1108</v>
      </c>
      <c r="K399" s="0" t="s">
        <v>978</v>
      </c>
    </row>
    <row r="400" customFormat="false" ht="15" hidden="false" customHeight="false" outlineLevel="0" collapsed="false">
      <c r="A400" s="0" t="s">
        <v>968</v>
      </c>
      <c r="B400" s="0" t="s">
        <v>1109</v>
      </c>
      <c r="C400" s="0" t="s">
        <v>13</v>
      </c>
      <c r="D400" s="0" t="s">
        <v>179</v>
      </c>
      <c r="E400" s="0" t="s">
        <v>1110</v>
      </c>
      <c r="F400" s="0" t="s">
        <v>181</v>
      </c>
      <c r="G400" s="0" t="n">
        <f aca="false">HYPERLINK("http://clipc-services.ceda.ac.uk/dreq/u/590f8fca-9e49-11e5-803c-0d0b866b59f3.html","web")</f>
        <v>0</v>
      </c>
      <c r="H400" s="0" t="s">
        <v>1111</v>
      </c>
      <c r="I400" s="0" t="s">
        <v>18</v>
      </c>
      <c r="J400" s="0" t="s">
        <v>1112</v>
      </c>
      <c r="K400" s="0" t="s">
        <v>978</v>
      </c>
    </row>
    <row r="401" customFormat="false" ht="15" hidden="false" customHeight="false" outlineLevel="0" collapsed="false">
      <c r="A401" s="0" t="s">
        <v>968</v>
      </c>
      <c r="B401" s="0" t="s">
        <v>1113</v>
      </c>
      <c r="C401" s="0" t="s">
        <v>13</v>
      </c>
      <c r="D401" s="0" t="s">
        <v>179</v>
      </c>
      <c r="E401" s="0" t="s">
        <v>1114</v>
      </c>
      <c r="F401" s="0" t="s">
        <v>181</v>
      </c>
      <c r="G401" s="0" t="n">
        <f aca="false">HYPERLINK("http://clipc-services.ceda.ac.uk/dreq/u/590ec93c-9e49-11e5-803c-0d0b866b59f3.html","web")</f>
        <v>0</v>
      </c>
      <c r="H401" s="0" t="s">
        <v>1111</v>
      </c>
      <c r="I401" s="0" t="s">
        <v>18</v>
      </c>
      <c r="J401" s="0" t="s">
        <v>1115</v>
      </c>
      <c r="K401" s="0" t="s">
        <v>978</v>
      </c>
    </row>
    <row r="402" customFormat="false" ht="15" hidden="false" customHeight="false" outlineLevel="0" collapsed="false">
      <c r="A402" s="0" t="s">
        <v>968</v>
      </c>
      <c r="B402" s="0" t="s">
        <v>1116</v>
      </c>
      <c r="C402" s="0" t="s">
        <v>31</v>
      </c>
      <c r="D402" s="0" t="s">
        <v>179</v>
      </c>
      <c r="E402" s="0" t="s">
        <v>1117</v>
      </c>
      <c r="F402" s="0" t="s">
        <v>181</v>
      </c>
      <c r="G402" s="0" t="n">
        <f aca="false">HYPERLINK("http://clipc-services.ceda.ac.uk/dreq/u/5912cf78-9e49-11e5-803c-0d0b866b59f3.html","web")</f>
        <v>0</v>
      </c>
      <c r="H402" s="0" t="s">
        <v>1111</v>
      </c>
      <c r="I402" s="0" t="s">
        <v>18</v>
      </c>
      <c r="J402" s="0" t="s">
        <v>1118</v>
      </c>
      <c r="K402" s="0" t="s">
        <v>983</v>
      </c>
    </row>
    <row r="403" customFormat="false" ht="15" hidden="false" customHeight="false" outlineLevel="0" collapsed="false">
      <c r="A403" s="0" t="s">
        <v>968</v>
      </c>
      <c r="B403" s="0" t="s">
        <v>1119</v>
      </c>
      <c r="C403" s="0" t="s">
        <v>13</v>
      </c>
      <c r="D403" s="0" t="s">
        <v>179</v>
      </c>
      <c r="E403" s="0" t="s">
        <v>1120</v>
      </c>
      <c r="F403" s="0" t="s">
        <v>181</v>
      </c>
      <c r="G403" s="0" t="n">
        <f aca="false">HYPERLINK("http://clipc-services.ceda.ac.uk/dreq/u/590f097e-9e49-11e5-803c-0d0b866b59f3.html","web")</f>
        <v>0</v>
      </c>
      <c r="H403" s="0" t="s">
        <v>1111</v>
      </c>
      <c r="I403" s="0" t="s">
        <v>18</v>
      </c>
      <c r="J403" s="0" t="s">
        <v>1121</v>
      </c>
      <c r="K403" s="0" t="s">
        <v>978</v>
      </c>
    </row>
    <row r="404" customFormat="false" ht="15" hidden="false" customHeight="false" outlineLevel="0" collapsed="false">
      <c r="A404" s="0" t="s">
        <v>968</v>
      </c>
      <c r="B404" s="0" t="s">
        <v>142</v>
      </c>
      <c r="C404" s="0" t="s">
        <v>60</v>
      </c>
      <c r="D404" s="0" t="s">
        <v>41</v>
      </c>
      <c r="E404" s="0" t="s">
        <v>143</v>
      </c>
      <c r="F404" s="0" t="s">
        <v>131</v>
      </c>
      <c r="G404" s="0" t="n">
        <f aca="false">HYPERLINK("http://clipc-services.ceda.ac.uk/dreq/u/e52644bc-dd83-11e5-9194-ac72891c3257.html","web")</f>
        <v>0</v>
      </c>
      <c r="H404" s="0" t="s">
        <v>136</v>
      </c>
      <c r="I404" s="0" t="s">
        <v>137</v>
      </c>
      <c r="J404" s="0" t="s">
        <v>144</v>
      </c>
      <c r="K404" s="0" t="s">
        <v>915</v>
      </c>
    </row>
    <row r="405" customFormat="false" ht="15" hidden="false" customHeight="false" outlineLevel="0" collapsed="false">
      <c r="A405" s="0" t="s">
        <v>968</v>
      </c>
      <c r="B405" s="0" t="s">
        <v>145</v>
      </c>
      <c r="C405" s="0" t="s">
        <v>60</v>
      </c>
      <c r="D405" s="0" t="s">
        <v>41</v>
      </c>
      <c r="E405" s="0" t="s">
        <v>146</v>
      </c>
      <c r="F405" s="0" t="s">
        <v>131</v>
      </c>
      <c r="G405" s="0" t="n">
        <f aca="false">HYPERLINK("http://clipc-services.ceda.ac.uk/dreq/u/e526caea-dd83-11e5-9194-ac72891c3257.html","web")</f>
        <v>0</v>
      </c>
      <c r="H405" s="0" t="s">
        <v>136</v>
      </c>
      <c r="I405" s="0" t="s">
        <v>137</v>
      </c>
      <c r="J405" s="0" t="s">
        <v>147</v>
      </c>
      <c r="K405" s="0" t="s">
        <v>915</v>
      </c>
    </row>
    <row r="406" customFormat="false" ht="15" hidden="false" customHeight="false" outlineLevel="0" collapsed="false">
      <c r="A406" s="0" t="s">
        <v>968</v>
      </c>
      <c r="B406" s="0" t="s">
        <v>148</v>
      </c>
      <c r="C406" s="0" t="s">
        <v>60</v>
      </c>
      <c r="D406" s="0" t="s">
        <v>41</v>
      </c>
      <c r="E406" s="0" t="s">
        <v>149</v>
      </c>
      <c r="F406" s="0" t="s">
        <v>131</v>
      </c>
      <c r="G406" s="0" t="n">
        <f aca="false">HYPERLINK("http://clipc-services.ceda.ac.uk/dreq/u/e527532a-dd83-11e5-9194-ac72891c3257.html","web")</f>
        <v>0</v>
      </c>
      <c r="H406" s="0" t="s">
        <v>136</v>
      </c>
      <c r="I406" s="0" t="s">
        <v>137</v>
      </c>
      <c r="J406" s="0" t="s">
        <v>150</v>
      </c>
      <c r="K406" s="0" t="s">
        <v>915</v>
      </c>
    </row>
    <row r="407" customFormat="false" ht="15" hidden="false" customHeight="false" outlineLevel="0" collapsed="false">
      <c r="A407" s="0" t="s">
        <v>968</v>
      </c>
      <c r="B407" s="0" t="s">
        <v>133</v>
      </c>
      <c r="C407" s="0" t="s">
        <v>13</v>
      </c>
      <c r="D407" s="0" t="s">
        <v>41</v>
      </c>
      <c r="E407" s="0" t="s">
        <v>134</v>
      </c>
      <c r="F407" s="0" t="s">
        <v>135</v>
      </c>
      <c r="G407" s="0" t="n">
        <f aca="false">HYPERLINK("http://clipc-services.ceda.ac.uk/dreq/u/684d3f3543045a89ecbb0ca81ba6705f.html","web")</f>
        <v>0</v>
      </c>
      <c r="H407" s="0" t="s">
        <v>136</v>
      </c>
      <c r="I407" s="0" t="s">
        <v>137</v>
      </c>
      <c r="J407" s="0" t="s">
        <v>138</v>
      </c>
      <c r="K407" s="0" t="s">
        <v>915</v>
      </c>
    </row>
    <row r="408" customFormat="false" ht="15" hidden="false" customHeight="false" outlineLevel="0" collapsed="false">
      <c r="A408" s="0" t="s">
        <v>968</v>
      </c>
      <c r="B408" s="0" t="s">
        <v>792</v>
      </c>
      <c r="C408" s="0" t="s">
        <v>31</v>
      </c>
      <c r="D408" s="0" t="s">
        <v>916</v>
      </c>
      <c r="E408" s="0" t="s">
        <v>794</v>
      </c>
      <c r="F408" s="0" t="s">
        <v>31</v>
      </c>
      <c r="G408" s="0" t="n">
        <f aca="false">HYPERLINK("http://clipc-services.ceda.ac.uk/dreq/u/a06b8e83250b870d9f39dc1f6534efcb.html","web")</f>
        <v>0</v>
      </c>
      <c r="H408" s="0" t="s">
        <v>795</v>
      </c>
      <c r="I408" s="0" t="s">
        <v>215</v>
      </c>
      <c r="J408" s="0" t="s">
        <v>796</v>
      </c>
      <c r="K408" s="0" t="s">
        <v>200</v>
      </c>
    </row>
    <row r="409" customFormat="false" ht="15" hidden="false" customHeight="false" outlineLevel="0" collapsed="false">
      <c r="A409" s="0" t="s">
        <v>968</v>
      </c>
      <c r="B409" s="0" t="s">
        <v>656</v>
      </c>
      <c r="C409" s="0" t="s">
        <v>31</v>
      </c>
      <c r="D409" s="0" t="s">
        <v>409</v>
      </c>
      <c r="E409" s="0" t="s">
        <v>657</v>
      </c>
      <c r="F409" s="0" t="s">
        <v>314</v>
      </c>
      <c r="G409" s="0" t="n">
        <f aca="false">HYPERLINK("http://clipc-services.ceda.ac.uk/dreq/u/59170a02-9e49-11e5-803c-0d0b866b59f3.html","web")</f>
        <v>0</v>
      </c>
      <c r="H409" s="0" t="s">
        <v>231</v>
      </c>
      <c r="I409" s="0" t="s">
        <v>204</v>
      </c>
      <c r="J409" s="0" t="s">
        <v>658</v>
      </c>
      <c r="K409" s="0" t="s">
        <v>791</v>
      </c>
    </row>
    <row r="410" customFormat="false" ht="15" hidden="false" customHeight="false" outlineLevel="0" collapsed="false">
      <c r="A410" s="0" t="s">
        <v>968</v>
      </c>
      <c r="B410" s="0" t="s">
        <v>659</v>
      </c>
      <c r="C410" s="0" t="s">
        <v>31</v>
      </c>
      <c r="D410" s="0" t="s">
        <v>409</v>
      </c>
      <c r="E410" s="0" t="s">
        <v>660</v>
      </c>
      <c r="F410" s="0" t="s">
        <v>314</v>
      </c>
      <c r="G410" s="0" t="n">
        <f aca="false">HYPERLINK("http://clipc-services.ceda.ac.uk/dreq/u/5913d86e-9e49-11e5-803c-0d0b866b59f3.html","web")</f>
        <v>0</v>
      </c>
      <c r="H410" s="0" t="s">
        <v>231</v>
      </c>
      <c r="I410" s="0" t="s">
        <v>204</v>
      </c>
      <c r="J410" s="0" t="s">
        <v>661</v>
      </c>
      <c r="K410" s="0" t="s">
        <v>791</v>
      </c>
    </row>
    <row r="411" customFormat="false" ht="15" hidden="false" customHeight="false" outlineLevel="0" collapsed="false">
      <c r="A411" s="0" t="s">
        <v>968</v>
      </c>
      <c r="B411" s="0" t="s">
        <v>662</v>
      </c>
      <c r="C411" s="0" t="s">
        <v>31</v>
      </c>
      <c r="D411" s="0" t="s">
        <v>409</v>
      </c>
      <c r="E411" s="0" t="s">
        <v>663</v>
      </c>
      <c r="F411" s="0" t="s">
        <v>314</v>
      </c>
      <c r="G411" s="0" t="n">
        <f aca="false">HYPERLINK("http://clipc-services.ceda.ac.uk/dreq/u/5913d602-9e49-11e5-803c-0d0b866b59f3.html","web")</f>
        <v>0</v>
      </c>
      <c r="H411" s="0" t="s">
        <v>231</v>
      </c>
      <c r="I411" s="0" t="s">
        <v>204</v>
      </c>
      <c r="J411" s="0" t="s">
        <v>664</v>
      </c>
      <c r="K411" s="0" t="s">
        <v>791</v>
      </c>
    </row>
    <row r="412" customFormat="false" ht="15" hidden="false" customHeight="false" outlineLevel="0" collapsed="false">
      <c r="A412" s="0" t="s">
        <v>968</v>
      </c>
      <c r="B412" s="0" t="s">
        <v>252</v>
      </c>
      <c r="C412" s="0" t="s">
        <v>31</v>
      </c>
      <c r="D412" s="0" t="s">
        <v>674</v>
      </c>
      <c r="E412" s="0" t="s">
        <v>253</v>
      </c>
      <c r="F412" s="0" t="s">
        <v>246</v>
      </c>
      <c r="G412" s="0" t="n">
        <f aca="false">HYPERLINK("http://clipc-services.ceda.ac.uk/dreq/u/590e85a8-9e49-11e5-803c-0d0b866b59f3.html","web")</f>
        <v>0</v>
      </c>
      <c r="H412" s="0" t="s">
        <v>250</v>
      </c>
      <c r="I412" s="0" t="s">
        <v>36</v>
      </c>
      <c r="J412" s="0" t="s">
        <v>254</v>
      </c>
      <c r="K412" s="0" t="s">
        <v>1122</v>
      </c>
    </row>
    <row r="413" customFormat="false" ht="15" hidden="false" customHeight="false" outlineLevel="0" collapsed="false">
      <c r="A413" s="0" t="s">
        <v>968</v>
      </c>
      <c r="B413" s="0" t="s">
        <v>1123</v>
      </c>
      <c r="C413" s="0" t="s">
        <v>31</v>
      </c>
      <c r="D413" s="0" t="s">
        <v>674</v>
      </c>
      <c r="E413" s="0" t="s">
        <v>1124</v>
      </c>
      <c r="F413" s="0" t="s">
        <v>246</v>
      </c>
      <c r="G413" s="0" t="n">
        <f aca="false">HYPERLINK("http://clipc-services.ceda.ac.uk/dreq/u/5d432c16b179052a4e94c63af356c67c.html","web")</f>
        <v>0</v>
      </c>
      <c r="H413" s="0" t="s">
        <v>231</v>
      </c>
      <c r="I413" s="0" t="s">
        <v>204</v>
      </c>
      <c r="J413" s="0" t="s">
        <v>1125</v>
      </c>
      <c r="K413" s="0" t="s">
        <v>629</v>
      </c>
    </row>
    <row r="414" customFormat="false" ht="15" hidden="false" customHeight="false" outlineLevel="0" collapsed="false">
      <c r="A414" s="0" t="s">
        <v>968</v>
      </c>
      <c r="B414" s="0" t="s">
        <v>701</v>
      </c>
      <c r="C414" s="0" t="s">
        <v>31</v>
      </c>
      <c r="D414" s="0" t="s">
        <v>179</v>
      </c>
      <c r="E414" s="0" t="s">
        <v>702</v>
      </c>
      <c r="F414" s="0" t="s">
        <v>181</v>
      </c>
      <c r="G414" s="0" t="n">
        <f aca="false">HYPERLINK("http://clipc-services.ceda.ac.uk/dreq/u/7553003ead183dd3276108b6311a337f.html","web")</f>
        <v>0</v>
      </c>
      <c r="H414" s="0" t="s">
        <v>231</v>
      </c>
      <c r="I414" s="0" t="s">
        <v>204</v>
      </c>
      <c r="J414" s="0" t="s">
        <v>703</v>
      </c>
      <c r="K414" s="0" t="s">
        <v>704</v>
      </c>
    </row>
    <row r="415" customFormat="false" ht="15" hidden="false" customHeight="false" outlineLevel="0" collapsed="false">
      <c r="A415" s="0" t="s">
        <v>968</v>
      </c>
      <c r="B415" s="0" t="s">
        <v>248</v>
      </c>
      <c r="C415" s="0" t="s">
        <v>31</v>
      </c>
      <c r="D415" s="0" t="s">
        <v>674</v>
      </c>
      <c r="E415" s="0" t="s">
        <v>249</v>
      </c>
      <c r="F415" s="0" t="s">
        <v>246</v>
      </c>
      <c r="G415" s="0" t="n">
        <f aca="false">HYPERLINK("http://clipc-services.ceda.ac.uk/dreq/u/590ed5a8-9e49-11e5-803c-0d0b866b59f3.html","web")</f>
        <v>0</v>
      </c>
      <c r="H415" s="0" t="s">
        <v>250</v>
      </c>
      <c r="I415" s="0" t="s">
        <v>36</v>
      </c>
      <c r="J415" s="0" t="s">
        <v>251</v>
      </c>
      <c r="K415" s="0" t="s">
        <v>1122</v>
      </c>
    </row>
    <row r="416" customFormat="false" ht="15" hidden="false" customHeight="false" outlineLevel="0" collapsed="false">
      <c r="A416" s="0" t="s">
        <v>968</v>
      </c>
      <c r="B416" s="0" t="s">
        <v>360</v>
      </c>
      <c r="C416" s="0" t="s">
        <v>31</v>
      </c>
      <c r="D416" s="0" t="s">
        <v>179</v>
      </c>
      <c r="E416" s="0" t="s">
        <v>361</v>
      </c>
      <c r="F416" s="0" t="s">
        <v>286</v>
      </c>
      <c r="G416" s="0" t="n">
        <f aca="false">HYPERLINK("http://clipc-services.ceda.ac.uk/dreq/u/f27656eeae247192e82aa1032c911399.html","web")</f>
        <v>0</v>
      </c>
      <c r="H416" s="0" t="s">
        <v>362</v>
      </c>
      <c r="I416" s="0" t="s">
        <v>363</v>
      </c>
      <c r="J416" s="0" t="s">
        <v>364</v>
      </c>
      <c r="K416" s="0" t="s">
        <v>1126</v>
      </c>
    </row>
    <row r="417" customFormat="false" ht="15" hidden="false" customHeight="false" outlineLevel="0" collapsed="false">
      <c r="A417" s="0" t="s">
        <v>968</v>
      </c>
      <c r="B417" s="0" t="s">
        <v>921</v>
      </c>
      <c r="C417" s="0" t="s">
        <v>31</v>
      </c>
      <c r="D417" s="0" t="s">
        <v>179</v>
      </c>
      <c r="E417" s="0" t="s">
        <v>922</v>
      </c>
      <c r="F417" s="0" t="s">
        <v>286</v>
      </c>
      <c r="G417" s="0" t="n">
        <f aca="false">HYPERLINK("http://clipc-services.ceda.ac.uk/dreq/u/6ca9dd8a089b15fb96841e9fe56411cf.html","web")</f>
        <v>0</v>
      </c>
      <c r="H417" s="0" t="s">
        <v>923</v>
      </c>
      <c r="I417" s="0" t="s">
        <v>924</v>
      </c>
      <c r="J417" s="0" t="s">
        <v>925</v>
      </c>
      <c r="K417" s="0" t="s">
        <v>1126</v>
      </c>
    </row>
    <row r="418" customFormat="false" ht="15" hidden="false" customHeight="false" outlineLevel="0" collapsed="false">
      <c r="A418" s="0" t="s">
        <v>968</v>
      </c>
      <c r="B418" s="0" t="s">
        <v>917</v>
      </c>
      <c r="C418" s="0" t="s">
        <v>31</v>
      </c>
      <c r="D418" s="0" t="s">
        <v>179</v>
      </c>
      <c r="E418" s="0" t="s">
        <v>918</v>
      </c>
      <c r="F418" s="0" t="s">
        <v>912</v>
      </c>
      <c r="G418" s="0" t="n">
        <f aca="false">HYPERLINK("http://clipc-services.ceda.ac.uk/dreq/u/590ef7b8-9e49-11e5-803c-0d0b866b59f3.html","web")</f>
        <v>0</v>
      </c>
      <c r="H418" s="0" t="s">
        <v>919</v>
      </c>
      <c r="I418" s="0" t="s">
        <v>36</v>
      </c>
      <c r="J418" s="0" t="s">
        <v>920</v>
      </c>
      <c r="K418" s="0" t="s">
        <v>666</v>
      </c>
    </row>
    <row r="419" customFormat="false" ht="15" hidden="false" customHeight="false" outlineLevel="0" collapsed="false">
      <c r="A419" s="0" t="s">
        <v>968</v>
      </c>
      <c r="B419" s="0" t="s">
        <v>1127</v>
      </c>
      <c r="C419" s="0" t="s">
        <v>13</v>
      </c>
      <c r="D419" s="0" t="s">
        <v>179</v>
      </c>
      <c r="E419" s="0" t="s">
        <v>1128</v>
      </c>
      <c r="F419" s="0" t="s">
        <v>912</v>
      </c>
      <c r="G419" s="0" t="n">
        <f aca="false">HYPERLINK("http://clipc-services.ceda.ac.uk/dreq/u/f3532407075647328e7da9c24f00193d.html","web")</f>
        <v>0</v>
      </c>
      <c r="H419" s="0" t="s">
        <v>1129</v>
      </c>
      <c r="I419" s="0" t="s">
        <v>18</v>
      </c>
      <c r="J419" s="0" t="s">
        <v>1130</v>
      </c>
      <c r="K419" s="0" t="s">
        <v>1131</v>
      </c>
    </row>
    <row r="420" customFormat="false" ht="15" hidden="false" customHeight="false" outlineLevel="0" collapsed="false">
      <c r="A420" s="0" t="s">
        <v>968</v>
      </c>
      <c r="B420" s="0" t="s">
        <v>1132</v>
      </c>
      <c r="C420" s="0" t="s">
        <v>31</v>
      </c>
      <c r="D420" s="0" t="s">
        <v>1133</v>
      </c>
      <c r="E420" s="0" t="s">
        <v>1134</v>
      </c>
      <c r="F420" s="0" t="s">
        <v>785</v>
      </c>
      <c r="G420" s="0" t="n">
        <f aca="false">HYPERLINK("http://clipc-services.ceda.ac.uk/dreq/u/590f1a90-9e49-11e5-803c-0d0b866b59f3.html","web")</f>
        <v>0</v>
      </c>
      <c r="H420" s="0" t="s">
        <v>1135</v>
      </c>
      <c r="I420" s="0" t="s">
        <v>1136</v>
      </c>
      <c r="J420" s="0" t="s">
        <v>1137</v>
      </c>
      <c r="K420" s="0" t="s">
        <v>1138</v>
      </c>
    </row>
    <row r="421" customFormat="false" ht="15" hidden="false" customHeight="false" outlineLevel="0" collapsed="false">
      <c r="A421" s="0" t="s">
        <v>968</v>
      </c>
      <c r="B421" s="0" t="s">
        <v>1139</v>
      </c>
      <c r="C421" s="0" t="s">
        <v>31</v>
      </c>
      <c r="D421" s="0" t="s">
        <v>1140</v>
      </c>
      <c r="E421" s="0" t="s">
        <v>1141</v>
      </c>
      <c r="F421" s="0" t="s">
        <v>785</v>
      </c>
      <c r="G421" s="0" t="n">
        <f aca="false">HYPERLINK("http://clipc-services.ceda.ac.uk/dreq/u/590e417e-9e49-11e5-803c-0d0b866b59f3.html","web")</f>
        <v>0</v>
      </c>
      <c r="H421" s="0" t="s">
        <v>1135</v>
      </c>
      <c r="I421" s="0" t="s">
        <v>1136</v>
      </c>
      <c r="J421" s="0" t="s">
        <v>1142</v>
      </c>
      <c r="K421" s="0" t="s">
        <v>1138</v>
      </c>
    </row>
    <row r="422" customFormat="false" ht="15" hidden="false" customHeight="false" outlineLevel="0" collapsed="false">
      <c r="A422" s="0" t="s">
        <v>968</v>
      </c>
      <c r="B422" s="0" t="s">
        <v>1143</v>
      </c>
      <c r="C422" s="0" t="s">
        <v>31</v>
      </c>
      <c r="D422" s="0" t="s">
        <v>1133</v>
      </c>
      <c r="E422" s="0" t="s">
        <v>1144</v>
      </c>
      <c r="F422" s="0" t="s">
        <v>31</v>
      </c>
      <c r="G422" s="0" t="n">
        <f aca="false">HYPERLINK("http://clipc-services.ceda.ac.uk/dreq/u/59178a72-9e49-11e5-803c-0d0b866b59f3.html","web")</f>
        <v>0</v>
      </c>
      <c r="H422" s="0" t="s">
        <v>1135</v>
      </c>
      <c r="I422" s="0" t="s">
        <v>1136</v>
      </c>
      <c r="J422" s="0" t="s">
        <v>1145</v>
      </c>
      <c r="K422" s="0" t="s">
        <v>1138</v>
      </c>
    </row>
    <row r="423" customFormat="false" ht="15" hidden="false" customHeight="false" outlineLevel="0" collapsed="false">
      <c r="A423" s="0" t="s">
        <v>968</v>
      </c>
      <c r="B423" s="0" t="s">
        <v>1146</v>
      </c>
      <c r="C423" s="0" t="s">
        <v>31</v>
      </c>
      <c r="D423" s="0" t="s">
        <v>1140</v>
      </c>
      <c r="E423" s="0" t="s">
        <v>1147</v>
      </c>
      <c r="F423" s="0" t="s">
        <v>286</v>
      </c>
      <c r="G423" s="0" t="n">
        <f aca="false">HYPERLINK("http://clipc-services.ceda.ac.uk/dreq/u/590ee804-9e49-11e5-803c-0d0b866b59f3.html","web")</f>
        <v>0</v>
      </c>
      <c r="H423" s="0" t="s">
        <v>1135</v>
      </c>
      <c r="I423" s="0" t="s">
        <v>1136</v>
      </c>
      <c r="J423" s="0" t="s">
        <v>1148</v>
      </c>
      <c r="K423" s="0" t="s">
        <v>1138</v>
      </c>
    </row>
    <row r="424" customFormat="false" ht="15" hidden="false" customHeight="false" outlineLevel="0" collapsed="false">
      <c r="A424" s="0" t="s">
        <v>968</v>
      </c>
      <c r="B424" s="0" t="s">
        <v>1149</v>
      </c>
      <c r="C424" s="0" t="s">
        <v>31</v>
      </c>
      <c r="D424" s="0" t="s">
        <v>1140</v>
      </c>
      <c r="E424" s="0" t="s">
        <v>1150</v>
      </c>
      <c r="F424" s="0" t="s">
        <v>286</v>
      </c>
      <c r="G424" s="0" t="n">
        <f aca="false">HYPERLINK("http://clipc-services.ceda.ac.uk/dreq/u/590e590c-9e49-11e5-803c-0d0b866b59f3.html","web")</f>
        <v>0</v>
      </c>
      <c r="H424" s="0" t="s">
        <v>1135</v>
      </c>
      <c r="I424" s="0" t="s">
        <v>1136</v>
      </c>
      <c r="J424" s="0" t="s">
        <v>1151</v>
      </c>
      <c r="K424" s="0" t="s">
        <v>1138</v>
      </c>
    </row>
    <row r="425" customFormat="false" ht="15" hidden="false" customHeight="false" outlineLevel="0" collapsed="false">
      <c r="A425" s="0" t="s">
        <v>968</v>
      </c>
      <c r="B425" s="0" t="s">
        <v>1152</v>
      </c>
      <c r="C425" s="0" t="s">
        <v>31</v>
      </c>
      <c r="D425" s="0" t="s">
        <v>1140</v>
      </c>
      <c r="E425" s="0" t="s">
        <v>1153</v>
      </c>
      <c r="F425" s="0" t="s">
        <v>286</v>
      </c>
      <c r="G425" s="0" t="n">
        <f aca="false">HYPERLINK("http://clipc-services.ceda.ac.uk/dreq/u/5912e6d4-9e49-11e5-803c-0d0b866b59f3.html","web")</f>
        <v>0</v>
      </c>
      <c r="H425" s="0" t="s">
        <v>1135</v>
      </c>
      <c r="I425" s="0" t="s">
        <v>1136</v>
      </c>
      <c r="J425" s="0" t="s">
        <v>1154</v>
      </c>
      <c r="K425" s="0" t="s">
        <v>1138</v>
      </c>
    </row>
    <row r="426" customFormat="false" ht="15" hidden="false" customHeight="false" outlineLevel="0" collapsed="false">
      <c r="A426" s="0" t="s">
        <v>968</v>
      </c>
      <c r="B426" s="0" t="s">
        <v>1155</v>
      </c>
      <c r="C426" s="0" t="s">
        <v>31</v>
      </c>
      <c r="D426" s="0" t="s">
        <v>1140</v>
      </c>
      <c r="E426" s="0" t="s">
        <v>1156</v>
      </c>
      <c r="F426" s="0" t="s">
        <v>286</v>
      </c>
      <c r="G426" s="0" t="n">
        <f aca="false">HYPERLINK("http://clipc-services.ceda.ac.uk/dreq/u/5912c3de-9e49-11e5-803c-0d0b866b59f3.html","web")</f>
        <v>0</v>
      </c>
      <c r="H426" s="0" t="s">
        <v>1135</v>
      </c>
      <c r="I426" s="0" t="s">
        <v>1136</v>
      </c>
      <c r="J426" s="0" t="s">
        <v>1157</v>
      </c>
      <c r="K426" s="0" t="s">
        <v>1138</v>
      </c>
    </row>
    <row r="427" customFormat="false" ht="15" hidden="false" customHeight="false" outlineLevel="0" collapsed="false">
      <c r="A427" s="0" t="s">
        <v>968</v>
      </c>
      <c r="B427" s="0" t="s">
        <v>1158</v>
      </c>
      <c r="C427" s="0" t="s">
        <v>31</v>
      </c>
      <c r="D427" s="0" t="s">
        <v>1140</v>
      </c>
      <c r="E427" s="0" t="s">
        <v>1159</v>
      </c>
      <c r="F427" s="0" t="s">
        <v>16</v>
      </c>
      <c r="G427" s="0" t="n">
        <f aca="false">HYPERLINK("http://clipc-services.ceda.ac.uk/dreq/u/590e379c-9e49-11e5-803c-0d0b866b59f3.html","web")</f>
        <v>0</v>
      </c>
      <c r="H427" s="0" t="s">
        <v>1135</v>
      </c>
      <c r="I427" s="0" t="s">
        <v>1136</v>
      </c>
      <c r="J427" s="0" t="s">
        <v>1160</v>
      </c>
      <c r="K427" s="0" t="s">
        <v>1138</v>
      </c>
    </row>
    <row r="428" customFormat="false" ht="15" hidden="false" customHeight="false" outlineLevel="0" collapsed="false">
      <c r="A428" s="0" t="s">
        <v>968</v>
      </c>
      <c r="B428" s="0" t="s">
        <v>1161</v>
      </c>
      <c r="C428" s="0" t="s">
        <v>31</v>
      </c>
      <c r="D428" s="0" t="s">
        <v>1140</v>
      </c>
      <c r="E428" s="0" t="s">
        <v>1162</v>
      </c>
      <c r="F428" s="0" t="s">
        <v>286</v>
      </c>
      <c r="G428" s="0" t="n">
        <f aca="false">HYPERLINK("http://clipc-services.ceda.ac.uk/dreq/u/3f30557c-b89b-11e6-be04-ac72891c3257.html","web")</f>
        <v>0</v>
      </c>
      <c r="H428" s="0" t="s">
        <v>1135</v>
      </c>
      <c r="I428" s="0" t="s">
        <v>1136</v>
      </c>
      <c r="J428" s="0" t="s">
        <v>1163</v>
      </c>
      <c r="K428" s="0" t="s">
        <v>1138</v>
      </c>
    </row>
    <row r="429" customFormat="false" ht="15" hidden="false" customHeight="false" outlineLevel="0" collapsed="false">
      <c r="A429" s="0" t="s">
        <v>968</v>
      </c>
      <c r="B429" s="0" t="s">
        <v>1164</v>
      </c>
      <c r="C429" s="0" t="s">
        <v>31</v>
      </c>
      <c r="D429" s="0" t="s">
        <v>179</v>
      </c>
      <c r="E429" s="0" t="s">
        <v>1165</v>
      </c>
      <c r="F429" s="0" t="s">
        <v>181</v>
      </c>
      <c r="G429" s="0" t="n">
        <f aca="false">HYPERLINK("http://clipc-services.ceda.ac.uk/dreq/u/590e4408-9e49-11e5-803c-0d0b866b59f3.html","web")</f>
        <v>0</v>
      </c>
      <c r="H429" s="0" t="s">
        <v>923</v>
      </c>
      <c r="I429" s="0" t="s">
        <v>924</v>
      </c>
      <c r="J429" s="0" t="s">
        <v>1166</v>
      </c>
      <c r="K429" s="0" t="s">
        <v>1167</v>
      </c>
    </row>
    <row r="430" customFormat="false" ht="15" hidden="false" customHeight="false" outlineLevel="0" collapsed="false">
      <c r="A430" s="0" t="s">
        <v>968</v>
      </c>
      <c r="B430" s="0" t="s">
        <v>1168</v>
      </c>
      <c r="C430" s="0" t="s">
        <v>31</v>
      </c>
      <c r="D430" s="0" t="s">
        <v>179</v>
      </c>
      <c r="E430" s="0" t="s">
        <v>1169</v>
      </c>
      <c r="F430" s="0" t="s">
        <v>181</v>
      </c>
      <c r="G430" s="0" t="n">
        <f aca="false">HYPERLINK("http://clipc-services.ceda.ac.uk/dreq/u/591763b2-9e49-11e5-803c-0d0b866b59f3.html","web")</f>
        <v>0</v>
      </c>
      <c r="H430" s="0" t="s">
        <v>923</v>
      </c>
      <c r="I430" s="0" t="s">
        <v>924</v>
      </c>
      <c r="J430" s="0" t="s">
        <v>1170</v>
      </c>
      <c r="K430" s="0" t="s">
        <v>1167</v>
      </c>
    </row>
    <row r="431" customFormat="false" ht="15" hidden="false" customHeight="false" outlineLevel="0" collapsed="false">
      <c r="A431" s="0" t="s">
        <v>968</v>
      </c>
      <c r="B431" s="0" t="s">
        <v>1171</v>
      </c>
      <c r="C431" s="0" t="s">
        <v>31</v>
      </c>
      <c r="D431" s="0" t="s">
        <v>179</v>
      </c>
      <c r="E431" s="0" t="s">
        <v>1172</v>
      </c>
      <c r="F431" s="0" t="s">
        <v>181</v>
      </c>
      <c r="G431" s="0" t="n">
        <f aca="false">HYPERLINK("http://clipc-services.ceda.ac.uk/dreq/u/590e105a-9e49-11e5-803c-0d0b866b59f3.html","web")</f>
        <v>0</v>
      </c>
      <c r="H431" s="0" t="s">
        <v>923</v>
      </c>
      <c r="I431" s="0" t="s">
        <v>924</v>
      </c>
      <c r="J431" s="0" t="s">
        <v>1173</v>
      </c>
      <c r="K431" s="0" t="s">
        <v>1167</v>
      </c>
    </row>
    <row r="432" customFormat="false" ht="15" hidden="false" customHeight="false" outlineLevel="0" collapsed="false">
      <c r="A432" s="0" t="s">
        <v>968</v>
      </c>
      <c r="B432" s="0" t="s">
        <v>1174</v>
      </c>
      <c r="C432" s="0" t="s">
        <v>31</v>
      </c>
      <c r="D432" s="0" t="s">
        <v>179</v>
      </c>
      <c r="E432" s="0" t="s">
        <v>1175</v>
      </c>
      <c r="F432" s="0" t="s">
        <v>181</v>
      </c>
      <c r="G432" s="0" t="n">
        <f aca="false">HYPERLINK("http://clipc-services.ceda.ac.uk/dreq/u/5912fb88-9e49-11e5-803c-0d0b866b59f3.html","web")</f>
        <v>0</v>
      </c>
      <c r="H432" s="0" t="s">
        <v>923</v>
      </c>
      <c r="I432" s="0" t="s">
        <v>924</v>
      </c>
      <c r="J432" s="0" t="s">
        <v>1176</v>
      </c>
      <c r="K432" s="0" t="s">
        <v>1167</v>
      </c>
    </row>
    <row r="433" customFormat="false" ht="15" hidden="false" customHeight="false" outlineLevel="0" collapsed="false">
      <c r="A433" s="0" t="s">
        <v>968</v>
      </c>
      <c r="B433" s="0" t="s">
        <v>1177</v>
      </c>
      <c r="C433" s="0" t="s">
        <v>31</v>
      </c>
      <c r="D433" s="0" t="s">
        <v>179</v>
      </c>
      <c r="E433" s="0" t="s">
        <v>1178</v>
      </c>
      <c r="F433" s="0" t="s">
        <v>181</v>
      </c>
      <c r="G433" s="0" t="n">
        <f aca="false">HYPERLINK("http://clipc-services.ceda.ac.uk/dreq/u/590f10b8-9e49-11e5-803c-0d0b866b59f3.html","web")</f>
        <v>0</v>
      </c>
      <c r="H433" s="0" t="s">
        <v>923</v>
      </c>
      <c r="I433" s="0" t="s">
        <v>924</v>
      </c>
      <c r="J433" s="0" t="s">
        <v>1179</v>
      </c>
      <c r="K433" s="0" t="s">
        <v>1167</v>
      </c>
    </row>
    <row r="434" customFormat="false" ht="15" hidden="false" customHeight="false" outlineLevel="0" collapsed="false">
      <c r="A434" s="0" t="s">
        <v>968</v>
      </c>
      <c r="B434" s="0" t="s">
        <v>1180</v>
      </c>
      <c r="C434" s="0" t="s">
        <v>31</v>
      </c>
      <c r="D434" s="0" t="s">
        <v>179</v>
      </c>
      <c r="E434" s="0" t="s">
        <v>1181</v>
      </c>
      <c r="F434" s="0" t="s">
        <v>181</v>
      </c>
      <c r="G434" s="0" t="n">
        <f aca="false">HYPERLINK("http://clipc-services.ceda.ac.uk/dreq/u/591401a4-9e49-11e5-803c-0d0b866b59f3.html","web")</f>
        <v>0</v>
      </c>
      <c r="H434" s="0" t="s">
        <v>923</v>
      </c>
      <c r="I434" s="0" t="s">
        <v>924</v>
      </c>
      <c r="J434" s="0" t="s">
        <v>1182</v>
      </c>
      <c r="K434" s="0" t="s">
        <v>1167</v>
      </c>
    </row>
    <row r="435" customFormat="false" ht="15" hidden="false" customHeight="false" outlineLevel="0" collapsed="false">
      <c r="A435" s="0" t="s">
        <v>968</v>
      </c>
      <c r="B435" s="0" t="s">
        <v>1183</v>
      </c>
      <c r="C435" s="0" t="s">
        <v>31</v>
      </c>
      <c r="D435" s="0" t="s">
        <v>409</v>
      </c>
      <c r="E435" s="0" t="s">
        <v>1184</v>
      </c>
      <c r="F435" s="0" t="s">
        <v>31</v>
      </c>
      <c r="G435" s="0" t="n">
        <f aca="false">HYPERLINK("http://clipc-services.ceda.ac.uk/dreq/u/590d4440-9e49-11e5-803c-0d0b866b59f3.html","web")</f>
        <v>0</v>
      </c>
      <c r="H435" s="0" t="s">
        <v>54</v>
      </c>
      <c r="I435" s="0" t="s">
        <v>36</v>
      </c>
      <c r="J435" s="0" t="s">
        <v>1185</v>
      </c>
      <c r="K435" s="0" t="s">
        <v>1167</v>
      </c>
    </row>
    <row r="436" customFormat="false" ht="15" hidden="false" customHeight="false" outlineLevel="0" collapsed="false">
      <c r="A436" s="0" t="s">
        <v>968</v>
      </c>
      <c r="B436" s="0" t="s">
        <v>1186</v>
      </c>
      <c r="C436" s="0" t="s">
        <v>31</v>
      </c>
      <c r="D436" s="0" t="s">
        <v>409</v>
      </c>
      <c r="E436" s="0" t="s">
        <v>1187</v>
      </c>
      <c r="F436" s="0" t="s">
        <v>912</v>
      </c>
      <c r="G436" s="0" t="n">
        <f aca="false">HYPERLINK("http://clipc-services.ceda.ac.uk/dreq/u/590f7e72-9e49-11e5-803c-0d0b866b59f3.html","web")</f>
        <v>0</v>
      </c>
      <c r="H436" s="0" t="s">
        <v>923</v>
      </c>
      <c r="I436" s="0" t="s">
        <v>924</v>
      </c>
      <c r="J436" s="0" t="s">
        <v>1188</v>
      </c>
      <c r="K436" s="0" t="s">
        <v>1167</v>
      </c>
    </row>
    <row r="437" customFormat="false" ht="15" hidden="false" customHeight="false" outlineLevel="0" collapsed="false">
      <c r="A437" s="0" t="s">
        <v>968</v>
      </c>
      <c r="B437" s="0" t="s">
        <v>1189</v>
      </c>
      <c r="C437" s="0" t="s">
        <v>31</v>
      </c>
      <c r="D437" s="0" t="s">
        <v>409</v>
      </c>
      <c r="E437" s="0" t="s">
        <v>1190</v>
      </c>
      <c r="F437" s="0" t="s">
        <v>912</v>
      </c>
      <c r="G437" s="0" t="n">
        <f aca="false">HYPERLINK("http://clipc-services.ceda.ac.uk/dreq/u/5914fd52-9e49-11e5-803c-0d0b866b59f3.html","web")</f>
        <v>0</v>
      </c>
      <c r="H437" s="0" t="s">
        <v>923</v>
      </c>
      <c r="I437" s="0" t="s">
        <v>924</v>
      </c>
      <c r="J437" s="0" t="s">
        <v>1191</v>
      </c>
      <c r="K437" s="0" t="s">
        <v>1167</v>
      </c>
    </row>
    <row r="438" customFormat="false" ht="15" hidden="false" customHeight="false" outlineLevel="0" collapsed="false">
      <c r="A438" s="0" t="s">
        <v>968</v>
      </c>
      <c r="B438" s="0" t="s">
        <v>12</v>
      </c>
      <c r="C438" s="0" t="s">
        <v>13</v>
      </c>
      <c r="D438" s="0" t="s">
        <v>179</v>
      </c>
      <c r="E438" s="0" t="s">
        <v>15</v>
      </c>
      <c r="F438" s="0" t="s">
        <v>16</v>
      </c>
      <c r="G438" s="0" t="n">
        <f aca="false">HYPERLINK("http://clipc-services.ceda.ac.uk/dreq/u/59170cbe-9e49-11e5-803c-0d0b866b59f3.html","web")</f>
        <v>0</v>
      </c>
      <c r="H438" s="0" t="s">
        <v>17</v>
      </c>
      <c r="I438" s="0" t="s">
        <v>18</v>
      </c>
      <c r="J438" s="0" t="s">
        <v>19</v>
      </c>
      <c r="K438" s="0" t="s">
        <v>1192</v>
      </c>
    </row>
    <row r="439" customFormat="false" ht="15" hidden="false" customHeight="false" outlineLevel="0" collapsed="false">
      <c r="A439" s="0" t="s">
        <v>968</v>
      </c>
      <c r="B439" s="0" t="s">
        <v>1193</v>
      </c>
      <c r="C439" s="0" t="s">
        <v>13</v>
      </c>
      <c r="D439" s="0" t="s">
        <v>1194</v>
      </c>
      <c r="E439" s="0" t="s">
        <v>1195</v>
      </c>
      <c r="F439" s="0" t="s">
        <v>24</v>
      </c>
      <c r="G439" s="0" t="n">
        <f aca="false">HYPERLINK("http://clipc-services.ceda.ac.uk/dreq/u/59147ddc-9e49-11e5-803c-0d0b866b59f3.html","web")</f>
        <v>0</v>
      </c>
      <c r="H439" s="0" t="s">
        <v>1111</v>
      </c>
      <c r="I439" s="0" t="s">
        <v>18</v>
      </c>
      <c r="J439" s="0" t="s">
        <v>1196</v>
      </c>
      <c r="K439" s="0" t="s">
        <v>1197</v>
      </c>
    </row>
    <row r="440" customFormat="false" ht="15" hidden="false" customHeight="false" outlineLevel="0" collapsed="false">
      <c r="A440" s="0" t="s">
        <v>968</v>
      </c>
      <c r="B440" s="0" t="s">
        <v>1198</v>
      </c>
      <c r="C440" s="0" t="s">
        <v>13</v>
      </c>
      <c r="D440" s="0" t="s">
        <v>179</v>
      </c>
      <c r="E440" s="0" t="s">
        <v>1199</v>
      </c>
      <c r="F440" s="0" t="s">
        <v>912</v>
      </c>
      <c r="G440" s="0" t="n">
        <f aca="false">HYPERLINK("http://clipc-services.ceda.ac.uk/dreq/u/590f885e-9e49-11e5-803c-0d0b866b59f3.html","web")</f>
        <v>0</v>
      </c>
      <c r="H440" s="0" t="s">
        <v>981</v>
      </c>
      <c r="I440" s="0" t="s">
        <v>18</v>
      </c>
      <c r="J440" s="0" t="s">
        <v>1200</v>
      </c>
      <c r="K440" s="0" t="s">
        <v>983</v>
      </c>
    </row>
    <row r="441" customFormat="false" ht="15" hidden="false" customHeight="false" outlineLevel="0" collapsed="false">
      <c r="A441" s="0" t="s">
        <v>968</v>
      </c>
      <c r="B441" s="0" t="s">
        <v>1201</v>
      </c>
      <c r="C441" s="0" t="s">
        <v>13</v>
      </c>
      <c r="D441" s="0" t="s">
        <v>179</v>
      </c>
      <c r="E441" s="0" t="s">
        <v>1202</v>
      </c>
      <c r="F441" s="0" t="s">
        <v>181</v>
      </c>
      <c r="G441" s="0" t="n">
        <f aca="false">HYPERLINK("http://clipc-services.ceda.ac.uk/dreq/u/5917a070-9e49-11e5-803c-0d0b866b59f3.html","web")</f>
        <v>0</v>
      </c>
      <c r="H441" s="0" t="s">
        <v>981</v>
      </c>
      <c r="I441" s="0" t="s">
        <v>18</v>
      </c>
      <c r="J441" s="0" t="s">
        <v>1203</v>
      </c>
      <c r="K441" s="0" t="s">
        <v>983</v>
      </c>
    </row>
    <row r="442" customFormat="false" ht="15" hidden="false" customHeight="false" outlineLevel="0" collapsed="false">
      <c r="A442" s="0" t="s">
        <v>968</v>
      </c>
      <c r="B442" s="0" t="s">
        <v>1204</v>
      </c>
      <c r="C442" s="0" t="s">
        <v>13</v>
      </c>
      <c r="D442" s="0" t="s">
        <v>179</v>
      </c>
      <c r="E442" s="0" t="s">
        <v>1205</v>
      </c>
      <c r="F442" s="0" t="s">
        <v>181</v>
      </c>
      <c r="G442" s="0" t="n">
        <f aca="false">HYPERLINK("http://clipc-services.ceda.ac.uk/dreq/u/590f95c4-9e49-11e5-803c-0d0b866b59f3.html","web")</f>
        <v>0</v>
      </c>
      <c r="H442" s="0" t="s">
        <v>981</v>
      </c>
      <c r="I442" s="0" t="s">
        <v>18</v>
      </c>
      <c r="J442" s="0" t="s">
        <v>1206</v>
      </c>
      <c r="K442" s="0" t="s">
        <v>983</v>
      </c>
    </row>
    <row r="443" customFormat="false" ht="15" hidden="false" customHeight="false" outlineLevel="0" collapsed="false">
      <c r="A443" s="0" t="s">
        <v>968</v>
      </c>
      <c r="B443" s="0" t="s">
        <v>1207</v>
      </c>
      <c r="C443" s="0" t="s">
        <v>13</v>
      </c>
      <c r="D443" s="0" t="s">
        <v>179</v>
      </c>
      <c r="E443" s="0" t="s">
        <v>1208</v>
      </c>
      <c r="F443" s="0" t="s">
        <v>181</v>
      </c>
      <c r="G443" s="0" t="n">
        <f aca="false">HYPERLINK("http://clipc-services.ceda.ac.uk/dreq/u/590f2436-9e49-11e5-803c-0d0b866b59f3.html","web")</f>
        <v>0</v>
      </c>
      <c r="H443" s="0" t="s">
        <v>981</v>
      </c>
      <c r="I443" s="0" t="s">
        <v>18</v>
      </c>
      <c r="J443" s="0" t="s">
        <v>1007</v>
      </c>
      <c r="K443" s="0" t="s">
        <v>983</v>
      </c>
    </row>
    <row r="444" customFormat="false" ht="15" hidden="false" customHeight="false" outlineLevel="0" collapsed="false">
      <c r="A444" s="0" t="s">
        <v>968</v>
      </c>
      <c r="B444" s="0" t="s">
        <v>1209</v>
      </c>
      <c r="C444" s="0" t="s">
        <v>13</v>
      </c>
      <c r="D444" s="0" t="s">
        <v>179</v>
      </c>
      <c r="E444" s="0" t="s">
        <v>1210</v>
      </c>
      <c r="F444" s="0" t="s">
        <v>181</v>
      </c>
      <c r="G444" s="0" t="n">
        <f aca="false">HYPERLINK("http://clipc-services.ceda.ac.uk/dreq/u/59132b58-9e49-11e5-803c-0d0b866b59f3.html","web")</f>
        <v>0</v>
      </c>
      <c r="H444" s="0" t="s">
        <v>981</v>
      </c>
      <c r="I444" s="0" t="s">
        <v>18</v>
      </c>
      <c r="J444" s="0" t="s">
        <v>1211</v>
      </c>
      <c r="K444" s="0" t="s">
        <v>983</v>
      </c>
    </row>
    <row r="445" customFormat="false" ht="15" hidden="false" customHeight="false" outlineLevel="0" collapsed="false">
      <c r="A445" s="0" t="s">
        <v>968</v>
      </c>
      <c r="B445" s="0" t="s">
        <v>1212</v>
      </c>
      <c r="C445" s="0" t="s">
        <v>13</v>
      </c>
      <c r="D445" s="0" t="s">
        <v>179</v>
      </c>
      <c r="E445" s="0" t="s">
        <v>1213</v>
      </c>
      <c r="F445" s="0" t="s">
        <v>181</v>
      </c>
      <c r="G445" s="0" t="n">
        <f aca="false">HYPERLINK("http://clipc-services.ceda.ac.uk/dreq/u/590f9ace-9e49-11e5-803c-0d0b866b59f3.html","web")</f>
        <v>0</v>
      </c>
      <c r="H445" s="0" t="s">
        <v>981</v>
      </c>
      <c r="I445" s="0" t="s">
        <v>18</v>
      </c>
      <c r="J445" s="0" t="s">
        <v>1214</v>
      </c>
      <c r="K445" s="0" t="s">
        <v>983</v>
      </c>
    </row>
    <row r="446" customFormat="false" ht="15" hidden="false" customHeight="false" outlineLevel="0" collapsed="false">
      <c r="A446" s="0" t="s">
        <v>968</v>
      </c>
      <c r="B446" s="0" t="s">
        <v>1215</v>
      </c>
      <c r="C446" s="0" t="s">
        <v>13</v>
      </c>
      <c r="D446" s="0" t="s">
        <v>179</v>
      </c>
      <c r="E446" s="0" t="s">
        <v>1216</v>
      </c>
      <c r="F446" s="0" t="s">
        <v>181</v>
      </c>
      <c r="G446" s="0" t="n">
        <f aca="false">HYPERLINK("http://clipc-services.ceda.ac.uk/dreq/u/590dd13a-9e49-11e5-803c-0d0b866b59f3.html","web")</f>
        <v>0</v>
      </c>
      <c r="H446" s="0" t="s">
        <v>981</v>
      </c>
      <c r="I446" s="0" t="s">
        <v>18</v>
      </c>
      <c r="J446" s="0" t="s">
        <v>1217</v>
      </c>
      <c r="K446" s="0" t="s">
        <v>983</v>
      </c>
    </row>
    <row r="447" customFormat="false" ht="15" hidden="false" customHeight="false" outlineLevel="0" collapsed="false">
      <c r="A447" s="0" t="s">
        <v>968</v>
      </c>
      <c r="B447" s="0" t="s">
        <v>1218</v>
      </c>
      <c r="C447" s="0" t="s">
        <v>13</v>
      </c>
      <c r="D447" s="0" t="s">
        <v>179</v>
      </c>
      <c r="E447" s="0" t="s">
        <v>1219</v>
      </c>
      <c r="F447" s="0" t="s">
        <v>181</v>
      </c>
      <c r="G447" s="0" t="n">
        <f aca="false">HYPERLINK("http://clipc-services.ceda.ac.uk/dreq/u/59176d94-9e49-11e5-803c-0d0b866b59f3.html","web")</f>
        <v>0</v>
      </c>
      <c r="H447" s="0" t="s">
        <v>981</v>
      </c>
      <c r="I447" s="0" t="s">
        <v>18</v>
      </c>
      <c r="J447" s="0" t="s">
        <v>1220</v>
      </c>
      <c r="K447" s="0" t="s">
        <v>983</v>
      </c>
    </row>
    <row r="448" customFormat="false" ht="15" hidden="false" customHeight="false" outlineLevel="0" collapsed="false">
      <c r="A448" s="0" t="s">
        <v>968</v>
      </c>
      <c r="B448" s="0" t="s">
        <v>1221</v>
      </c>
      <c r="C448" s="0" t="s">
        <v>31</v>
      </c>
      <c r="D448" s="0" t="s">
        <v>41</v>
      </c>
      <c r="E448" s="0" t="s">
        <v>1222</v>
      </c>
      <c r="F448" s="0" t="s">
        <v>31</v>
      </c>
      <c r="G448" s="0" t="n">
        <f aca="false">HYPERLINK("http://clipc-services.ceda.ac.uk/dreq/u/fdca5cbf-4d35-11e8-be0a-1c4d70487308.html","web")</f>
        <v>0</v>
      </c>
      <c r="H448" s="0" t="s">
        <v>923</v>
      </c>
      <c r="I448" s="0" t="s">
        <v>924</v>
      </c>
      <c r="J448" s="0" t="s">
        <v>1223</v>
      </c>
      <c r="K448" s="0" t="s">
        <v>1167</v>
      </c>
    </row>
    <row r="449" customFormat="false" ht="15" hidden="false" customHeight="false" outlineLevel="0" collapsed="false">
      <c r="A449" s="0" t="s">
        <v>968</v>
      </c>
      <c r="B449" s="0" t="s">
        <v>1224</v>
      </c>
      <c r="C449" s="0" t="s">
        <v>31</v>
      </c>
      <c r="D449" s="0" t="s">
        <v>41</v>
      </c>
      <c r="E449" s="0" t="s">
        <v>1225</v>
      </c>
      <c r="F449" s="0" t="s">
        <v>31</v>
      </c>
      <c r="G449" s="0" t="n">
        <f aca="false">HYPERLINK("http://clipc-services.ceda.ac.uk/dreq/u/fdca5cc0-4d35-11e8-be0a-1c4d70487308.html","web")</f>
        <v>0</v>
      </c>
      <c r="H449" s="0" t="s">
        <v>923</v>
      </c>
      <c r="I449" s="0" t="s">
        <v>924</v>
      </c>
      <c r="J449" s="0" t="s">
        <v>1226</v>
      </c>
      <c r="K449" s="0" t="s">
        <v>1167</v>
      </c>
    </row>
    <row r="450" customFormat="false" ht="15" hidden="false" customHeight="false" outlineLevel="0" collapsed="false">
      <c r="A450" s="0" t="s">
        <v>968</v>
      </c>
      <c r="B450" s="0" t="s">
        <v>1227</v>
      </c>
      <c r="C450" s="0" t="s">
        <v>31</v>
      </c>
      <c r="D450" s="0" t="s">
        <v>41</v>
      </c>
      <c r="E450" s="0" t="s">
        <v>1228</v>
      </c>
      <c r="F450" s="0" t="s">
        <v>912</v>
      </c>
      <c r="G450" s="0" t="n">
        <f aca="false">HYPERLINK("http://clipc-services.ceda.ac.uk/dreq/u/590e0dd0-9e49-11e5-803c-0d0b866b59f3.html","web")</f>
        <v>0</v>
      </c>
      <c r="H450" s="0" t="s">
        <v>923</v>
      </c>
      <c r="I450" s="0" t="s">
        <v>924</v>
      </c>
      <c r="J450" s="0" t="s">
        <v>1229</v>
      </c>
      <c r="K450" s="0" t="s">
        <v>1167</v>
      </c>
    </row>
    <row r="451" customFormat="false" ht="15" hidden="false" customHeight="false" outlineLevel="0" collapsed="false">
      <c r="A451" s="0" t="s">
        <v>968</v>
      </c>
      <c r="B451" s="0" t="s">
        <v>1230</v>
      </c>
      <c r="C451" s="0" t="s">
        <v>13</v>
      </c>
      <c r="D451" s="0" t="s">
        <v>179</v>
      </c>
      <c r="E451" s="0" t="s">
        <v>1231</v>
      </c>
      <c r="F451" s="0" t="s">
        <v>181</v>
      </c>
      <c r="G451" s="0" t="n">
        <f aca="false">HYPERLINK("http://clipc-services.ceda.ac.uk/dreq/u/5917788e-9e49-11e5-803c-0d0b866b59f3.html","web")</f>
        <v>0</v>
      </c>
      <c r="H451" s="0" t="s">
        <v>981</v>
      </c>
      <c r="I451" s="0" t="s">
        <v>18</v>
      </c>
      <c r="J451" s="0" t="s">
        <v>1232</v>
      </c>
      <c r="K451" s="0" t="s">
        <v>983</v>
      </c>
    </row>
    <row r="452" customFormat="false" ht="15" hidden="false" customHeight="false" outlineLevel="0" collapsed="false">
      <c r="A452" s="0" t="s">
        <v>968</v>
      </c>
      <c r="B452" s="0" t="s">
        <v>1233</v>
      </c>
      <c r="C452" s="0" t="s">
        <v>31</v>
      </c>
      <c r="D452" s="0" t="s">
        <v>756</v>
      </c>
      <c r="E452" s="0" t="s">
        <v>1234</v>
      </c>
      <c r="F452" s="0" t="s">
        <v>31</v>
      </c>
      <c r="G452" s="0" t="n">
        <f aca="false">HYPERLINK("http://clipc-services.ceda.ac.uk/dreq/u/5914cf30-9e49-11e5-803c-0d0b866b59f3.html","web")</f>
        <v>0</v>
      </c>
      <c r="H452" s="0" t="s">
        <v>1235</v>
      </c>
      <c r="I452" s="0" t="s">
        <v>36</v>
      </c>
      <c r="J452" s="0" t="s">
        <v>1236</v>
      </c>
      <c r="K452" s="0" t="s">
        <v>1167</v>
      </c>
    </row>
    <row r="453" customFormat="false" ht="15" hidden="false" customHeight="false" outlineLevel="0" collapsed="false">
      <c r="A453" s="0" t="s">
        <v>968</v>
      </c>
      <c r="B453" s="0" t="s">
        <v>1237</v>
      </c>
      <c r="C453" s="0" t="s">
        <v>31</v>
      </c>
      <c r="D453" s="0" t="s">
        <v>179</v>
      </c>
      <c r="E453" s="0" t="s">
        <v>1238</v>
      </c>
      <c r="F453" s="0" t="s">
        <v>286</v>
      </c>
      <c r="G453" s="0" t="n">
        <f aca="false">HYPERLINK("http://clipc-services.ceda.ac.uk/dreq/u/332db812bf06c7af2de1b9d1e0cf58c9.html","web")</f>
        <v>0</v>
      </c>
      <c r="H453" s="0" t="s">
        <v>1239</v>
      </c>
      <c r="I453" s="0" t="s">
        <v>36</v>
      </c>
      <c r="J453" s="0" t="s">
        <v>1240</v>
      </c>
      <c r="K453" s="0" t="s">
        <v>1167</v>
      </c>
    </row>
    <row r="454" customFormat="false" ht="15" hidden="false" customHeight="false" outlineLevel="0" collapsed="false">
      <c r="A454" s="0" t="s">
        <v>968</v>
      </c>
      <c r="B454" s="0" t="s">
        <v>1241</v>
      </c>
      <c r="C454" s="0" t="s">
        <v>31</v>
      </c>
      <c r="D454" s="0" t="s">
        <v>179</v>
      </c>
      <c r="E454" s="0" t="s">
        <v>1242</v>
      </c>
      <c r="F454" s="0" t="s">
        <v>286</v>
      </c>
      <c r="G454" s="0" t="n">
        <f aca="false">HYPERLINK("http://clipc-services.ceda.ac.uk/dreq/u/4cabf9607859a83bcb3bc00fa8d0698c.html","web")</f>
        <v>0</v>
      </c>
      <c r="H454" s="0" t="s">
        <v>1239</v>
      </c>
      <c r="I454" s="0" t="s">
        <v>36</v>
      </c>
      <c r="J454" s="0" t="s">
        <v>1240</v>
      </c>
      <c r="K454" s="0" t="s">
        <v>1167</v>
      </c>
    </row>
    <row r="455" customFormat="false" ht="15" hidden="false" customHeight="false" outlineLevel="0" collapsed="false">
      <c r="A455" s="0" t="s">
        <v>968</v>
      </c>
      <c r="B455" s="0" t="s">
        <v>1243</v>
      </c>
      <c r="C455" s="0" t="s">
        <v>31</v>
      </c>
      <c r="D455" s="0" t="s">
        <v>179</v>
      </c>
      <c r="E455" s="0" t="s">
        <v>1244</v>
      </c>
      <c r="F455" s="0" t="s">
        <v>286</v>
      </c>
      <c r="G455" s="0" t="n">
        <f aca="false">HYPERLINK("http://clipc-services.ceda.ac.uk/dreq/u/f9f66ff437154f86913937f9e2d9a26d.html","web")</f>
        <v>0</v>
      </c>
      <c r="H455" s="0" t="s">
        <v>1239</v>
      </c>
      <c r="I455" s="0" t="s">
        <v>36</v>
      </c>
      <c r="J455" s="0" t="s">
        <v>1240</v>
      </c>
      <c r="K455" s="0" t="s">
        <v>1167</v>
      </c>
    </row>
    <row r="456" customFormat="false" ht="15" hidden="false" customHeight="false" outlineLevel="0" collapsed="false">
      <c r="A456" s="0" t="s">
        <v>968</v>
      </c>
      <c r="B456" s="0" t="s">
        <v>1245</v>
      </c>
      <c r="C456" s="0" t="s">
        <v>31</v>
      </c>
      <c r="D456" s="0" t="s">
        <v>179</v>
      </c>
      <c r="E456" s="0" t="s">
        <v>1246</v>
      </c>
      <c r="F456" s="0" t="s">
        <v>286</v>
      </c>
      <c r="G456" s="0" t="n">
        <f aca="false">HYPERLINK("http://clipc-services.ceda.ac.uk/dreq/u/ab57604d6acd918c08aa6252145c608e.html","web")</f>
        <v>0</v>
      </c>
      <c r="H456" s="0" t="s">
        <v>1239</v>
      </c>
      <c r="I456" s="0" t="s">
        <v>36</v>
      </c>
      <c r="J456" s="0" t="s">
        <v>1240</v>
      </c>
      <c r="K456" s="0" t="s">
        <v>1167</v>
      </c>
    </row>
    <row r="457" customFormat="false" ht="15" hidden="false" customHeight="false" outlineLevel="0" collapsed="false">
      <c r="A457" s="0" t="s">
        <v>968</v>
      </c>
      <c r="B457" s="0" t="s">
        <v>1247</v>
      </c>
      <c r="C457" s="0" t="s">
        <v>31</v>
      </c>
      <c r="D457" s="0" t="s">
        <v>179</v>
      </c>
      <c r="E457" s="0" t="s">
        <v>1248</v>
      </c>
      <c r="F457" s="0" t="s">
        <v>31</v>
      </c>
      <c r="G457" s="0" t="n">
        <f aca="false">HYPERLINK("http://clipc-services.ceda.ac.uk/dreq/u/59130948-9e49-11e5-803c-0d0b866b59f3.html","web")</f>
        <v>0</v>
      </c>
      <c r="H457" s="0" t="s">
        <v>1249</v>
      </c>
      <c r="I457" s="0" t="s">
        <v>769</v>
      </c>
      <c r="J457" s="0" t="s">
        <v>1250</v>
      </c>
      <c r="K457" s="0" t="s">
        <v>1167</v>
      </c>
    </row>
    <row r="458" customFormat="false" ht="15" hidden="false" customHeight="false" outlineLevel="0" collapsed="false">
      <c r="A458" s="0" t="s">
        <v>968</v>
      </c>
      <c r="B458" s="0" t="s">
        <v>1251</v>
      </c>
      <c r="C458" s="0" t="s">
        <v>31</v>
      </c>
      <c r="D458" s="0" t="s">
        <v>179</v>
      </c>
      <c r="E458" s="0" t="s">
        <v>1252</v>
      </c>
      <c r="F458" s="0" t="s">
        <v>31</v>
      </c>
      <c r="G458" s="0" t="n">
        <f aca="false">HYPERLINK("http://clipc-services.ceda.ac.uk/dreq/u/5914c0ee-9e49-11e5-803c-0d0b866b59f3.html","web")</f>
        <v>0</v>
      </c>
      <c r="H458" s="0" t="s">
        <v>1249</v>
      </c>
      <c r="I458" s="0" t="s">
        <v>769</v>
      </c>
      <c r="J458" s="0" t="s">
        <v>1253</v>
      </c>
      <c r="K458" s="0" t="s">
        <v>1167</v>
      </c>
    </row>
    <row r="459" customFormat="false" ht="15" hidden="false" customHeight="false" outlineLevel="0" collapsed="false">
      <c r="A459" s="0" t="s">
        <v>968</v>
      </c>
      <c r="B459" s="0" t="s">
        <v>1254</v>
      </c>
      <c r="C459" s="0" t="s">
        <v>31</v>
      </c>
      <c r="D459" s="0" t="s">
        <v>179</v>
      </c>
      <c r="E459" s="0" t="s">
        <v>1255</v>
      </c>
      <c r="F459" s="0" t="s">
        <v>286</v>
      </c>
      <c r="G459" s="0" t="n">
        <f aca="false">HYPERLINK("http://clipc-services.ceda.ac.uk/dreq/u/59134bf6-9e49-11e5-803c-0d0b866b59f3.html","web")</f>
        <v>0</v>
      </c>
      <c r="H459" s="0" t="s">
        <v>1239</v>
      </c>
      <c r="I459" s="0" t="s">
        <v>36</v>
      </c>
      <c r="J459" s="0" t="s">
        <v>1256</v>
      </c>
      <c r="K459" s="0" t="s">
        <v>1167</v>
      </c>
    </row>
    <row r="460" customFormat="false" ht="15" hidden="false" customHeight="false" outlineLevel="0" collapsed="false">
      <c r="A460" s="0" t="s">
        <v>968</v>
      </c>
      <c r="B460" s="0" t="s">
        <v>1257</v>
      </c>
      <c r="C460" s="0" t="s">
        <v>31</v>
      </c>
      <c r="D460" s="0" t="s">
        <v>179</v>
      </c>
      <c r="E460" s="0" t="s">
        <v>1258</v>
      </c>
      <c r="F460" s="0" t="s">
        <v>286</v>
      </c>
      <c r="G460" s="0" t="n">
        <f aca="false">HYPERLINK("http://clipc-services.ceda.ac.uk/dreq/u/5917cf46-9e49-11e5-803c-0d0b866b59f3.html","web")</f>
        <v>0</v>
      </c>
      <c r="H460" s="0" t="s">
        <v>1239</v>
      </c>
      <c r="I460" s="0" t="s">
        <v>36</v>
      </c>
      <c r="J460" s="0" t="s">
        <v>1259</v>
      </c>
      <c r="K460" s="0" t="s">
        <v>1167</v>
      </c>
    </row>
    <row r="461" customFormat="false" ht="15" hidden="false" customHeight="false" outlineLevel="0" collapsed="false">
      <c r="A461" s="0" t="s">
        <v>968</v>
      </c>
      <c r="B461" s="0" t="s">
        <v>1260</v>
      </c>
      <c r="C461" s="0" t="s">
        <v>31</v>
      </c>
      <c r="D461" s="0" t="s">
        <v>179</v>
      </c>
      <c r="E461" s="0" t="s">
        <v>1261</v>
      </c>
      <c r="F461" s="0" t="s">
        <v>286</v>
      </c>
      <c r="G461" s="0" t="n">
        <f aca="false">HYPERLINK("http://clipc-services.ceda.ac.uk/dreq/u/590f465a-9e49-11e5-803c-0d0b866b59f3.html","web")</f>
        <v>0</v>
      </c>
      <c r="H461" s="0" t="s">
        <v>1239</v>
      </c>
      <c r="I461" s="0" t="s">
        <v>36</v>
      </c>
      <c r="J461" s="0" t="s">
        <v>1256</v>
      </c>
      <c r="K461" s="0" t="s">
        <v>1167</v>
      </c>
    </row>
    <row r="462" customFormat="false" ht="15" hidden="false" customHeight="false" outlineLevel="0" collapsed="false">
      <c r="A462" s="0" t="s">
        <v>968</v>
      </c>
      <c r="B462" s="0" t="s">
        <v>1262</v>
      </c>
      <c r="C462" s="0" t="s">
        <v>31</v>
      </c>
      <c r="D462" s="0" t="s">
        <v>179</v>
      </c>
      <c r="E462" s="0" t="s">
        <v>1263</v>
      </c>
      <c r="F462" s="0" t="s">
        <v>286</v>
      </c>
      <c r="G462" s="0" t="n">
        <f aca="false">HYPERLINK("http://clipc-services.ceda.ac.uk/dreq/u/591497a4-9e49-11e5-803c-0d0b866b59f3.html","web")</f>
        <v>0</v>
      </c>
      <c r="H462" s="0" t="s">
        <v>1239</v>
      </c>
      <c r="I462" s="0" t="s">
        <v>36</v>
      </c>
      <c r="J462" s="0" t="s">
        <v>1264</v>
      </c>
      <c r="K462" s="0" t="s">
        <v>1167</v>
      </c>
    </row>
    <row r="463" customFormat="false" ht="15" hidden="false" customHeight="false" outlineLevel="0" collapsed="false">
      <c r="A463" s="0" t="s">
        <v>968</v>
      </c>
      <c r="B463" s="0" t="s">
        <v>1265</v>
      </c>
      <c r="C463" s="0" t="s">
        <v>31</v>
      </c>
      <c r="D463" s="0" t="s">
        <v>179</v>
      </c>
      <c r="E463" s="0" t="s">
        <v>1266</v>
      </c>
      <c r="F463" s="0" t="s">
        <v>286</v>
      </c>
      <c r="G463" s="0" t="n">
        <f aca="false">HYPERLINK("http://clipc-services.ceda.ac.uk/dreq/u/5914ede4-9e49-11e5-803c-0d0b866b59f3.html","web")</f>
        <v>0</v>
      </c>
      <c r="H463" s="0" t="s">
        <v>1239</v>
      </c>
      <c r="I463" s="0" t="s">
        <v>36</v>
      </c>
      <c r="J463" s="0" t="s">
        <v>1256</v>
      </c>
      <c r="K463" s="0" t="s">
        <v>1167</v>
      </c>
    </row>
    <row r="464" customFormat="false" ht="15" hidden="false" customHeight="false" outlineLevel="0" collapsed="false">
      <c r="A464" s="0" t="s">
        <v>968</v>
      </c>
      <c r="B464" s="0" t="s">
        <v>935</v>
      </c>
      <c r="C464" s="0" t="s">
        <v>31</v>
      </c>
      <c r="D464" s="0" t="s">
        <v>936</v>
      </c>
      <c r="E464" s="0" t="s">
        <v>937</v>
      </c>
      <c r="F464" s="0" t="s">
        <v>785</v>
      </c>
      <c r="G464" s="0" t="n">
        <f aca="false">HYPERLINK("http://clipc-services.ceda.ac.uk/dreq/u/170ff384-b622-11e6-bbe2-ac72891c3257.html","web")</f>
        <v>0</v>
      </c>
      <c r="H464" s="0" t="s">
        <v>938</v>
      </c>
      <c r="I464" s="0" t="s">
        <v>939</v>
      </c>
      <c r="J464" s="0" t="s">
        <v>940</v>
      </c>
      <c r="K464" s="0" t="s">
        <v>709</v>
      </c>
    </row>
    <row r="465" customFormat="false" ht="15" hidden="false" customHeight="false" outlineLevel="0" collapsed="false">
      <c r="A465" s="0" t="s">
        <v>968</v>
      </c>
      <c r="B465" s="0" t="s">
        <v>941</v>
      </c>
      <c r="C465" s="0" t="s">
        <v>31</v>
      </c>
      <c r="D465" s="0" t="s">
        <v>936</v>
      </c>
      <c r="E465" s="0" t="s">
        <v>942</v>
      </c>
      <c r="F465" s="0" t="s">
        <v>785</v>
      </c>
      <c r="G465" s="0" t="n">
        <f aca="false">HYPERLINK("http://clipc-services.ceda.ac.uk/dreq/u/1758307c-b622-11e6-bbe2-ac72891c3257.html","web")</f>
        <v>0</v>
      </c>
      <c r="H465" s="0" t="s">
        <v>938</v>
      </c>
      <c r="I465" s="0" t="s">
        <v>939</v>
      </c>
      <c r="J465" s="0" t="s">
        <v>943</v>
      </c>
      <c r="K465" s="0" t="s">
        <v>709</v>
      </c>
    </row>
    <row r="466" customFormat="false" ht="15" hidden="false" customHeight="false" outlineLevel="0" collapsed="false">
      <c r="A466" s="0" t="s">
        <v>968</v>
      </c>
      <c r="B466" s="0" t="s">
        <v>944</v>
      </c>
      <c r="C466" s="0" t="s">
        <v>31</v>
      </c>
      <c r="D466" s="0" t="s">
        <v>936</v>
      </c>
      <c r="E466" s="0" t="s">
        <v>945</v>
      </c>
      <c r="F466" s="0" t="s">
        <v>24</v>
      </c>
      <c r="G466" s="0" t="n">
        <f aca="false">HYPERLINK("http://clipc-services.ceda.ac.uk/dreq/u/bf56baca-c14c-11e6-bb6a-ac72891c3257.html","web")</f>
        <v>0</v>
      </c>
      <c r="H466" s="0" t="s">
        <v>938</v>
      </c>
      <c r="I466" s="0" t="s">
        <v>939</v>
      </c>
      <c r="J466" s="0" t="s">
        <v>946</v>
      </c>
      <c r="K466" s="0" t="s">
        <v>709</v>
      </c>
    </row>
    <row r="468" customFormat="false" ht="15" hidden="false" customHeight="false" outlineLevel="0" collapsed="false">
      <c r="A468" s="0" t="s">
        <v>1267</v>
      </c>
      <c r="B468" s="0" t="s">
        <v>1268</v>
      </c>
      <c r="C468" s="0" t="s">
        <v>31</v>
      </c>
      <c r="D468" s="0" t="s">
        <v>1269</v>
      </c>
      <c r="E468" s="0" t="s">
        <v>1270</v>
      </c>
      <c r="F468" s="0" t="s">
        <v>24</v>
      </c>
      <c r="G468" s="0" t="n">
        <f aca="false">HYPERLINK("http://clipc-services.ceda.ac.uk/dreq/u/59136b72-9e49-11e5-803c-0d0b866b59f3.html","web")</f>
        <v>0</v>
      </c>
      <c r="H468" s="0" t="s">
        <v>1271</v>
      </c>
      <c r="I468" s="0" t="s">
        <v>18</v>
      </c>
      <c r="J468" s="0" t="s">
        <v>1272</v>
      </c>
      <c r="K468" s="0" t="s">
        <v>1273</v>
      </c>
    </row>
    <row r="469" customFormat="false" ht="15" hidden="false" customHeight="false" outlineLevel="0" collapsed="false">
      <c r="A469" s="0" t="s">
        <v>1267</v>
      </c>
      <c r="B469" s="0" t="s">
        <v>1274</v>
      </c>
      <c r="C469" s="0" t="s">
        <v>31</v>
      </c>
      <c r="D469" s="0" t="s">
        <v>179</v>
      </c>
      <c r="E469" s="0" t="s">
        <v>1275</v>
      </c>
      <c r="F469" s="0" t="s">
        <v>181</v>
      </c>
      <c r="G469" s="0" t="n">
        <f aca="false">HYPERLINK("http://clipc-services.ceda.ac.uk/dreq/u/15fea217c64dbec48b115765548b89ae.html","web")</f>
        <v>0</v>
      </c>
      <c r="H469" s="0" t="s">
        <v>1276</v>
      </c>
      <c r="I469" s="0" t="s">
        <v>18</v>
      </c>
      <c r="J469" s="0" t="s">
        <v>1277</v>
      </c>
      <c r="K469" s="0" t="s">
        <v>1278</v>
      </c>
    </row>
    <row r="470" customFormat="false" ht="15" hidden="false" customHeight="false" outlineLevel="0" collapsed="false">
      <c r="A470" s="0" t="s">
        <v>1267</v>
      </c>
      <c r="B470" s="0" t="s">
        <v>1279</v>
      </c>
      <c r="C470" s="0" t="s">
        <v>13</v>
      </c>
      <c r="D470" s="0" t="s">
        <v>1280</v>
      </c>
      <c r="E470" s="0" t="s">
        <v>1281</v>
      </c>
      <c r="F470" s="0" t="s">
        <v>24</v>
      </c>
      <c r="G470" s="0" t="n">
        <f aca="false">HYPERLINK("http://clipc-services.ceda.ac.uk/dreq/u/374e24b1cf7c24eb75126ea6e39ac478.html","web")</f>
        <v>0</v>
      </c>
      <c r="H470" s="0" t="s">
        <v>1055</v>
      </c>
      <c r="I470" s="0" t="s">
        <v>18</v>
      </c>
      <c r="J470" s="0" t="s">
        <v>1282</v>
      </c>
      <c r="K470" s="0" t="s">
        <v>1131</v>
      </c>
    </row>
    <row r="471" customFormat="false" ht="15" hidden="false" customHeight="false" outlineLevel="0" collapsed="false">
      <c r="A471" s="0" t="s">
        <v>1267</v>
      </c>
      <c r="B471" s="0" t="s">
        <v>1283</v>
      </c>
      <c r="C471" s="0" t="s">
        <v>13</v>
      </c>
      <c r="D471" s="0" t="s">
        <v>1284</v>
      </c>
      <c r="E471" s="0" t="s">
        <v>1285</v>
      </c>
      <c r="F471" s="0" t="s">
        <v>24</v>
      </c>
      <c r="G471" s="0" t="n">
        <f aca="false">HYPERLINK("http://clipc-services.ceda.ac.uk/dreq/u/1e93ae651487e683206b923c11fd6db1.html","web")</f>
        <v>0</v>
      </c>
      <c r="H471" s="0" t="s">
        <v>1055</v>
      </c>
      <c r="I471" s="0" t="s">
        <v>18</v>
      </c>
      <c r="J471" s="0" t="s">
        <v>1286</v>
      </c>
      <c r="K471" s="0" t="s">
        <v>1131</v>
      </c>
    </row>
    <row r="472" customFormat="false" ht="15" hidden="false" customHeight="false" outlineLevel="0" collapsed="false">
      <c r="A472" s="0" t="s">
        <v>1267</v>
      </c>
      <c r="B472" s="0" t="s">
        <v>1287</v>
      </c>
      <c r="C472" s="0" t="s">
        <v>13</v>
      </c>
      <c r="D472" s="0" t="s">
        <v>1288</v>
      </c>
      <c r="E472" s="0" t="s">
        <v>1289</v>
      </c>
      <c r="F472" s="0" t="s">
        <v>24</v>
      </c>
      <c r="G472" s="0" t="n">
        <f aca="false">HYPERLINK("http://clipc-services.ceda.ac.uk/dreq/u/e9289080901a39eba6ade178d596795a.html","web")</f>
        <v>0</v>
      </c>
      <c r="H472" s="0" t="s">
        <v>1055</v>
      </c>
      <c r="I472" s="0" t="s">
        <v>18</v>
      </c>
      <c r="J472" s="0" t="s">
        <v>1290</v>
      </c>
      <c r="K472" s="0" t="s">
        <v>1131</v>
      </c>
    </row>
    <row r="473" customFormat="false" ht="15" hidden="false" customHeight="false" outlineLevel="0" collapsed="false">
      <c r="A473" s="0" t="s">
        <v>1267</v>
      </c>
      <c r="B473" s="0" t="s">
        <v>1291</v>
      </c>
      <c r="C473" s="0" t="s">
        <v>13</v>
      </c>
      <c r="D473" s="0" t="s">
        <v>1292</v>
      </c>
      <c r="E473" s="0" t="s">
        <v>1293</v>
      </c>
      <c r="F473" s="0" t="s">
        <v>24</v>
      </c>
      <c r="G473" s="0" t="n">
        <f aca="false">HYPERLINK("http://clipc-services.ceda.ac.uk/dreq/u/b28e47214f0b71847c966828df0837ff.html","web")</f>
        <v>0</v>
      </c>
      <c r="H473" s="0" t="s">
        <v>1055</v>
      </c>
      <c r="I473" s="0" t="s">
        <v>18</v>
      </c>
      <c r="J473" s="0" t="s">
        <v>1294</v>
      </c>
      <c r="K473" s="0" t="s">
        <v>1131</v>
      </c>
    </row>
    <row r="474" customFormat="false" ht="15" hidden="false" customHeight="false" outlineLevel="0" collapsed="false">
      <c r="A474" s="0" t="s">
        <v>1267</v>
      </c>
      <c r="B474" s="0" t="s">
        <v>1295</v>
      </c>
      <c r="C474" s="0" t="s">
        <v>13</v>
      </c>
      <c r="D474" s="0" t="s">
        <v>1296</v>
      </c>
      <c r="E474" s="0" t="s">
        <v>1297</v>
      </c>
      <c r="F474" s="0" t="s">
        <v>24</v>
      </c>
      <c r="G474" s="0" t="n">
        <f aca="false">HYPERLINK("http://clipc-services.ceda.ac.uk/dreq/u/2ca96cd5a4e83feb0d493bf9aa1a5b59.html","web")</f>
        <v>0</v>
      </c>
      <c r="H474" s="0" t="s">
        <v>1055</v>
      </c>
      <c r="I474" s="0" t="s">
        <v>18</v>
      </c>
      <c r="J474" s="0" t="s">
        <v>1298</v>
      </c>
      <c r="K474" s="0" t="s">
        <v>1299</v>
      </c>
    </row>
    <row r="475" customFormat="false" ht="15" hidden="false" customHeight="false" outlineLevel="0" collapsed="false">
      <c r="A475" s="0" t="s">
        <v>1267</v>
      </c>
      <c r="B475" s="0" t="s">
        <v>1300</v>
      </c>
      <c r="C475" s="0" t="s">
        <v>13</v>
      </c>
      <c r="D475" s="0" t="s">
        <v>1301</v>
      </c>
      <c r="E475" s="0" t="s">
        <v>1302</v>
      </c>
      <c r="F475" s="0" t="s">
        <v>24</v>
      </c>
      <c r="G475" s="0" t="n">
        <f aca="false">HYPERLINK("http://clipc-services.ceda.ac.uk/dreq/u/351c26a0f5a0cefa8f1183f2f12e1aa3.html","web")</f>
        <v>0</v>
      </c>
      <c r="H475" s="0" t="s">
        <v>1055</v>
      </c>
      <c r="I475" s="0" t="s">
        <v>18</v>
      </c>
      <c r="J475" s="0" t="s">
        <v>1303</v>
      </c>
      <c r="K475" s="0" t="s">
        <v>1299</v>
      </c>
    </row>
    <row r="476" customFormat="false" ht="15" hidden="false" customHeight="false" outlineLevel="0" collapsed="false">
      <c r="A476" s="0" t="s">
        <v>1267</v>
      </c>
      <c r="B476" s="0" t="s">
        <v>1304</v>
      </c>
      <c r="C476" s="0" t="s">
        <v>13</v>
      </c>
      <c r="D476" s="0" t="s">
        <v>179</v>
      </c>
      <c r="E476" s="0" t="s">
        <v>1305</v>
      </c>
      <c r="F476" s="0" t="s">
        <v>181</v>
      </c>
      <c r="G476" s="0" t="n">
        <f aca="false">HYPERLINK("http://clipc-services.ceda.ac.uk/dreq/u/df06d844bd95ddd2f0f62f54941c4b88.html","web")</f>
        <v>0</v>
      </c>
      <c r="H476" s="0" t="s">
        <v>1055</v>
      </c>
      <c r="I476" s="0" t="s">
        <v>18</v>
      </c>
      <c r="J476" s="0" t="s">
        <v>1306</v>
      </c>
      <c r="K476" s="0" t="s">
        <v>1307</v>
      </c>
    </row>
    <row r="477" customFormat="false" ht="15" hidden="false" customHeight="false" outlineLevel="0" collapsed="false">
      <c r="A477" s="0" t="s">
        <v>1267</v>
      </c>
      <c r="B477" s="0" t="s">
        <v>1308</v>
      </c>
      <c r="C477" s="0" t="s">
        <v>13</v>
      </c>
      <c r="D477" s="0" t="s">
        <v>179</v>
      </c>
      <c r="E477" s="0" t="s">
        <v>1309</v>
      </c>
      <c r="F477" s="0" t="s">
        <v>181</v>
      </c>
      <c r="G477" s="0" t="n">
        <f aca="false">HYPERLINK("http://clipc-services.ceda.ac.uk/dreq/u/fb5bd0286cdca991d0f67c498513f602.html","web")</f>
        <v>0</v>
      </c>
      <c r="H477" s="0" t="s">
        <v>1055</v>
      </c>
      <c r="I477" s="0" t="s">
        <v>18</v>
      </c>
      <c r="J477" s="0" t="s">
        <v>1310</v>
      </c>
      <c r="K477" s="0" t="s">
        <v>1131</v>
      </c>
    </row>
    <row r="478" customFormat="false" ht="15" hidden="false" customHeight="false" outlineLevel="0" collapsed="false">
      <c r="A478" s="0" t="s">
        <v>1267</v>
      </c>
      <c r="B478" s="0" t="s">
        <v>1311</v>
      </c>
      <c r="C478" s="0" t="s">
        <v>13</v>
      </c>
      <c r="D478" s="0" t="s">
        <v>179</v>
      </c>
      <c r="E478" s="0" t="s">
        <v>1312</v>
      </c>
      <c r="F478" s="0" t="s">
        <v>181</v>
      </c>
      <c r="G478" s="0" t="n">
        <f aca="false">HYPERLINK("http://clipc-services.ceda.ac.uk/dreq/u/091b217c2450d012fb2e192dee04053f.html","web")</f>
        <v>0</v>
      </c>
      <c r="H478" s="0" t="s">
        <v>1055</v>
      </c>
      <c r="I478" s="0" t="s">
        <v>18</v>
      </c>
      <c r="J478" s="0" t="s">
        <v>1313</v>
      </c>
      <c r="K478" s="0" t="s">
        <v>1307</v>
      </c>
    </row>
    <row r="479" customFormat="false" ht="13.8" hidden="false" customHeight="false" outlineLevel="0" collapsed="false"/>
    <row r="480" customFormat="false" ht="13.8" hidden="false" customHeight="false" outlineLevel="0" collapsed="false"/>
    <row r="481" customFormat="false" ht="13.8" hidden="false" customHeight="false" outlineLevel="0" collapsed="false"/>
    <row r="482" customFormat="false" ht="13.8" hidden="false" customHeight="false" outlineLevel="0" collapsed="false"/>
    <row r="483" customFormat="false" ht="13.8" hidden="false" customHeight="false" outlineLevel="0" collapsed="false"/>
    <row r="484" customFormat="false" ht="13.8" hidden="false" customHeight="false" outlineLevel="0" collapsed="false"/>
    <row r="485" customFormat="false" ht="13.8" hidden="false" customHeight="false" outlineLevel="0" collapsed="false">
      <c r="A485" s="0" t="s">
        <v>1314</v>
      </c>
      <c r="B485" s="0" t="s">
        <v>1315</v>
      </c>
      <c r="C485" s="0" t="s">
        <v>31</v>
      </c>
      <c r="D485" s="0" t="s">
        <v>14</v>
      </c>
      <c r="E485" s="0" t="s">
        <v>1316</v>
      </c>
      <c r="F485" s="0" t="s">
        <v>1317</v>
      </c>
      <c r="G485" s="0" t="n">
        <v>0</v>
      </c>
      <c r="H485" s="2" t="s">
        <v>1318</v>
      </c>
      <c r="I485" s="3" t="s">
        <v>349</v>
      </c>
      <c r="J485" s="0" t="s">
        <v>1319</v>
      </c>
      <c r="K485" s="0" t="s">
        <v>1320</v>
      </c>
    </row>
    <row r="486" customFormat="false" ht="13.8" hidden="false" customHeight="false" outlineLevel="0" collapsed="false"/>
    <row r="487" customFormat="false" ht="13.8" hidden="false" customHeight="false" outlineLevel="0" collapsed="false">
      <c r="A487" s="0" t="s">
        <v>1321</v>
      </c>
      <c r="B487" s="0" t="s">
        <v>1322</v>
      </c>
      <c r="C487" s="0" t="s">
        <v>31</v>
      </c>
      <c r="D487" s="0" t="s">
        <v>1323</v>
      </c>
      <c r="E487" s="0" t="s">
        <v>1324</v>
      </c>
      <c r="F487" s="0" t="s">
        <v>181</v>
      </c>
      <c r="G487" s="0" t="n">
        <v>0</v>
      </c>
      <c r="H487" s="2" t="s">
        <v>1318</v>
      </c>
      <c r="I487" s="3" t="s">
        <v>349</v>
      </c>
      <c r="J487" s="0" t="s">
        <v>1325</v>
      </c>
      <c r="K487" s="0" t="s">
        <v>1320</v>
      </c>
    </row>
    <row r="488" customFormat="false" ht="13.8" hidden="false" customHeight="false" outlineLevel="0" collapsed="false"/>
    <row r="489" customFormat="false" ht="13.8" hidden="false" customHeight="false" outlineLevel="0" collapsed="false"/>
    <row r="490" customFormat="false" ht="13.8" hidden="false" customHeight="false" outlineLevel="0" collapsed="false">
      <c r="A490" s="0" t="s">
        <v>1326</v>
      </c>
      <c r="B490" s="0" t="s">
        <v>1327</v>
      </c>
      <c r="C490" s="0" t="s">
        <v>31</v>
      </c>
      <c r="D490" s="0" t="s">
        <v>1323</v>
      </c>
      <c r="E490" s="0" t="s">
        <v>1328</v>
      </c>
      <c r="F490" s="0" t="s">
        <v>1317</v>
      </c>
      <c r="G490" s="0" t="str">
        <f aca="false">HYPERLINK("http://clipc-services.ceda.ac.uk/dreq/u/865d0e00-53e6-11e6-b524-5404a60d96b5.html","web")</f>
        <v>web</v>
      </c>
      <c r="H490" s="2" t="s">
        <v>1318</v>
      </c>
      <c r="I490" s="3" t="s">
        <v>349</v>
      </c>
      <c r="J490" s="0" t="s">
        <v>1329</v>
      </c>
      <c r="K490" s="0" t="s">
        <v>1320</v>
      </c>
    </row>
    <row r="491" customFormat="false" ht="13.8" hidden="false" customHeight="false" outlineLevel="0" collapsed="false">
      <c r="A491" s="0" t="s">
        <v>1326</v>
      </c>
      <c r="B491" s="0" t="s">
        <v>1330</v>
      </c>
      <c r="C491" s="0" t="s">
        <v>31</v>
      </c>
      <c r="D491" s="0" t="s">
        <v>1331</v>
      </c>
      <c r="E491" s="0" t="s">
        <v>1332</v>
      </c>
      <c r="F491" s="0" t="s">
        <v>24</v>
      </c>
      <c r="G491" s="0" t="str">
        <f aca="false">HYPERLINK("http://clipc-services.ceda.ac.uk/dreq/u/a1d2e309c6f25017442ad6c79c4f9eca.html","web")</f>
        <v>web</v>
      </c>
      <c r="H491" s="2" t="s">
        <v>1318</v>
      </c>
      <c r="I491" s="3" t="s">
        <v>349</v>
      </c>
      <c r="J491" s="0" t="s">
        <v>1333</v>
      </c>
      <c r="K491" s="0" t="s">
        <v>1320</v>
      </c>
    </row>
    <row r="492" customFormat="false" ht="13.8" hidden="false" customHeight="false" outlineLevel="0" collapsed="false">
      <c r="A492" s="0" t="s">
        <v>1326</v>
      </c>
      <c r="B492" s="0" t="s">
        <v>1334</v>
      </c>
      <c r="C492" s="0" t="s">
        <v>31</v>
      </c>
      <c r="D492" s="0" t="s">
        <v>1335</v>
      </c>
      <c r="E492" s="0" t="s">
        <v>1336</v>
      </c>
      <c r="F492" s="0" t="s">
        <v>24</v>
      </c>
      <c r="G492" s="0" t="str">
        <f aca="false">HYPERLINK("http://clipc-services.ceda.ac.uk/dreq/u/590e5de4-9e49-11e5-803c-0d0b866b59f3.html","web")</f>
        <v>web</v>
      </c>
      <c r="H492" s="2" t="s">
        <v>1318</v>
      </c>
      <c r="I492" s="3" t="s">
        <v>349</v>
      </c>
      <c r="J492" s="0" t="s">
        <v>1337</v>
      </c>
      <c r="K492" s="0" t="s">
        <v>1320</v>
      </c>
    </row>
    <row r="493" customFormat="false" ht="13.8" hidden="false" customHeight="false" outlineLevel="0" collapsed="false"/>
    <row r="494" customFormat="false" ht="13.8" hidden="false" customHeight="false" outlineLevel="0" collapsed="false"/>
    <row r="495" customFormat="false" ht="13.8" hidden="false" customHeight="false" outlineLevel="0" collapsed="false">
      <c r="A495" s="0" t="s">
        <v>11</v>
      </c>
      <c r="B495" s="0" t="s">
        <v>284</v>
      </c>
      <c r="C495" s="0" t="s">
        <v>31</v>
      </c>
      <c r="D495" s="0" t="s">
        <v>1338</v>
      </c>
      <c r="E495" s="0" t="s">
        <v>285</v>
      </c>
      <c r="F495" s="0" t="s">
        <v>286</v>
      </c>
      <c r="G495" s="0" t="n">
        <v>0</v>
      </c>
      <c r="H495" s="3" t="s">
        <v>1339</v>
      </c>
      <c r="I495" s="3" t="s">
        <v>36</v>
      </c>
      <c r="J495" s="0" t="s">
        <v>288</v>
      </c>
      <c r="K495" s="0" t="s">
        <v>803</v>
      </c>
    </row>
    <row r="496" customFormat="false" ht="13.8" hidden="false" customHeight="false" outlineLevel="0" collapsed="false">
      <c r="A496" s="0" t="s">
        <v>11</v>
      </c>
      <c r="B496" s="0" t="s">
        <v>289</v>
      </c>
      <c r="C496" s="0" t="s">
        <v>31</v>
      </c>
      <c r="D496" s="0" t="s">
        <v>1338</v>
      </c>
      <c r="E496" s="0" t="s">
        <v>290</v>
      </c>
      <c r="F496" s="0" t="s">
        <v>286</v>
      </c>
      <c r="G496" s="0" t="n">
        <v>0</v>
      </c>
      <c r="H496" s="3" t="s">
        <v>1339</v>
      </c>
      <c r="I496" s="3" t="s">
        <v>36</v>
      </c>
      <c r="J496" s="0" t="s">
        <v>291</v>
      </c>
      <c r="K496" s="0" t="s">
        <v>803</v>
      </c>
    </row>
    <row r="497" customFormat="false" ht="13.8" hidden="false" customHeight="false" outlineLevel="0" collapsed="false">
      <c r="A497" s="0" t="s">
        <v>11</v>
      </c>
      <c r="B497" s="0" t="s">
        <v>292</v>
      </c>
      <c r="C497" s="0" t="s">
        <v>31</v>
      </c>
      <c r="D497" s="0" t="s">
        <v>1338</v>
      </c>
      <c r="E497" s="0" t="s">
        <v>293</v>
      </c>
      <c r="F497" s="0" t="s">
        <v>286</v>
      </c>
      <c r="G497" s="0" t="n">
        <v>0</v>
      </c>
      <c r="H497" s="3" t="s">
        <v>1339</v>
      </c>
      <c r="I497" s="3" t="s">
        <v>36</v>
      </c>
      <c r="J497" s="0" t="s">
        <v>294</v>
      </c>
      <c r="K497" s="0" t="s">
        <v>803</v>
      </c>
    </row>
    <row r="498" customFormat="false" ht="13.8" hidden="false" customHeight="false" outlineLevel="0" collapsed="false">
      <c r="A498" s="0" t="s">
        <v>11</v>
      </c>
      <c r="B498" s="0" t="s">
        <v>295</v>
      </c>
      <c r="C498" s="0" t="s">
        <v>31</v>
      </c>
      <c r="D498" s="0" t="s">
        <v>1338</v>
      </c>
      <c r="E498" s="0" t="s">
        <v>296</v>
      </c>
      <c r="F498" s="0" t="s">
        <v>286</v>
      </c>
      <c r="G498" s="0" t="n">
        <v>0</v>
      </c>
      <c r="H498" s="3" t="s">
        <v>1339</v>
      </c>
      <c r="I498" s="3" t="s">
        <v>36</v>
      </c>
      <c r="J498" s="0" t="s">
        <v>297</v>
      </c>
      <c r="K498" s="0" t="s">
        <v>803</v>
      </c>
    </row>
    <row r="499" customFormat="false" ht="13.8" hidden="false" customHeight="false" outlineLevel="0" collapsed="false"/>
    <row r="500" customFormat="false" ht="13.8" hidden="false" customHeight="false" outlineLevel="0" collapsed="false"/>
    <row r="501" customFormat="false" ht="13.8" hidden="false" customHeight="false" outlineLevel="0" collapsed="false">
      <c r="A501" s="0" t="s">
        <v>902</v>
      </c>
      <c r="B501" s="0" t="s">
        <v>1340</v>
      </c>
      <c r="C501" s="0" t="s">
        <v>31</v>
      </c>
      <c r="D501" s="0" t="s">
        <v>820</v>
      </c>
      <c r="E501" s="0" t="s">
        <v>1341</v>
      </c>
      <c r="F501" s="0" t="s">
        <v>286</v>
      </c>
      <c r="G501" s="0" t="str">
        <f aca="false">HYPERLINK("http://clipc-services.ceda.ac.uk/dreq/u/5914e34e-9e49-11e5-803c-0d0b866b59f3.html","web")</f>
        <v>web</v>
      </c>
      <c r="H501" s="4" t="s">
        <v>1342</v>
      </c>
      <c r="I501" s="4" t="s">
        <v>688</v>
      </c>
      <c r="J501" s="0" t="s">
        <v>1343</v>
      </c>
      <c r="K501" s="0" t="s">
        <v>1344</v>
      </c>
    </row>
    <row r="502" customFormat="false" ht="13.8" hidden="false" customHeight="false" outlineLevel="0" collapsed="false">
      <c r="A502" s="0" t="s">
        <v>902</v>
      </c>
      <c r="B502" s="0" t="s">
        <v>1345</v>
      </c>
      <c r="C502" s="0" t="s">
        <v>31</v>
      </c>
      <c r="D502" s="0" t="s">
        <v>820</v>
      </c>
      <c r="E502" s="0" t="s">
        <v>1346</v>
      </c>
      <c r="F502" s="0" t="s">
        <v>286</v>
      </c>
      <c r="G502" s="0" t="str">
        <f aca="false">HYPERLINK("http://clipc-services.ceda.ac.uk/dreq/u/590f1586-9e49-11e5-803c-0d0b866b59f3.html","web")</f>
        <v>web</v>
      </c>
      <c r="H502" s="4" t="s">
        <v>1342</v>
      </c>
      <c r="I502" s="4" t="s">
        <v>688</v>
      </c>
      <c r="J502" s="0" t="s">
        <v>1347</v>
      </c>
      <c r="K502" s="0" t="s">
        <v>1344</v>
      </c>
    </row>
    <row r="503" customFormat="false" ht="13.8" hidden="false" customHeight="false" outlineLevel="0" collapsed="false"/>
    <row r="504" customFormat="false" ht="13.8" hidden="false" customHeight="false" outlineLevel="0" collapsed="false">
      <c r="A504" s="0" t="s">
        <v>908</v>
      </c>
      <c r="B504" s="0" t="s">
        <v>1348</v>
      </c>
      <c r="C504" s="0" t="s">
        <v>31</v>
      </c>
      <c r="D504" s="0" t="s">
        <v>756</v>
      </c>
      <c r="E504" s="0" t="s">
        <v>1349</v>
      </c>
      <c r="F504" s="0" t="s">
        <v>696</v>
      </c>
      <c r="G504" s="0" t="str">
        <f aca="false">HYPERLINK("http://clipc-services.ceda.ac.uk/dreq/u/5914c6e8-9e49-11e5-803c-0d0b866b59f3.html","web")</f>
        <v>web</v>
      </c>
      <c r="H504" s="4" t="s">
        <v>1342</v>
      </c>
      <c r="I504" s="4" t="s">
        <v>688</v>
      </c>
      <c r="J504" s="0" t="s">
        <v>1350</v>
      </c>
      <c r="K504" s="0" t="s">
        <v>1344</v>
      </c>
    </row>
    <row r="505" customFormat="false" ht="13.8" hidden="false" customHeight="false" outlineLevel="0" collapsed="false"/>
    <row r="506" s="3" customFormat="true" ht="13.8" hidden="false" customHeight="false" outlineLevel="0" collapsed="false">
      <c r="A506" s="3" t="s">
        <v>968</v>
      </c>
      <c r="B506" s="3" t="s">
        <v>1351</v>
      </c>
      <c r="C506" s="3" t="s">
        <v>31</v>
      </c>
      <c r="D506" s="3" t="s">
        <v>1352</v>
      </c>
      <c r="E506" s="3" t="s">
        <v>1353</v>
      </c>
      <c r="F506" s="3" t="s">
        <v>1354</v>
      </c>
      <c r="G506" s="3" t="str">
        <f aca="false">HYPERLINK("http://clipc-services.ceda.ac.uk/dreq/u/be9cffbb781e32b0bc311b22fa5c0322.html","web")</f>
        <v>web</v>
      </c>
      <c r="H506" s="3" t="s">
        <v>1355</v>
      </c>
      <c r="I506" s="4" t="s">
        <v>688</v>
      </c>
      <c r="J506" s="3" t="s">
        <v>1356</v>
      </c>
      <c r="K506" s="3" t="s">
        <v>1126</v>
      </c>
    </row>
    <row r="507" customFormat="false" ht="13.8" hidden="false" customHeight="false" outlineLevel="0" collapsed="false"/>
    <row r="508" customFormat="false" ht="13.8" hidden="false" customHeight="false" outlineLevel="0" collapsed="false">
      <c r="A508" s="0" t="s">
        <v>1357</v>
      </c>
      <c r="B508" s="0" t="s">
        <v>1358</v>
      </c>
      <c r="C508" s="0" t="s">
        <v>31</v>
      </c>
      <c r="D508" s="0" t="s">
        <v>1359</v>
      </c>
      <c r="E508" s="0" t="s">
        <v>1360</v>
      </c>
      <c r="F508" s="0" t="s">
        <v>314</v>
      </c>
      <c r="G508" s="0" t="str">
        <f aca="false">HYPERLINK("http://clipc-services.ceda.ac.uk/dreq/u/590d64f2-9e49-11e5-803c-0d0b866b59f3.html","web")</f>
        <v>web</v>
      </c>
      <c r="H508" s="4" t="s">
        <v>1342</v>
      </c>
      <c r="I508" s="4" t="s">
        <v>688</v>
      </c>
      <c r="J508" s="0" t="s">
        <v>1361</v>
      </c>
      <c r="K508" s="0" t="s">
        <v>1344</v>
      </c>
    </row>
    <row r="509" customFormat="false" ht="13.8" hidden="false" customHeight="false" outlineLevel="0" collapsed="false">
      <c r="A509" s="0" t="s">
        <v>1357</v>
      </c>
      <c r="B509" s="0" t="s">
        <v>1362</v>
      </c>
      <c r="C509" s="0" t="s">
        <v>31</v>
      </c>
      <c r="D509" s="0" t="s">
        <v>1359</v>
      </c>
      <c r="E509" s="0" t="s">
        <v>1363</v>
      </c>
      <c r="F509" s="0" t="s">
        <v>314</v>
      </c>
      <c r="G509" s="0" t="str">
        <f aca="false">HYPERLINK("http://clipc-services.ceda.ac.uk/dreq/u/5913d0c6-9e49-11e5-803c-0d0b866b59f3.html","web")</f>
        <v>web</v>
      </c>
      <c r="H509" s="4" t="s">
        <v>1342</v>
      </c>
      <c r="I509" s="4" t="s">
        <v>688</v>
      </c>
      <c r="J509" s="0" t="s">
        <v>1364</v>
      </c>
      <c r="K509" s="0" t="s">
        <v>1344</v>
      </c>
    </row>
    <row r="510" customFormat="false" ht="13.8" hidden="false" customHeight="false" outlineLevel="0" collapsed="false"/>
    <row r="511" customFormat="false" ht="13.8" hidden="false" customHeight="false" outlineLevel="0" collapsed="false"/>
    <row r="512" customFormat="false" ht="13.8" hidden="false" customHeight="false" outlineLevel="0" collapsed="false">
      <c r="A512" s="0" t="s">
        <v>908</v>
      </c>
      <c r="B512" s="0" t="s">
        <v>1365</v>
      </c>
      <c r="C512" s="0" t="s">
        <v>31</v>
      </c>
      <c r="D512" s="0" t="s">
        <v>179</v>
      </c>
      <c r="E512" s="0" t="s">
        <v>1366</v>
      </c>
      <c r="F512" s="0" t="s">
        <v>286</v>
      </c>
      <c r="G512" s="0" t="n">
        <v>0</v>
      </c>
      <c r="H512" s="3" t="s">
        <v>1367</v>
      </c>
      <c r="I512" s="3" t="s">
        <v>1368</v>
      </c>
      <c r="J512" s="0" t="s">
        <v>1369</v>
      </c>
      <c r="K512" s="0" t="s">
        <v>1370</v>
      </c>
    </row>
    <row r="513" customFormat="false" ht="13.8" hidden="false" customHeight="false" outlineLevel="0" collapsed="false">
      <c r="A513" s="0" t="s">
        <v>908</v>
      </c>
      <c r="B513" s="0" t="s">
        <v>1371</v>
      </c>
      <c r="C513" s="0" t="s">
        <v>31</v>
      </c>
      <c r="D513" s="0" t="s">
        <v>179</v>
      </c>
      <c r="E513" s="0" t="s">
        <v>1372</v>
      </c>
      <c r="F513" s="0" t="s">
        <v>286</v>
      </c>
      <c r="G513" s="0" t="n">
        <v>0</v>
      </c>
      <c r="H513" s="3" t="s">
        <v>1373</v>
      </c>
      <c r="I513" s="3" t="s">
        <v>1025</v>
      </c>
      <c r="J513" s="0" t="s">
        <v>1374</v>
      </c>
      <c r="K513" s="0" t="s">
        <v>1370</v>
      </c>
    </row>
    <row r="514" customFormat="false" ht="13.8" hidden="false" customHeight="false" outlineLevel="0" collapsed="false">
      <c r="A514" s="0" t="s">
        <v>908</v>
      </c>
      <c r="B514" s="0" t="s">
        <v>1375</v>
      </c>
      <c r="C514" s="0" t="s">
        <v>31</v>
      </c>
      <c r="D514" s="0" t="s">
        <v>179</v>
      </c>
      <c r="E514" s="0" t="s">
        <v>1376</v>
      </c>
      <c r="F514" s="0" t="s">
        <v>181</v>
      </c>
      <c r="G514" s="0" t="n">
        <v>0</v>
      </c>
      <c r="H514" s="3" t="s">
        <v>1377</v>
      </c>
      <c r="I514" s="3" t="s">
        <v>1025</v>
      </c>
      <c r="J514" s="0" t="s">
        <v>1378</v>
      </c>
      <c r="K514" s="0" t="s">
        <v>1370</v>
      </c>
    </row>
    <row r="515" customFormat="false" ht="13.8" hidden="false" customHeight="false" outlineLevel="0" collapsed="false">
      <c r="A515" s="0" t="s">
        <v>908</v>
      </c>
      <c r="B515" s="0" t="s">
        <v>1379</v>
      </c>
      <c r="C515" s="0" t="s">
        <v>31</v>
      </c>
      <c r="D515" s="0" t="s">
        <v>179</v>
      </c>
      <c r="E515" s="0" t="s">
        <v>1380</v>
      </c>
      <c r="F515" s="0" t="s">
        <v>181</v>
      </c>
      <c r="G515" s="0" t="n">
        <v>0</v>
      </c>
      <c r="H515" s="3" t="s">
        <v>1377</v>
      </c>
      <c r="I515" s="3" t="s">
        <v>1025</v>
      </c>
      <c r="J515" s="0" t="s">
        <v>1381</v>
      </c>
      <c r="K515" s="0" t="s">
        <v>1370</v>
      </c>
    </row>
    <row r="516" customFormat="false" ht="13.8" hidden="false" customHeight="false" outlineLevel="0" collapsed="false">
      <c r="A516" s="0" t="s">
        <v>908</v>
      </c>
      <c r="B516" s="0" t="s">
        <v>1382</v>
      </c>
      <c r="C516" s="0" t="s">
        <v>31</v>
      </c>
      <c r="D516" s="0" t="s">
        <v>179</v>
      </c>
      <c r="E516" s="0" t="s">
        <v>1383</v>
      </c>
      <c r="F516" s="0" t="s">
        <v>181</v>
      </c>
      <c r="G516" s="0" t="n">
        <v>0</v>
      </c>
      <c r="H516" s="3" t="s">
        <v>1377</v>
      </c>
      <c r="I516" s="3" t="s">
        <v>1025</v>
      </c>
      <c r="J516" s="0" t="s">
        <v>1384</v>
      </c>
      <c r="K516" s="0" t="s">
        <v>1370</v>
      </c>
    </row>
    <row r="517" customFormat="false" ht="13.8" hidden="false" customHeight="false" outlineLevel="0" collapsed="false">
      <c r="A517" s="0" t="s">
        <v>908</v>
      </c>
      <c r="B517" s="0" t="s">
        <v>1385</v>
      </c>
      <c r="C517" s="0" t="s">
        <v>31</v>
      </c>
      <c r="D517" s="0" t="s">
        <v>179</v>
      </c>
      <c r="E517" s="0" t="s">
        <v>1386</v>
      </c>
      <c r="F517" s="0" t="s">
        <v>181</v>
      </c>
      <c r="G517" s="0" t="n">
        <v>0</v>
      </c>
      <c r="H517" s="3" t="s">
        <v>1387</v>
      </c>
      <c r="I517" s="3" t="s">
        <v>1025</v>
      </c>
      <c r="J517" s="0" t="s">
        <v>1388</v>
      </c>
      <c r="K517" s="0" t="s">
        <v>1370</v>
      </c>
    </row>
    <row r="518" customFormat="false" ht="13.8" hidden="false" customHeight="false" outlineLevel="0" collapsed="false">
      <c r="A518" s="0" t="s">
        <v>908</v>
      </c>
      <c r="B518" s="0" t="s">
        <v>1389</v>
      </c>
      <c r="C518" s="0" t="s">
        <v>31</v>
      </c>
      <c r="D518" s="0" t="s">
        <v>179</v>
      </c>
      <c r="E518" s="0" t="s">
        <v>1390</v>
      </c>
      <c r="F518" s="0" t="s">
        <v>1391</v>
      </c>
      <c r="G518" s="0" t="n">
        <v>0</v>
      </c>
      <c r="H518" s="3" t="s">
        <v>1387</v>
      </c>
      <c r="I518" s="3" t="s">
        <v>1025</v>
      </c>
      <c r="J518" s="0" t="s">
        <v>1392</v>
      </c>
      <c r="K518" s="0" t="s">
        <v>1370</v>
      </c>
    </row>
    <row r="519" customFormat="false" ht="13.8" hidden="false" customHeight="false" outlineLevel="0" collapsed="false">
      <c r="A519" s="0" t="s">
        <v>908</v>
      </c>
      <c r="B519" s="0" t="s">
        <v>1393</v>
      </c>
      <c r="C519" s="0" t="s">
        <v>31</v>
      </c>
      <c r="D519" s="0" t="s">
        <v>179</v>
      </c>
      <c r="E519" s="0" t="s">
        <v>1394</v>
      </c>
      <c r="F519" s="0" t="s">
        <v>1391</v>
      </c>
      <c r="G519" s="0" t="n">
        <v>0</v>
      </c>
      <c r="H519" s="3" t="s">
        <v>1387</v>
      </c>
      <c r="I519" s="3" t="s">
        <v>1025</v>
      </c>
      <c r="J519" s="0" t="s">
        <v>1395</v>
      </c>
      <c r="K519" s="0" t="s">
        <v>1370</v>
      </c>
    </row>
    <row r="520" customFormat="false" ht="13.8" hidden="false" customHeight="false" outlineLevel="0" collapsed="false">
      <c r="A520" s="0" t="s">
        <v>908</v>
      </c>
      <c r="B520" s="0" t="s">
        <v>1396</v>
      </c>
      <c r="C520" s="0" t="s">
        <v>31</v>
      </c>
      <c r="D520" s="0" t="s">
        <v>179</v>
      </c>
      <c r="E520" s="0" t="s">
        <v>1397</v>
      </c>
      <c r="F520" s="0" t="s">
        <v>912</v>
      </c>
      <c r="G520" s="0" t="n">
        <v>0</v>
      </c>
      <c r="H520" s="3" t="s">
        <v>1387</v>
      </c>
      <c r="I520" s="3" t="s">
        <v>1025</v>
      </c>
      <c r="J520" s="0" t="s">
        <v>1398</v>
      </c>
      <c r="K520" s="0" t="s">
        <v>1370</v>
      </c>
    </row>
    <row r="521" customFormat="false" ht="13.8" hidden="false" customHeight="false" outlineLevel="0" collapsed="false">
      <c r="A521" s="0" t="s">
        <v>908</v>
      </c>
      <c r="B521" s="0" t="s">
        <v>1399</v>
      </c>
      <c r="C521" s="0" t="s">
        <v>31</v>
      </c>
      <c r="D521" s="0" t="s">
        <v>179</v>
      </c>
      <c r="E521" s="0" t="s">
        <v>1400</v>
      </c>
      <c r="F521" s="0" t="s">
        <v>912</v>
      </c>
      <c r="G521" s="0" t="n">
        <v>0</v>
      </c>
      <c r="H521" s="3" t="s">
        <v>1387</v>
      </c>
      <c r="I521" s="3" t="s">
        <v>1025</v>
      </c>
      <c r="J521" s="0" t="s">
        <v>1401</v>
      </c>
      <c r="K521" s="0" t="s">
        <v>1370</v>
      </c>
    </row>
    <row r="522" customFormat="false" ht="13.8" hidden="false" customHeight="false" outlineLevel="0" collapsed="false">
      <c r="A522" s="0" t="s">
        <v>908</v>
      </c>
      <c r="B522" s="0" t="s">
        <v>1402</v>
      </c>
      <c r="C522" s="0" t="s">
        <v>31</v>
      </c>
      <c r="D522" s="0" t="s">
        <v>179</v>
      </c>
      <c r="E522" s="0" t="s">
        <v>1403</v>
      </c>
      <c r="F522" s="0" t="s">
        <v>912</v>
      </c>
      <c r="G522" s="0" t="n">
        <v>0</v>
      </c>
      <c r="H522" s="3" t="s">
        <v>1404</v>
      </c>
      <c r="I522" s="3" t="s">
        <v>1025</v>
      </c>
      <c r="J522" s="0" t="s">
        <v>1405</v>
      </c>
      <c r="K522" s="0" t="s">
        <v>1370</v>
      </c>
    </row>
    <row r="523" customFormat="false" ht="13.8" hidden="false" customHeight="false" outlineLevel="0" collapsed="false">
      <c r="A523" s="0" t="s">
        <v>908</v>
      </c>
      <c r="B523" s="0" t="s">
        <v>1406</v>
      </c>
      <c r="C523" s="0" t="s">
        <v>31</v>
      </c>
      <c r="D523" s="0" t="s">
        <v>179</v>
      </c>
      <c r="E523" s="0" t="s">
        <v>1407</v>
      </c>
      <c r="F523" s="0" t="s">
        <v>912</v>
      </c>
      <c r="G523" s="0" t="n">
        <v>0</v>
      </c>
      <c r="H523" s="3" t="s">
        <v>1408</v>
      </c>
      <c r="I523" s="3" t="s">
        <v>1025</v>
      </c>
      <c r="J523" s="0" t="s">
        <v>1409</v>
      </c>
      <c r="K523" s="0" t="s">
        <v>1370</v>
      </c>
    </row>
    <row r="524" customFormat="false" ht="13.8" hidden="false" customHeight="false" outlineLevel="0" collapsed="false">
      <c r="A524" s="0" t="s">
        <v>908</v>
      </c>
      <c r="B524" s="0" t="s">
        <v>1018</v>
      </c>
      <c r="C524" s="0" t="s">
        <v>31</v>
      </c>
      <c r="D524" s="0" t="s">
        <v>179</v>
      </c>
      <c r="E524" s="0" t="s">
        <v>1410</v>
      </c>
      <c r="F524" s="0" t="s">
        <v>16</v>
      </c>
      <c r="G524" s="0" t="n">
        <v>0</v>
      </c>
      <c r="H524" s="3" t="s">
        <v>1387</v>
      </c>
      <c r="I524" s="3" t="s">
        <v>1025</v>
      </c>
      <c r="J524" s="0" t="s">
        <v>1021</v>
      </c>
      <c r="K524" s="0" t="s">
        <v>1370</v>
      </c>
    </row>
    <row r="525" customFormat="false" ht="13.8" hidden="false" customHeight="false" outlineLevel="0" collapsed="false">
      <c r="A525" s="0" t="s">
        <v>908</v>
      </c>
      <c r="B525" s="0" t="s">
        <v>1411</v>
      </c>
      <c r="C525" s="0" t="s">
        <v>31</v>
      </c>
      <c r="D525" s="0" t="s">
        <v>179</v>
      </c>
      <c r="E525" s="0" t="s">
        <v>1412</v>
      </c>
      <c r="F525" s="0" t="s">
        <v>31</v>
      </c>
      <c r="G525" s="0" t="n">
        <v>0</v>
      </c>
      <c r="H525" s="3" t="s">
        <v>1413</v>
      </c>
      <c r="I525" s="3" t="s">
        <v>1025</v>
      </c>
      <c r="J525" s="0" t="s">
        <v>1414</v>
      </c>
      <c r="K525" s="0" t="s">
        <v>1370</v>
      </c>
    </row>
    <row r="526" customFormat="false" ht="13.8" hidden="false" customHeight="false" outlineLevel="0" collapsed="false">
      <c r="A526" s="0" t="s">
        <v>908</v>
      </c>
      <c r="B526" s="0" t="s">
        <v>1415</v>
      </c>
      <c r="C526" s="0" t="s">
        <v>31</v>
      </c>
      <c r="D526" s="0" t="s">
        <v>179</v>
      </c>
      <c r="E526" s="0" t="s">
        <v>1416</v>
      </c>
      <c r="F526" s="0" t="s">
        <v>31</v>
      </c>
      <c r="G526" s="0" t="n">
        <v>0</v>
      </c>
      <c r="H526" s="3" t="s">
        <v>1413</v>
      </c>
      <c r="I526" s="3" t="s">
        <v>1025</v>
      </c>
      <c r="J526" s="0" t="s">
        <v>1417</v>
      </c>
      <c r="K526" s="0" t="s">
        <v>1370</v>
      </c>
    </row>
    <row r="527" customFormat="false" ht="13.8" hidden="false" customHeight="false" outlineLevel="0" collapsed="false">
      <c r="A527" s="0" t="s">
        <v>908</v>
      </c>
      <c r="B527" s="0" t="s">
        <v>268</v>
      </c>
      <c r="C527" s="0" t="s">
        <v>31</v>
      </c>
      <c r="D527" s="0" t="s">
        <v>179</v>
      </c>
      <c r="E527" s="0" t="s">
        <v>1418</v>
      </c>
      <c r="F527" s="0" t="s">
        <v>270</v>
      </c>
      <c r="G527" s="0" t="n">
        <v>0</v>
      </c>
      <c r="H527" s="3" t="s">
        <v>1413</v>
      </c>
      <c r="I527" s="3" t="s">
        <v>1025</v>
      </c>
      <c r="J527" s="0" t="s">
        <v>273</v>
      </c>
      <c r="K527" s="0" t="s">
        <v>1370</v>
      </c>
    </row>
    <row r="528" customFormat="false" ht="13.8" hidden="false" customHeight="false" outlineLevel="0" collapsed="false"/>
    <row r="529" customFormat="false" ht="13.8" hidden="false" customHeight="false" outlineLevel="0" collapsed="false">
      <c r="A529" s="0" t="s">
        <v>281</v>
      </c>
      <c r="B529" s="0" t="s">
        <v>1419</v>
      </c>
      <c r="C529" s="0" t="s">
        <v>31</v>
      </c>
      <c r="D529" s="0" t="s">
        <v>312</v>
      </c>
      <c r="E529" s="0" t="s">
        <v>1420</v>
      </c>
      <c r="F529" s="0" t="s">
        <v>314</v>
      </c>
      <c r="G529" s="0" t="str">
        <f aca="false">HYPERLINK("http://clipc-services.ceda.ac.uk/dreq/u/c8b1814845661bcad37910e70a59b285.html","web")</f>
        <v>web</v>
      </c>
      <c r="H529" s="0" t="s">
        <v>1421</v>
      </c>
      <c r="I529" s="0" t="s">
        <v>316</v>
      </c>
      <c r="J529" s="0" t="s">
        <v>1420</v>
      </c>
      <c r="K529" s="0" t="s">
        <v>283</v>
      </c>
    </row>
    <row r="530" customFormat="false" ht="13.8" hidden="false" customHeight="false" outlineLevel="0" collapsed="false">
      <c r="A530" s="0" t="s">
        <v>281</v>
      </c>
      <c r="B530" s="0" t="s">
        <v>1422</v>
      </c>
      <c r="C530" s="0" t="s">
        <v>31</v>
      </c>
      <c r="D530" s="0" t="s">
        <v>312</v>
      </c>
      <c r="E530" s="0" t="s">
        <v>1423</v>
      </c>
      <c r="F530" s="0" t="s">
        <v>314</v>
      </c>
      <c r="G530" s="0" t="str">
        <f aca="false">HYPERLINK("http://clipc-services.ceda.ac.uk/dreq/u/93a0ba1f23bfc41b720ea68951d28144.html","web")</f>
        <v>web</v>
      </c>
      <c r="H530" s="0" t="s">
        <v>1424</v>
      </c>
      <c r="I530" s="0" t="s">
        <v>316</v>
      </c>
      <c r="J530" s="0" t="s">
        <v>1425</v>
      </c>
      <c r="K530" s="0" t="s">
        <v>283</v>
      </c>
    </row>
    <row r="531" customFormat="false" ht="13.8" hidden="false" customHeight="false" outlineLevel="0" collapsed="false">
      <c r="A531" s="0" t="s">
        <v>281</v>
      </c>
      <c r="B531" s="0" t="s">
        <v>1426</v>
      </c>
      <c r="C531" s="0" t="s">
        <v>31</v>
      </c>
      <c r="D531" s="0" t="s">
        <v>312</v>
      </c>
      <c r="E531" s="0" t="s">
        <v>1427</v>
      </c>
      <c r="F531" s="0" t="s">
        <v>314</v>
      </c>
      <c r="G531" s="0" t="str">
        <f aca="false">HYPERLINK("http://clipc-services.ceda.ac.uk/dreq/u/52f043533a691ca5721460e316c3a328.html","web")</f>
        <v>web</v>
      </c>
      <c r="H531" s="0" t="s">
        <v>1428</v>
      </c>
      <c r="I531" s="0" t="s">
        <v>36</v>
      </c>
      <c r="J531" s="0" t="s">
        <v>1429</v>
      </c>
      <c r="K531" s="0" t="s">
        <v>283</v>
      </c>
    </row>
    <row r="532" customFormat="false" ht="13.8" hidden="false" customHeight="false" outlineLevel="0" collapsed="false">
      <c r="A532" s="0" t="s">
        <v>281</v>
      </c>
      <c r="B532" s="0" t="s">
        <v>1430</v>
      </c>
      <c r="C532" s="0" t="s">
        <v>31</v>
      </c>
      <c r="D532" s="0" t="s">
        <v>312</v>
      </c>
      <c r="E532" s="0" t="s">
        <v>1431</v>
      </c>
      <c r="F532" s="0" t="s">
        <v>328</v>
      </c>
      <c r="G532" s="0" t="str">
        <f aca="false">HYPERLINK("http://clipc-services.ceda.ac.uk/dreq/u/2a6093caf9e5cd42fb2fba6bdb73d6db.html","web")</f>
        <v>web</v>
      </c>
      <c r="H532" s="0" t="s">
        <v>1432</v>
      </c>
      <c r="I532" s="0" t="s">
        <v>316</v>
      </c>
      <c r="J532" s="0" t="s">
        <v>1431</v>
      </c>
      <c r="K532" s="0" t="s">
        <v>283</v>
      </c>
    </row>
    <row r="533" customFormat="false" ht="13.8" hidden="false" customHeight="false" outlineLevel="0" collapsed="false">
      <c r="A533" s="0" t="s">
        <v>281</v>
      </c>
      <c r="B533" s="0" t="s">
        <v>1433</v>
      </c>
      <c r="C533" s="0" t="s">
        <v>31</v>
      </c>
      <c r="D533" s="0" t="s">
        <v>312</v>
      </c>
      <c r="E533" s="0" t="s">
        <v>1434</v>
      </c>
      <c r="F533" s="0" t="s">
        <v>328</v>
      </c>
      <c r="G533" s="0" t="str">
        <f aca="false">HYPERLINK("http://clipc-services.ceda.ac.uk/dreq/u/a1d576b3fc447c37d782926441428ffd.html","web")</f>
        <v>web</v>
      </c>
      <c r="H533" s="0" t="s">
        <v>1435</v>
      </c>
      <c r="I533" s="0" t="s">
        <v>316</v>
      </c>
      <c r="J533" s="0" t="s">
        <v>1429</v>
      </c>
      <c r="K533" s="0" t="s">
        <v>283</v>
      </c>
    </row>
    <row r="534" customFormat="false" ht="13.8" hidden="false" customHeight="false" outlineLevel="0" collapsed="false">
      <c r="A534" s="0" t="s">
        <v>281</v>
      </c>
      <c r="B534" s="0" t="s">
        <v>1436</v>
      </c>
      <c r="C534" s="0" t="s">
        <v>31</v>
      </c>
      <c r="D534" s="0" t="s">
        <v>312</v>
      </c>
      <c r="E534" s="0" t="s">
        <v>1437</v>
      </c>
      <c r="F534" s="0" t="s">
        <v>328</v>
      </c>
      <c r="G534" s="0" t="str">
        <f aca="false">HYPERLINK("http://clipc-services.ceda.ac.uk/dreq/u/6e30ba1e2c19dcbd85faa176d4eae596.html","web")</f>
        <v>web</v>
      </c>
      <c r="H534" s="0" t="s">
        <v>1438</v>
      </c>
      <c r="I534" s="0" t="s">
        <v>316</v>
      </c>
      <c r="J534" s="0" t="s">
        <v>1439</v>
      </c>
      <c r="K534" s="0" t="s">
        <v>283</v>
      </c>
    </row>
    <row r="535" customFormat="false" ht="13.8" hidden="false" customHeight="false" outlineLevel="0" collapsed="false">
      <c r="A535" s="0" t="s">
        <v>281</v>
      </c>
      <c r="B535" s="0" t="s">
        <v>1440</v>
      </c>
      <c r="C535" s="0" t="s">
        <v>31</v>
      </c>
      <c r="D535" s="0" t="s">
        <v>1441</v>
      </c>
      <c r="E535" s="0" t="s">
        <v>1442</v>
      </c>
      <c r="F535" s="0" t="s">
        <v>1443</v>
      </c>
      <c r="G535" s="0" t="str">
        <f aca="false">HYPERLINK("http://clipc-services.ceda.ac.uk/dreq/u/21ef5e4c-b894-11e6-a189-5404a60d96b5.html","web")</f>
        <v>web</v>
      </c>
      <c r="H535" s="0" t="s">
        <v>1444</v>
      </c>
      <c r="I535" s="0" t="s">
        <v>204</v>
      </c>
      <c r="J535" s="0" t="s">
        <v>1445</v>
      </c>
      <c r="K535" s="0" t="s">
        <v>283</v>
      </c>
    </row>
    <row r="536" customFormat="false" ht="13.8" hidden="false" customHeight="false" outlineLevel="0" collapsed="false">
      <c r="A536" s="0" t="s">
        <v>281</v>
      </c>
      <c r="B536" s="0" t="s">
        <v>1446</v>
      </c>
      <c r="C536" s="0" t="s">
        <v>31</v>
      </c>
      <c r="D536" s="0" t="s">
        <v>1441</v>
      </c>
      <c r="E536" s="0" t="s">
        <v>1447</v>
      </c>
      <c r="F536" s="0" t="s">
        <v>1448</v>
      </c>
      <c r="G536" s="0" t="str">
        <f aca="false">HYPERLINK("http://clipc-services.ceda.ac.uk/dreq/u/2260e24c-b894-11e6-a189-5404a60d96b5.html","web")</f>
        <v>web</v>
      </c>
      <c r="H536" s="0" t="s">
        <v>1444</v>
      </c>
      <c r="I536" s="0" t="s">
        <v>204</v>
      </c>
      <c r="J536" s="0" t="s">
        <v>1449</v>
      </c>
      <c r="K536" s="0" t="s">
        <v>283</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2019-01-28T21:23:02Z</dcterms:created>
  <dc:creator/>
  <dc:description/>
  <dc:language>en-US</dc:language>
  <cp:lastModifiedBy/>
  <dcterms:modified xsi:type="dcterms:W3CDTF">2019-01-28T22:36:15Z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