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<sst xmlns="http://schemas.openxmlformats.org/spreadsheetml/2006/main" count="3984" uniqueCount="1171">
  <si>
    <t xml:space="preserve">Table</t>
  </si>
  <si>
    <t xml:space="preserve">variable</t>
  </si>
  <si>
    <t xml:space="preserve">prio</t>
  </si>
  <si>
    <t xml:space="preserve">Dimension format of variable</t>
  </si>
  <si>
    <t xml:space="preserve">variable long name</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</si>
  <si>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</si>
  <si>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</si>
  <si>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</si>
  <si>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</si>
  <si>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</si>
  <si>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</si>
  <si>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</si>
  <si>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</si>
  <si>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</si>
  <si>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canopy height</t>
  </si>
  <si>
    <t xml:space="preserve">Can not be produced by LPJ-GUESS: Only tree that has a height</t>
  </si>
  <si>
    <t xml:space="preserve">David Warlind</t>
  </si>
  <si>
    <t xml:space="preserve">Height is the vertical distance above the surface. 'Canopy' means the plant or vegetation canopy.</t>
  </si>
  <si>
    <t xml:space="preserve">CMIP,DCPP,PMIP</t>
  </si>
  <si>
    <t xml:space="preserve">rlu</t>
  </si>
  <si>
    <t xml:space="preserve">1</t>
  </si>
  <si>
    <t xml:space="preserve">alevel spectband</t>
  </si>
  <si>
    <t xml:space="preserve">Upwelling Longwave Radiation</t>
  </si>
  <si>
    <t xml:space="preserve">Not available in IFS: All Up and downwelling radiation is only at the TOA and the surface available in IFS standard output</t>
  </si>
  <si>
    <t xml:space="preserve">Twan &amp; Thomas</t>
  </si>
  <si>
    <t xml:space="preserve">Upwelling longwave radiation (includes the fluxes at the surface and TOA)</t>
  </si>
  <si>
    <t xml:space="preserve">RFMIP</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</si>
  <si>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</si>
  <si>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</si>
  <si>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</si>
  <si>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</si>
  <si>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</si>
  <si>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</si>
  <si>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</si>
  <si>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</si>
  <si>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</si>
  <si>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6hrLev</t>
  </si>
  <si>
    <t xml:space="preserve">bs550aer</t>
  </si>
  <si>
    <t xml:space="preserve">longitude latitude time lambda550nm</t>
  </si>
  <si>
    <t xml:space="preserve">Aerosol backscatter coefficient</t>
  </si>
  <si>
    <t xml:space="preserve">Not available in IFS, neither in TM5.</t>
  </si>
  <si>
    <t xml:space="preserve">Aerosol  Backscatter at 550nm and 180 degrees, computed from extinction and lidar ratio</t>
  </si>
  <si>
    <t xml:space="preserve">AerChemMIP</t>
  </si>
  <si>
    <t xml:space="preserve">Oyr</t>
  </si>
  <si>
    <t xml:space="preserve">dissicabio</t>
  </si>
  <si>
    <t xml:space="preserve">longitude latitude olevel time</t>
  </si>
  <si>
    <t xml:space="preserve">Abiotic Dissolved Inorganic Carbon Concentration</t>
  </si>
  <si>
    <t xml:space="preserve">Not available in PISCES</t>
  </si>
  <si>
    <t xml:space="preserve">Raffaele Bernardello</t>
  </si>
  <si>
    <t xml:space="preserve">Abiotic Dissolved inorganic carbon (CO3+HCO3+H2CO3) concentration</t>
  </si>
  <si>
    <t xml:space="preserve">AerChemMIP,CMIP,GeoMIP,LUMIP,OMIP</t>
  </si>
  <si>
    <t xml:space="preserve">dissi13c</t>
  </si>
  <si>
    <t xml:space="preserve">Dissolved Inorganic 13Carbon Concentration</t>
  </si>
  <si>
    <t xml:space="preserve">Dissolved inorganic 14carbon (CO3+HCO3+H2CO3) concentration</t>
  </si>
  <si>
    <t xml:space="preserve">talknat</t>
  </si>
  <si>
    <t xml:space="preserve">Natural Total Alkalinity</t>
  </si>
  <si>
    <t xml:space="preserve">Not available in NEMO-OPA. </t>
  </si>
  <si>
    <t xml:space="preserve">Torben</t>
  </si>
  <si>
    <t xml:space="preserve">total alkalinity equivalent concentration (including carbonate, borate, phosphorus, silicon, and nitrogen components) at preindustrial atmospheric xCO2</t>
  </si>
  <si>
    <t xml:space="preserve">AerChemMIP,C4MIP,CMIP,GeoMIP,LUMIP,OMIP</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</si>
  <si>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</si>
  <si>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</si>
  <si>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</si>
  <si>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</si>
  <si>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</si>
  <si>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Probably not in NEMO-PISCES (at least not found in the relevant xml files). BSC check?</t>
  </si>
  <si>
    <t xml:space="preserve">Chlorophyll concentration from the diazotrophic phytoplankton component alone</t>
  </si>
  <si>
    <t xml:space="preserve">AerChemMIP,CMIP,GeoMIP,LUMIP,OMIP,VIACSAB</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</si>
  <si>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</si>
  <si>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</si>
  <si>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</si>
  <si>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</si>
  <si>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</si>
  <si>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</si>
  <si>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</si>
  <si>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</si>
  <si>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</si>
  <si>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</si>
  <si>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</si>
  <si>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</si>
  <si>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</si>
  <si>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</si>
  <si>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</si>
  <si>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</si>
  <si>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</si>
  <si>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</si>
  <si>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</si>
  <si>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</si>
  <si>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Mole concentration of dimethyl sulphide in water</t>
  </si>
  <si>
    <t xml:space="preserve">parag</t>
  </si>
  <si>
    <t xml:space="preserve">Aragonite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</si>
  <si>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t>
  </si>
  <si>
    <t xml:space="preserve">expn</t>
  </si>
  <si>
    <t xml:space="preserve">Sinking Particulate Organic Nitrogen Flux</t>
  </si>
  <si>
    <t xml:space="preserve">Not available inLPJ-GUESS. Not available in PISCES, which means not available in NEMO.</t>
  </si>
  <si>
    <t xml:space="preserve">David Warlind, Raffaele Bernardello</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</si>
  <si>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</si>
  <si>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expp</t>
  </si>
  <si>
    <t xml:space="preserve">Sinking Particulate Organic Phosphorus Flux</t>
  </si>
  <si>
    <t xml:space="preserve">expfe</t>
  </si>
  <si>
    <t xml:space="preserve">Sinking Particulate Iron Flux</t>
  </si>
  <si>
    <t xml:space="preserve">Can not be produced by LPJ-GUESS: Pisces?</t>
  </si>
  <si>
    <t xml:space="preserve">expsi</t>
  </si>
  <si>
    <t xml:space="preserve">Sinking Particulate Silica Flux</t>
  </si>
  <si>
    <t xml:space="preserve">AerChemMIP,CMIP,GeoMIP,LUMIP,OMIP,PMIP,VIACSAB</t>
  </si>
  <si>
    <t xml:space="preserve">expcalc</t>
  </si>
  <si>
    <t xml:space="preserve">Sinking Calcite Flux</t>
  </si>
  <si>
    <t xml:space="preserve">Downward flux of Calcite</t>
  </si>
  <si>
    <t xml:space="preserve">exparag</t>
  </si>
  <si>
    <t xml:space="preserve">Sinking Aragonite Flux</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</si>
  <si>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</si>
  <si>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</si>
  <si>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</si>
  <si>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</si>
  <si>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</si>
  <si>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3</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</si>
  <si>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</si>
  <si>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</si>
  <si>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</si>
  <si>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</si>
  <si>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</si>
  <si>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</si>
  <si>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</si>
  <si>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</si>
  <si>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</si>
  <si>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</si>
  <si>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</si>
  <si>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</si>
  <si>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</si>
  <si>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</si>
  <si>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</si>
  <si>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</si>
  <si>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Net total of biological terms in time rate of change of dissolved inorganic carbon</t>
  </si>
  <si>
    <t xml:space="preserve">bddtdin</t>
  </si>
  <si>
    <t xml:space="preserve">Rate of Change of Nitrogen Nutrient due to Biological Activity</t>
  </si>
  <si>
    <t xml:space="preserve">Net total of biological terms in time rate of change of nitrogen nutrients (e.g. NO3+NH4)</t>
  </si>
  <si>
    <t xml:space="preserve">bddtdip</t>
  </si>
  <si>
    <t xml:space="preserve">Rate of Change of Dissolved phosphorus due to Biological Activity</t>
  </si>
  <si>
    <t xml:space="preserve">Net of biological terms in time rate of change of dissolved phosphate</t>
  </si>
  <si>
    <t xml:space="preserve">bddtdife</t>
  </si>
  <si>
    <t xml:space="preserve">Rate of Change of Dissolved Inorganic Iron due to Biological Activity</t>
  </si>
  <si>
    <t xml:space="preserve">Net total of biological terms in time rate of change of dissolved inorganic iron</t>
  </si>
  <si>
    <t xml:space="preserve">bddtdisi</t>
  </si>
  <si>
    <t xml:space="preserve">Rate of Change of Dissolved Inorganic silicon due to Biological Activity</t>
  </si>
  <si>
    <t xml:space="preserve">Net of biological terms in time rate of change of dissolved inorganic silicon</t>
  </si>
  <si>
    <t xml:space="preserve">bddtalk</t>
  </si>
  <si>
    <t xml:space="preserve">Rate of Change of Alkalinity due to Biological Activity</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</si>
  <si>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</si>
  <si>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</si>
  <si>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</si>
  <si>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</si>
  <si>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</si>
  <si>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</si>
  <si>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</si>
  <si>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</si>
  <si>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</si>
  <si>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</si>
  <si>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</si>
  <si>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</si>
  <si>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</si>
  <si>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Gas exchange flux of abiotic 14CO2 (positive into ocean)</t>
  </si>
  <si>
    <t xml:space="preserve">fg13co2</t>
  </si>
  <si>
    <t xml:space="preserve">Surface Downward Flux of Abiotic 13CO2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</si>
  <si>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Carbon13 is a stable isotope of carbon having six protons and seven neutrons.</t>
  </si>
  <si>
    <t xml:space="preserve">CFday</t>
  </si>
  <si>
    <t xml:space="preserve">ccb</t>
  </si>
  <si>
    <t xml:space="preserve">Air Pressure at Convective Cloud Base</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</si>
  <si>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</si>
  <si>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</si>
  <si>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</si>
  <si>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</si>
  <si>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</si>
  <si>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</si>
  <si>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</si>
  <si>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</si>
  <si>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</si>
  <si>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</si>
  <si>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</si>
  <si>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</si>
  <si>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</si>
  <si>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</si>
  <si>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</si>
  <si>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Cloud Fraction</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</si>
  <si>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</si>
  <si>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</si>
  <si>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</si>
  <si>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</si>
  <si>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</si>
  <si>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Fraction</t>
  </si>
  <si>
    <t xml:space="preserve">Percentage cloud cover in optical depth categories.</t>
  </si>
  <si>
    <t xml:space="preserve">EdayZ</t>
  </si>
  <si>
    <t xml:space="preserve">vtem</t>
  </si>
  <si>
    <t xml:space="preserve">latitude plev39 time</t>
  </si>
  <si>
    <t xml:space="preserve">Transformed Eulerian Mean northward wind</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</si>
  <si>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</si>
  <si>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</si>
  <si>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</si>
  <si>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</si>
  <si>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</si>
  <si>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</si>
  <si>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</si>
  <si>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</si>
  <si>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</si>
  <si>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</si>
  <si>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</si>
  <si>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</si>
  <si>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</si>
  <si>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</si>
  <si>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Tendency of the zonal mean zonal wind due to the divergence of the Eliassen-Palm flux.</t>
  </si>
  <si>
    <t xml:space="preserve">utendogw</t>
  </si>
  <si>
    <t xml:space="preserve">u-tendency orographic gravity wave drag</t>
  </si>
  <si>
    <t xml:space="preserve">Not separately available in IFS.</t>
  </si>
  <si>
    <t xml:space="preserve">Tendency of the eastward wind by parameterized orographic gravity waves.</t>
  </si>
  <si>
    <t xml:space="preserve">utendnogw</t>
  </si>
  <si>
    <t xml:space="preserve">u-tendency nonorographic gravity wave drag</t>
  </si>
  <si>
    <t xml:space="preserve">Tendency of the eastward wind by parameterized nonorographic gravity waves.</t>
  </si>
  <si>
    <t xml:space="preserve">psitem</t>
  </si>
  <si>
    <t xml:space="preserve">Transformed Eulerian Mean mass stramfunction</t>
  </si>
  <si>
    <t xml:space="preserve">Residual mass streamfunction, computed from vstar and integrated from the top of the atmosphere (on the native model grid). Reference: Andrews et al (1987): Middle Atmospheric Dynamics. Academic Press.</t>
  </si>
  <si>
    <t xml:space="preserve">utendvtem</t>
  </si>
  <si>
    <t xml:space="preserve">Rendency of eastward wind due to TEM northward advection and Coriolis term</t>
  </si>
  <si>
    <t xml:space="preserve">Tendency of zonally averaged eastward wind, by the residual upward wind advection (on the native model grid). Reference: Andrews et al (1987): Middle Atmospheric Dynamics. Academic Press.</t>
  </si>
  <si>
    <t xml:space="preserve">utendwtem</t>
  </si>
  <si>
    <t xml:space="preserve">Rendency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</si>
  <si>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</si>
  <si>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</si>
  <si>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agesno</t>
  </si>
  <si>
    <t xml:space="preserve">Snow Age</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</si>
  <si>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</si>
  <si>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</si>
  <si>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</si>
  <si>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</si>
  <si>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</si>
  <si>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</si>
  <si>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</si>
  <si>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</si>
  <si>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</si>
  <si>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C4MIP,CMIP,FAFMIP,GMMIP,GeoMIP,HighResMIP,LS3MIP,LUMIP,PMIP,VIACSAB,VolMIP</t>
  </si>
  <si>
    <t xml:space="preserve">CFsubhr</t>
  </si>
  <si>
    <t xml:space="preserve">alevhalf site time1</t>
  </si>
  <si>
    <t xml:space="preserve">AerChemMIP,CFMIP</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</si>
  <si>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</si>
  <si>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</si>
  <si>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</si>
  <si>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</si>
  <si>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</si>
  <si>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</si>
  <si>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</si>
  <si>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</si>
  <si>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</si>
  <si>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</si>
  <si>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</si>
  <si>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</si>
  <si>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</si>
  <si>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</si>
  <si>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</si>
  <si>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</si>
  <si>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</si>
  <si>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</si>
  <si>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</si>
  <si>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</si>
  <si>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</si>
  <si>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</si>
  <si>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</si>
  <si>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</si>
  <si>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</si>
  <si>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</si>
  <si>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</si>
  <si>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</si>
  <si>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</si>
  <si>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</si>
  <si>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</si>
  <si>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</si>
  <si>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</si>
  <si>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</si>
  <si>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</si>
  <si>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</si>
  <si>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</si>
  <si>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 Variables</t>
  </si>
  <si>
    <t xml:space="preserve">Vertical diffusion coefficient for momentum due to parametrised eddies</t>
  </si>
  <si>
    <t xml:space="preserve">edt</t>
  </si>
  <si>
    <t xml:space="preserve">Eddy Diffusivity Coefficient for Temperature Variable</t>
  </si>
  <si>
    <t xml:space="preserve">Vertical diffusion coefficient for temperature due to parametrised eddies</t>
  </si>
  <si>
    <t xml:space="preserve">site time1</t>
  </si>
  <si>
    <t xml:space="preserve">ci</t>
  </si>
  <si>
    <t xml:space="preserve">Fraction of Time Convection Occurs</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</si>
  <si>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</si>
  <si>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</si>
  <si>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</si>
  <si>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</si>
  <si>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</si>
  <si>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</si>
  <si>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Odec</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</si>
  <si>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</si>
  <si>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</si>
  <si>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</si>
  <si>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t>
  </si>
  <si>
    <t xml:space="preserve">Overturning mass streamfunction arising from all advective mass transport processes, resolved and parameterized.</t>
  </si>
  <si>
    <t xml:space="preserve">CMIP,OMIP</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</si>
  <si>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</si>
  <si>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</si>
  <si>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</si>
  <si>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</si>
  <si>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</si>
  <si>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</si>
  <si>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</si>
  <si>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</si>
  <si>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</si>
  <si>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</si>
  <si>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</si>
  <si>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</si>
  <si>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</si>
  <si>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CMIP,HighResMIP,VIACSAB</t>
  </si>
  <si>
    <t xml:space="preserve">SImon</t>
  </si>
  <si>
    <t xml:space="preserve">sisnconc</t>
  </si>
  <si>
    <t xml:space="preserve">Snow area fraction</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</si>
  <si>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</si>
  <si>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</si>
  <si>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</si>
  <si>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</si>
  <si>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</si>
  <si>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</si>
  <si>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</si>
  <si>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</si>
  <si>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</si>
  <si>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</si>
  <si>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</si>
  <si>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</si>
  <si>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</si>
  <si>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</si>
  <si>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</si>
  <si>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</si>
  <si>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</si>
  <si>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</si>
  <si>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</si>
  <si>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</si>
  <si>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C4MIP,CMIP,DCPP,FAFMIP,GMMIP,GeoMIP,HighResMIP,LS3MIP,PMIP,RFMIP,SIMIP</t>
  </si>
  <si>
    <t xml:space="preserve">sifllatstop</t>
  </si>
  <si>
    <t xml:space="preserve">Net latent heat flux over sea ice</t>
  </si>
  <si>
    <t xml:space="preserve">the net latent heat flux over sea ice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</si>
  <si>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</si>
  <si>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</si>
  <si>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</si>
  <si>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</si>
  <si>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</si>
  <si>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AerChemMIP,CFMIP,DAMIP,GeoMIP,HighResMIP,PMIP</t>
  </si>
  <si>
    <t xml:space="preserve">longitude latitude alevel time</t>
  </si>
  <si>
    <t xml:space="preserve">Eddy Viscosity Coefficients for Momentum</t>
  </si>
  <si>
    <t xml:space="preserve">AerChemMIP,CFMIP,DAMIP,GeoMIP,HighResMIP</t>
  </si>
  <si>
    <t xml:space="preserve">Eddy Diffusivity Coefficients for Temperature</t>
  </si>
  <si>
    <t xml:space="preserve">clc</t>
  </si>
  <si>
    <t xml:space="preserve">Convective Cloud Area Fraction</t>
  </si>
  <si>
    <t xml:space="preserve">Include only convective cloud.</t>
  </si>
  <si>
    <t xml:space="preserve">cls</t>
  </si>
  <si>
    <t xml:space="preserve">Stratiform Cloud Area Fraction</t>
  </si>
  <si>
    <t xml:space="preserve">Not available in IFS. This can not just be linked with one of these layers: grib 128.186, 128.187 or 128.188</t>
  </si>
  <si>
    <t xml:space="preserve">AerChemMIP,CFMIP,GeoMIP,HighResMIP,PMIP</t>
  </si>
  <si>
    <t xml:space="preserve">mcu</t>
  </si>
  <si>
    <t xml:space="preserve">Updraft Convective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</si>
  <si>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</si>
  <si>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</si>
  <si>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</si>
  <si>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</si>
  <si>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</si>
  <si>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</si>
  <si>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</si>
  <si>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</si>
  <si>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</si>
  <si>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</si>
  <si>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</si>
  <si>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</si>
  <si>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</si>
  <si>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</si>
  <si>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</si>
  <si>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</si>
  <si>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</si>
  <si>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</si>
  <si>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</si>
  <si>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</si>
  <si>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</si>
  <si>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</si>
  <si>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</si>
  <si>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</si>
  <si>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</si>
  <si>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</si>
  <si>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</si>
  <si>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</si>
  <si>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</si>
  <si>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</si>
  <si>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</si>
  <si>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</si>
  <si>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</si>
  <si>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</si>
  <si>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</si>
  <si>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</si>
  <si>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</si>
  <si>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</si>
  <si>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</si>
  <si>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</si>
  <si>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ISCCP Percentage Cloud Area</t>
  </si>
  <si>
    <t xml:space="preserve">AerChemMIP,CFMIP,DAMIP,HighResMIP,PMIP,RFMIP</t>
  </si>
  <si>
    <t xml:space="preserve">CALIPSO Percentage Cloud Cover</t>
  </si>
  <si>
    <t xml:space="preserve">AerChemMIP,CFMIP,DAMIP,HighResMIP,RFMIP</t>
  </si>
  <si>
    <t xml:space="preserve">Omon</t>
  </si>
  <si>
    <t xml:space="preserve">pso</t>
  </si>
  <si>
    <t xml:space="preserve">Sea Water Pressure at Sea Water Surface</t>
  </si>
  <si>
    <t xml:space="preserve">Not available in NEMO.</t>
  </si>
  <si>
    <t xml:space="preserve">The surface called 'surface' means the lower boundary of the atmosphere.  'Sea water pressure' is the pressure that exists in the medium of sea water.  It includes the pressure due to overlying sea water, sea ice, air and any other medium that may be present.</t>
  </si>
  <si>
    <t xml:space="preserve">AerChemMIP,C4MIP,CMIP,DAMIP,GMMIP,GeoMIP,HighResMIP,LS3MIP,OMIP,VIACSAB</t>
  </si>
  <si>
    <t xml:space="preserve">dissicabioos</t>
  </si>
  <si>
    <t xml:space="preserve">Surface Abiotic Dissolved Inorganic Carbon Concentration</t>
  </si>
  <si>
    <t xml:space="preserve">AerChemMIP,C4MIP,CMIP,GMMIP,GeoMIP,HighResMIP,LS3MIP,OMIP</t>
  </si>
  <si>
    <t xml:space="preserve">dissi13cos</t>
  </si>
  <si>
    <t xml:space="preserve">Surface Dissolved Inorganic 13Carbon Concentration</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</si>
  <si>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</si>
  <si>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</si>
  <si>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</si>
  <si>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AerChemMIP,C4MIP,CMIP,DAMIP,DCPP,GMMIP,GeoMIP,HighResMIP,LS3MIP,OMIP,VolMIP</t>
  </si>
  <si>
    <t xml:space="preserve">AerChemMIP,C4MIP,CMIP,DAMIP,GMMIP,GeoMIP,HighResMIP,LS3MIP,OMIP,VolMIP</t>
  </si>
  <si>
    <t xml:space="preserve">msftyrho</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</si>
  <si>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</si>
  <si>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</si>
  <si>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</si>
  <si>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</si>
  <si>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</si>
  <si>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t>
  </si>
  <si>
    <t xml:space="preserve">CMIP5 called this 'due to Bolus Advection'.  Name change respects the more general physics of the mesoscale parameterizations.</t>
  </si>
  <si>
    <t xml:space="preserve">AerChemMIP,C4MIP,CMIP,DAMIP,DCPP,GMMIP,GeoMIP,HighResMIP,LS3MIP,OMIP</t>
  </si>
  <si>
    <t xml:space="preserve">msftmrhompa</t>
  </si>
  <si>
    <t xml:space="preserve">msftyzmpa</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</si>
  <si>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</si>
  <si>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</si>
  <si>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</si>
  <si>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</si>
  <si>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Report only if there is a submesoscale eddy parameterization.</t>
  </si>
  <si>
    <t xml:space="preserve">msftyzsmpa</t>
  </si>
  <si>
    <t xml:space="preserve">ocean Y overturning mass streamfunction due to parameterized submesoscale advection</t>
  </si>
  <si>
    <t xml:space="preserve">hfbasinpmdiff</t>
  </si>
  <si>
    <t xml:space="preserve">latitude basin time</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</si>
  <si>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</si>
  <si>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</si>
  <si>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</si>
  <si>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</si>
  <si>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</si>
  <si>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</si>
  <si>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</si>
  <si>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</si>
  <si>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</si>
  <si>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</si>
  <si>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</si>
  <si>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</si>
  <si>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</si>
  <si>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</si>
  <si>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</si>
  <si>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</si>
  <si>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</si>
  <si>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</si>
  <si>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</si>
  <si>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</si>
  <si>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</si>
  <si>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</si>
  <si>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</si>
  <si>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</si>
  <si>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</si>
  <si>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</si>
  <si>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</si>
  <si>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</si>
  <si>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</si>
  <si>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</si>
  <si>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</si>
  <si>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</si>
  <si>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</si>
  <si>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</si>
  <si>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AerChemMIP,C4MIP,CMIP,GMMIP,GeoMIP,HighResMIP,LS3MIP,OMIP,VolMIP</t>
  </si>
  <si>
    <t xml:space="preserve">tauucorr</t>
  </si>
  <si>
    <t xml:space="preserve">Surface Downward X Stress Correction</t>
  </si>
  <si>
    <t xml:space="preserve">Not available in NEMO-OPA.</t>
  </si>
  <si>
    <t xml:space="preserve">This is the stress on the liquid ocean from overlying atmosphere, sea ice, ice shelf, etc.</t>
  </si>
  <si>
    <t xml:space="preserve">tauvcorr</t>
  </si>
  <si>
    <t xml:space="preserve">Surface Downward Y Stress Correction</t>
  </si>
  <si>
    <t xml:space="preserve">AerChemMIP,C4MIP,CMIP,GMMIP,GeoMIP,HighResMIP,LS3MIP,LUMIP,OMIP</t>
  </si>
  <si>
    <t xml:space="preserve">intparag</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</si>
  <si>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</si>
  <si>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</si>
  <si>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</si>
  <si>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</si>
  <si>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</si>
  <si>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</si>
  <si>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</si>
  <si>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Downward Flux of Aragonite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</si>
  <si>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</si>
  <si>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intdoc</t>
  </si>
  <si>
    <t xml:space="preserve">Dissolved Organic Carbon Content</t>
  </si>
  <si>
    <t xml:space="preserve">Vertically integrated DOC (explicit pools only)</t>
  </si>
  <si>
    <t xml:space="preserve">spco2abio</t>
  </si>
  <si>
    <t xml:space="preserve">longitude latitude time depth0m</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</si>
  <si>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</si>
  <si>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</si>
  <si>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</si>
  <si>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</si>
  <si>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</si>
  <si>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</si>
  <si>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frn</t>
  </si>
  <si>
    <t xml:space="preserve">Nitrogen Loss to Sediments and through Denitrification</t>
  </si>
  <si>
    <t xml:space="preserve">'Content'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</si>
  <si>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</si>
  <si>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</si>
  <si>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</si>
  <si>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</si>
  <si>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</si>
  <si>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</si>
  <si>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</si>
  <si>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</si>
  <si>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</si>
  <si>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</si>
  <si>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</si>
  <si>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</si>
  <si>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</si>
  <si>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</si>
  <si>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</si>
  <si>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</si>
  <si>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</si>
  <si>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Phosphate</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</si>
  <si>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</si>
  <si>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</si>
  <si>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</si>
  <si>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</si>
  <si>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</si>
  <si>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</si>
  <si>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</si>
  <si>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</si>
  <si>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</si>
  <si>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</si>
  <si>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</si>
  <si>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</si>
  <si>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</si>
  <si>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</si>
  <si>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</si>
  <si>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</si>
  <si>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</si>
  <si>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</si>
  <si>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</si>
  <si>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</si>
  <si>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</si>
  <si>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</si>
  <si>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</si>
  <si>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</si>
  <si>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</si>
  <si>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</si>
  <si>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phypico</t>
  </si>
  <si>
    <t xml:space="preserve">Mole Concentration of Picophytoplankton expressed as Carbon in sea water</t>
  </si>
  <si>
    <t xml:space="preserve">carbon concentration from the picophytoplankton (&lt;2 um) component alone</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</si>
  <si>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</si>
  <si>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</si>
  <si>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</si>
  <si>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</si>
  <si>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</si>
  <si>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</si>
  <si>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</si>
  <si>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photoloysis rate of O3</t>
  </si>
  <si>
    <t xml:space="preserve">Not available. Not available in IFS. TM5 can produce this, but not in stratosphere. So skip.</t>
  </si>
  <si>
    <t xml:space="preserve">sum of rates o3 -&gt; o1d+o2 and o3 -&gt; o+o2</t>
  </si>
  <si>
    <t xml:space="preserve">jo2</t>
  </si>
  <si>
    <t xml:space="preserve">photoloysis rate of O2</t>
  </si>
  <si>
    <t xml:space="preserve">Not available. Not available in IFS. Not available in TM5.</t>
  </si>
  <si>
    <t xml:space="preserve">Rate of photolysis of molecular oxygen to atomic oxygen (o2 -&gt; o1d+o)</t>
  </si>
  <si>
    <t xml:space="preserve">oxprod</t>
  </si>
  <si>
    <t xml:space="preserve">total Ox production rate</t>
  </si>
  <si>
    <t xml:space="preserve">total production rate of o+o1d+o3 including o2 photolysis and all o3 producing reactions</t>
  </si>
  <si>
    <t xml:space="preserve">oxloss</t>
  </si>
  <si>
    <t xml:space="preserve">total Ox loss rate</t>
  </si>
  <si>
    <t xml:space="preserve">total chemical loss rate for o+o1d+o3</t>
  </si>
  <si>
    <t xml:space="preserve">vmrox</t>
  </si>
  <si>
    <t xml:space="preserve">mole fraction of o and o3 and o1d</t>
  </si>
  <si>
    <t xml:space="preserve">Mole Fraction of Ox</t>
  </si>
  <si>
    <t xml:space="preserve">DynVar,VolMIP</t>
  </si>
  <si>
    <t xml:space="preserve">tntrl</t>
  </si>
  <si>
    <t xml:space="preserve">Longwave heating rate</t>
  </si>
  <si>
    <t xml:space="preserve">Not available in IFS output without additional effort. Only total heating rate due to radiation.</t>
  </si>
  <si>
    <t xml:space="preserve">Tendency of air temperature due to longwave radiative heating</t>
  </si>
  <si>
    <t xml:space="preserve">tntrs</t>
  </si>
  <si>
    <t xml:space="preserve">Shortwave heating rate</t>
  </si>
  <si>
    <t xml:space="preserve">Tendency of air temperature due to shortwave radiative heating</t>
  </si>
  <si>
    <t xml:space="preserve">tntrlcs</t>
  </si>
  <si>
    <t xml:space="preserve">Tendency of Air Temperature due to Clear Sky Longwave Radiative Heating</t>
  </si>
  <si>
    <t xml:space="preserve">tntrscs</t>
  </si>
  <si>
    <t xml:space="preserve">Tendency of Air Temperature due to Clear Sky Shortwave Radiative Heating</t>
  </si>
  <si>
    <t xml:space="preserve">tntscp</t>
  </si>
  <si>
    <t xml:space="preserve">Tendency of Air Temperature Due to Stratiform Clouds and Precipitation</t>
  </si>
  <si>
    <t xml:space="preserve">DAMIP,DCPP,DynVar,HighResMIP,VolMIP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</si>
  <si>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</si>
  <si>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</si>
  <si>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</si>
  <si>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</si>
  <si>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</si>
  <si>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AerChemMIP,C4MIP,CFMIP,CMIP,DAMIP,FAFMIP,GMMIP,GeoMIP,HighResMIP,LS3MIP,LUMIP,RFMIP,VIACSAB,VolMIP</t>
  </si>
  <si>
    <t xml:space="preserve">n2o</t>
  </si>
  <si>
    <t xml:space="preserve">longitude latitude plev19 time</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</si>
  <si>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</si>
  <si>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</si>
  <si>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</si>
  <si>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</si>
  <si>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AerChemMIP,C4MIP,CFMIP,CMIP,DAMIP,FAFMIP,GMMIP,GeoMIP,HighResMIP,LS3MIP,LUMIP,PMIP,RFMIP,VolMIP</t>
  </si>
  <si>
    <t xml:space="preserve">n2oClim</t>
  </si>
  <si>
    <t xml:space="preserve">longitude latitude plev19 time2</t>
  </si>
  <si>
    <t xml:space="preserve">Not available in the AOGCM, neither in TM5.</t>
  </si>
  <si>
    <t xml:space="preserve">Twan, Tommi Bergman</t>
  </si>
  <si>
    <t xml:space="preserve">n2oglobal</t>
  </si>
  <si>
    <t xml:space="preserve">time</t>
  </si>
  <si>
    <t xml:space="preserve">Global Mean Mole Fraction of N2O</t>
  </si>
  <si>
    <t xml:space="preserve">Global mean Nitrous Oxide (N2O)</t>
  </si>
  <si>
    <t xml:space="preserve">n2oglobalClim</t>
  </si>
  <si>
    <t xml:space="preserve">time2</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</si>
  <si>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</si>
  <si>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</si>
  <si>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</si>
  <si>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</si>
  <si>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</si>
  <si>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</si>
  <si>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</si>
  <si>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</si>
  <si>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</si>
  <si>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</si>
  <si>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</si>
  <si>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</si>
  <si>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Tracer age of air Northern Hemisphere</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</si>
  <si>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</si>
  <si>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</si>
  <si>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</si>
  <si>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</si>
  <si>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</si>
  <si>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Mole fraction is used in the construction mole_fraction_of_X_in_Y, where X is a material constituent of Y.</t>
  </si>
  <si>
    <t xml:space="preserve">ccn</t>
  </si>
  <si>
    <t xml:space="preserve">cloud condensation nuclei concentration at liquid cloud top</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</si>
  <si>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</si>
  <si>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</si>
  <si>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</si>
  <si>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</si>
  <si>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</si>
  <si>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</si>
  <si>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</si>
  <si>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</si>
  <si>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</si>
  <si>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</si>
  <si>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</si>
  <si>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</si>
  <si>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</si>
  <si>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</si>
  <si>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</si>
  <si>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</si>
  <si>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</si>
  <si>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</si>
  <si>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</si>
  <si>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</si>
  <si>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</si>
  <si>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</si>
  <si>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</si>
  <si>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</si>
  <si>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</si>
  <si>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</si>
  <si>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N2O volume mixing ratio</t>
  </si>
  <si>
    <t xml:space="preserve">od550bb</t>
  </si>
  <si>
    <t xml:space="preserve">bb aod@550nm</t>
  </si>
  <si>
    <t xml:space="preserve">total organic aerosol AOD due to biomass burning (excluding so4, nitrate BB components)</t>
  </si>
  <si>
    <t xml:space="preserve">AerChemMIP,DAMIP,HighResMIP,RFMIP</t>
  </si>
  <si>
    <t xml:space="preserve">photo1d</t>
  </si>
  <si>
    <t xml:space="preserve">photolysis rate of O3 to O1d</t>
  </si>
  <si>
    <t xml:space="preserve">proposed name: photolysis_rate_of_ozone_to_O1D</t>
  </si>
  <si>
    <t xml:space="preserve">pod0</t>
  </si>
  <si>
    <t xml:space="preserve">Phytotoxic ozone dose</t>
  </si>
  <si>
    <t xml:space="preserve">Not available in TM5.</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</si>
  <si>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</si>
  <si>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</si>
  <si>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</si>
  <si>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</si>
  <si>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</si>
  <si>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</si>
  <si>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AerChemMIP,DAMIP,GeoMIP,HighResMIP</t>
  </si>
  <si>
    <t xml:space="preserve">AerChemMIP,CFMIP,DAMIP,PMIP</t>
  </si>
  <si>
    <t xml:space="preserve">AerChemMIP,CFMIP,DAMIP</t>
  </si>
  <si>
    <t xml:space="preserve">ttop</t>
  </si>
  <si>
    <t xml:space="preserve">air temperature at cloud top</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</si>
  <si>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</si>
  <si>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</si>
  <si>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</si>
  <si>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</si>
  <si>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</si>
  <si>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</si>
  <si>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</si>
  <si>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</si>
  <si>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</si>
  <si>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</si>
  <si>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</si>
  <si>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</si>
  <si>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</si>
  <si>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</si>
  <si>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</si>
  <si>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</si>
  <si>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albdirbnd</t>
  </si>
  <si>
    <t xml:space="preserve">Direct surface albedo for each band</t>
  </si>
  <si>
    <t xml:space="preserve">solbnd</t>
  </si>
  <si>
    <t xml:space="preserve">Top-of-Atmosphere Solar Insolation for each band</t>
  </si>
  <si>
    <t xml:space="preserve">Solar irradiance at a horizontal surface at top of atmosphere.</t>
  </si>
  <si>
    <t xml:space="preserve">aeroptbnd</t>
  </si>
  <si>
    <t xml:space="preserve">longitude latitude alevel spectband time1</t>
  </si>
  <si>
    <t xml:space="preserve">Aerosol level extinction optical depth for each band</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</si>
  <si>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t>
  </si>
  <si>
    <t xml:space="preserve">aerssabnd</t>
  </si>
  <si>
    <t xml:space="preserve">Aerosol level single-scattering albedo for each band</t>
  </si>
  <si>
    <t xml:space="preserve">'Single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</si>
  <si>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aerasymbnd</t>
  </si>
  <si>
    <t xml:space="preserve">Aerosol level asymmetry parameter for each band</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</si>
  <si>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</si>
  <si>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</si>
  <si>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</si>
  <si>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</si>
  <si>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</si>
  <si>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</si>
  <si>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</si>
  <si>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</si>
  <si>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</si>
  <si>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</si>
  <si>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</si>
  <si>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</si>
  <si>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</si>
  <si>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</si>
  <si>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</si>
  <si>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</si>
  <si>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alevel time1</t>
  </si>
  <si>
    <t xml:space="preserve">Upwelling Clean-Clear-Sky Shortwave Radiation at each level</t>
  </si>
  <si>
    <t xml:space="preserve">Calculated in the absence of aerosols and clouds (following Ghan). This requires a double-call in the radiation code with precisely the same meteorology.</t>
  </si>
  <si>
    <t xml:space="preserve">rsdcsaf</t>
  </si>
  <si>
    <t xml:space="preserve">Downwelling Clean-Clear-Sky Shortwave Radiation at each level</t>
  </si>
  <si>
    <t xml:space="preserve">rsucsafbnd</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</si>
  <si>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</si>
  <si>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</si>
  <si>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</si>
  <si>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</si>
  <si>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</si>
  <si>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</si>
  <si>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</si>
  <si>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alevhalf time1</t>
  </si>
  <si>
    <t xml:space="preserve">Esubhr</t>
  </si>
  <si>
    <t xml:space="preserve">AERday</t>
  </si>
  <si>
    <t xml:space="preserve">ua10</t>
  </si>
  <si>
    <t xml:space="preserve">longitude latitude time p10</t>
  </si>
  <si>
    <t xml:space="preserve">Eastward Wind at 10 hPa</t>
  </si>
  <si>
    <t xml:space="preserve">Available in IFS, but maybe not so relevant because TM5 doesn't simulate stratospheric ozone</t>
  </si>
  <si>
    <t xml:space="preserve">Zonal wind on the 10 hPa surface</t>
  </si>
  <si>
    <t xml:space="preserve">zg10</t>
  </si>
  <si>
    <t xml:space="preserve">Geopotential Height at 10 hPa</t>
  </si>
  <si>
    <t xml:space="preserve">Maybe available in IFS, but maybe not so relevant because TM5 doesn't simulate stratospheric ozone</t>
  </si>
  <si>
    <t xml:space="preserve">Geopotential height on the 10 hPa surface</t>
  </si>
  <si>
    <t xml:space="preserve">zg100</t>
  </si>
  <si>
    <t xml:space="preserve">longitude latitude time p100</t>
  </si>
  <si>
    <t xml:space="preserve">Geopotential Height at 100 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</si>
  <si>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</si>
  <si>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</si>
  <si>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</si>
  <si>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</si>
  <si>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</si>
  <si>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</si>
  <si>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CMIP,FAFMIP,HighResMIP,LUMIP,RFMIP,VIACSAB</t>
  </si>
  <si>
    <t xml:space="preserve">tnpeot</t>
  </si>
  <si>
    <t xml:space="preserve">Tendency of Ocean Potential Energy Content due to Tides</t>
  </si>
  <si>
    <t xml:space="preserve">tnpeotb</t>
  </si>
  <si>
    <t xml:space="preserve">Tendency of Ocean Potential Energy Content due to Background</t>
  </si>
  <si>
    <t xml:space="preserve">difvmbo</t>
  </si>
  <si>
    <t xml:space="preserve">Ocean Vertical Momentum Diffusivity due to Background</t>
  </si>
  <si>
    <t xml:space="preserve">difvmfdo</t>
  </si>
  <si>
    <t xml:space="preserve">Ocean Vertical Momentum Diffusivity due to Form Drag</t>
  </si>
  <si>
    <t xml:space="preserve">Ofx</t>
  </si>
  <si>
    <t xml:space="preserve">volcello</t>
  </si>
  <si>
    <t xml:space="preserve">longitude latitude olevel</t>
  </si>
  <si>
    <t xml:space="preserve">Ocean Grid-Cell Volume</t>
  </si>
  <si>
    <t xml:space="preserve">grid-cell volume ca. 2000.</t>
  </si>
  <si>
    <t xml:space="preserve">AerChemMIP,C4MIP,CMIP,DCPP,GMMIP,GeoMIP,LUMIP,OMIP,PMIP</t>
  </si>
  <si>
    <t xml:space="preserve">6hrPlevPt</t>
  </si>
  <si>
    <t xml:space="preserve">wbptemp7h</t>
  </si>
  <si>
    <t xml:space="preserve">longitude latitude plev7h time1</t>
  </si>
  <si>
    <t xml:space="preserve">wet_bulb_potential_temperature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</si>
  <si>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</si>
  <si>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</si>
  <si>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</si>
  <si>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</si>
  <si>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</si>
  <si>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</si>
  <si>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</si>
  <si>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</si>
  <si>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</si>
  <si>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</si>
  <si>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</si>
  <si>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</si>
  <si>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</si>
  <si>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</si>
  <si>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DCPP,PMIP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</si>
  <si>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</si>
  <si>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</si>
  <si>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</si>
  <si>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</si>
  <si>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</si>
  <si>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</si>
  <si>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</si>
  <si>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</si>
  <si>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</si>
  <si>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</si>
  <si>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</si>
  <si>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minimum near-surface (usually, 2 meter) relative humidity (add cell_method attribute 'time: min')</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</si>
  <si>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</si>
  <si>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</si>
  <si>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</si>
  <si>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</si>
  <si>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</si>
  <si>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</si>
  <si>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</si>
  <si>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</si>
  <si>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</si>
  <si>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Not available</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</si>
  <si>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</si>
  <si>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</si>
  <si>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</si>
  <si>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</si>
  <si>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</si>
  <si>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 hPa as monthly means derived from daily (or higher frequency) fields.</t>
  </si>
  <si>
    <t xml:space="preserve">CF3hr</t>
  </si>
  <si>
    <t xml:space="preserve">longitude latitude time1</t>
  </si>
  <si>
    <t xml:space="preserve">E3hr</t>
  </si>
  <si>
    <t xml:space="preserve">gpp</t>
  </si>
  <si>
    <t xml:space="preserve">Carbon Mass Flux out of Atmosphere due to Gross Primary Production on Land</t>
  </si>
  <si>
    <t xml:space="preserve">Can not be produced by LPJ-GUESS: Finest timestep in LPJ-GUESS is day, so GPP is already reported on that timestep</t>
  </si>
  <si>
    <t xml:space="preserve">ra</t>
  </si>
  <si>
    <t xml:space="preserve">Carbon Mass Flux into Atmosphere due to Autotrophic (Plant) Respiration on Land</t>
  </si>
  <si>
    <t xml:space="preserve">Can not be produced by LPJ-GUESS: Finest timestep in LPJ-GUESS is day, so RA is already reported on that timestep</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</si>
  <si>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</si>
  <si>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</si>
  <si>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</si>
  <si>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Can not be produced by LPJ-GUESS: Finest timestep in LPJ-GUESS is day, so RH is already reported on that timestep</t>
  </si>
  <si>
    <t xml:space="preserve">Carbon mass flux per unit area into atmosphere due to heterotrophic respiration on land (respiration by consumers)</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</si>
  <si>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</si>
  <si>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</si>
  <si>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</si>
  <si>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</si>
  <si>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</si>
  <si>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</si>
  <si>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 field of transported CO2</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</si>
  <si>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</si>
  <si>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</si>
  <si>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</si>
  <si>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</si>
  <si>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</si>
  <si>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</si>
  <si>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</si>
  <si>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</si>
  <si>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</si>
  <si>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</si>
  <si>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'Content' indicates a quantity per unit area. 'Vegetation' means any living plants e.g. trees, shrubs, grass. 'C' means the element carbon and '14C' is the radioactive isotope 'carbon-14', having six protons and eight neutrons and used in radiocarbon dating.</t>
  </si>
  <si>
    <t xml:space="preserve">C4MIP,LUMIP,PMIP</t>
  </si>
  <si>
    <t xml:space="preserve">c14Litter</t>
  </si>
  <si>
    <t xml:space="preserve">Mass of 14C in Litter Pool</t>
  </si>
  <si>
    <t xml:space="preserve">'Content' indicates a quantity per unit area. 'Litter' is dead plant material in or above the soil. 'C' means the element carbon and '14C' is the radioactive isotope 'carbon-14', having six protons and eight neutrons and used in radiocarbon dating.</t>
  </si>
  <si>
    <t xml:space="preserve">c14Soil</t>
  </si>
  <si>
    <t xml:space="preserve">Mass of 14C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</si>
  <si>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'14C' is the radioactive isotope 'carbon-14', having six protons and eight neutrons and used in radiocarbon dating.</t>
  </si>
  <si>
    <t xml:space="preserve">c13Veg</t>
  </si>
  <si>
    <t xml:space="preserve">Mass of 13C in Vegetation</t>
  </si>
  <si>
    <t xml:space="preserve">'Content' indicates a quantity per unit area. 'Vegetation' means any living plants e.g. trees, shrubs, grass. 'C' means the element carbon and '13C' is the stable isotope 'carbon-13', having six protons and seven neutrons.</t>
  </si>
  <si>
    <t xml:space="preserve">c13Litter</t>
  </si>
  <si>
    <t xml:space="preserve">Mass of 13C in Litter Pool</t>
  </si>
  <si>
    <t xml:space="preserve">'Content' indicates a quantity per unit area. 'Litter' is dead plant material in or above the soil. 'C' means the element carbon and '13C' is the stable isotope 'carbon-13', having six protons and seven neutrons.</t>
  </si>
  <si>
    <t xml:space="preserve">c13Soil</t>
  </si>
  <si>
    <t xml:space="preserve">Mass of 13C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</si>
  <si>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'13C' is the stable isotope 'carbon-13', having six protons and seven neutrons.</t>
  </si>
  <si>
    <t xml:space="preserve">c13Land</t>
  </si>
  <si>
    <t xml:space="preserve">Mass of 13C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</si>
  <si>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'13C' is the stable isotope 'carbon-13', having six protons and seven neutrons.</t>
  </si>
  <si>
    <t xml:space="preserve">rac14</t>
  </si>
  <si>
    <t xml:space="preserve">Mass Flux of 14C into Atmosphere due to Autotrophic (Plant) Respiration on Land</t>
  </si>
  <si>
    <t xml:space="preserve">rhc13</t>
  </si>
  <si>
    <t xml:space="preserve">Mass Flux of 13C into Atmosphere due to Heterotrophic Respiration on Land</t>
  </si>
  <si>
    <t xml:space="preserve">dissi14c</t>
  </si>
  <si>
    <t xml:space="preserve">Concentration of DI14C</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</si>
  <si>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</si>
  <si>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</si>
  <si>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</si>
  <si>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</si>
  <si>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</si>
  <si>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</si>
  <si>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</si>
  <si>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</si>
  <si>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</si>
  <si>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 from surface.</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</si>
  <si>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</si>
  <si>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</si>
  <si>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</si>
  <si>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Total water storage in a grid cell</t>
  </si>
  <si>
    <t xml:space="preserve">Can not be produced by LPJ-GUESS: Don't have water stirage for anything else than for soil</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</si>
  <si>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</si>
  <si>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</si>
  <si>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</si>
  <si>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</si>
  <si>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</si>
  <si>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</si>
  <si>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</si>
  <si>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</si>
  <si>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</si>
  <si>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</si>
  <si>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</si>
  <si>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'Content' indicates a quantity per unit area. 'Litter carbon' is dead inorganic material in or above the soil quantified as the mass of carbon which it contains.</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</si>
  <si>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</si>
  <si>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</si>
  <si>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</si>
  <si>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</si>
  <si>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</si>
  <si>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</si>
  <si>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</si>
  <si>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</si>
  <si>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</si>
  <si>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</si>
  <si>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</si>
  <si>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</si>
  <si>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</si>
  <si>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</si>
  <si>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</si>
  <si>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</si>
  <si>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</si>
  <si>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</si>
  <si>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discretaisation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</si>
  <si>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</si>
  <si>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</si>
  <si>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</si>
  <si>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</si>
  <si>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</si>
  <si>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</si>
  <si>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</si>
  <si>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</si>
  <si>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</si>
  <si>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</si>
  <si>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</si>
  <si>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</si>
  <si>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</si>
  <si>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allcoated to stem</t>
  </si>
  <si>
    <t xml:space="preserve">Can not be produced by LPJ-GUESS: Not possible</t>
  </si>
  <si>
    <t xml:space="preserve">added for completeness with npp_root</t>
  </si>
  <si>
    <t xml:space="preserve">nppOther</t>
  </si>
  <si>
    <t xml:space="preserve">net primary production allcoated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</si>
  <si>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</si>
  <si>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</si>
  <si>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</si>
  <si>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gridcell</t>
  </si>
  <si>
    <t xml:space="preserve">nppShrub</t>
  </si>
  <si>
    <t xml:space="preserve">net primary production on Shrub tiles</t>
  </si>
  <si>
    <t xml:space="preserve">Total NPP of shrubs in the gridcell</t>
  </si>
  <si>
    <t xml:space="preserve">raShrub</t>
  </si>
  <si>
    <t xml:space="preserve">autotrophic respiration on Shrub tiles</t>
  </si>
  <si>
    <t xml:space="preserve">Total RA of shrubs in the gridcell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</si>
  <si>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</si>
  <si>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</si>
  <si>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</si>
  <si>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gridcell</t>
  </si>
  <si>
    <t xml:space="preserve">rhShrub</t>
  </si>
  <si>
    <t xml:space="preserve">heterotrophic respiration on Shrub tiles</t>
  </si>
  <si>
    <t xml:space="preserve">Total RH of shrubs in the gridcell</t>
  </si>
  <si>
    <t xml:space="preserve">rhGrass</t>
  </si>
  <si>
    <t xml:space="preserve">heterotrophic respiration on grass tiles</t>
  </si>
  <si>
    <t xml:space="preserve">Total RH of grass in the gridcell</t>
  </si>
  <si>
    <t xml:space="preserve">vegHeightGrass</t>
  </si>
  <si>
    <t xml:space="preserve">Vegetation height averaged over the grass fraction of a grid cell.</t>
  </si>
  <si>
    <t xml:space="preserve">Can not be produced by LPJ-GUESS: grass doesn't have a height</t>
  </si>
  <si>
    <t xml:space="preserve">vegHeightShrub</t>
  </si>
  <si>
    <t xml:space="preserve">Vegetation height averaged over the shrub fraction of a grid cell.</t>
  </si>
  <si>
    <t xml:space="preserve">vegHeightCrop</t>
  </si>
  <si>
    <t xml:space="preserve">Vegetation height averaged over the crop fraction of a grid cell.</t>
  </si>
  <si>
    <t xml:space="preserve">Can not be produced by LPJ-GUESS: crop doesn't have a height</t>
  </si>
  <si>
    <t xml:space="preserve">vegHeightPasture</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</si>
  <si>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</si>
  <si>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</si>
  <si>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</si>
  <si>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</si>
  <si>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wetlandCH4cons</t>
  </si>
  <si>
    <t xml:space="preserve">Grid averaged methane consuption (methanotrophy) from wetlands</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</si>
  <si>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methane is CH4. The mass is the total mass of the molecules. The specification of a physical process by the phrase 'due_to_' process means that the quantity named is a single term in a sum of terms which together compose the general quantity named by omitting the phrase. Wetlands are areas where water covers the soil, or is present either at or near the surface of the soil all year or for varying periods of time during the year, including during the growing season. The precise conditions under which wetlands produce and consume methane can vary between models.</t>
  </si>
  <si>
    <t xml:space="preserve">fN2O</t>
  </si>
  <si>
    <t xml:space="preserve">Total land N2O flux</t>
  </si>
  <si>
    <t xml:space="preserve">fNOx</t>
  </si>
  <si>
    <t xml:space="preserve">Total land NOx flux</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</si>
  <si>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</si>
  <si>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</si>
  <si>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</si>
  <si>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</si>
  <si>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GeoMIP</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</si>
  <si>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</si>
  <si>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</si>
  <si>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</si>
  <si>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</si>
  <si>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AerChemMIP,CMIP,FAFMIP,GMMIP,GeoMIP,HighResMIP,LS3MIP,RFMIP,VolMIP</t>
  </si>
  <si>
    <t xml:space="preserve">tasLut</t>
  </si>
  <si>
    <t xml:space="preserve">longitude latitude landUse time height2m</t>
  </si>
  <si>
    <t xml:space="preserve">near-surface air temperature (2m above displacement height, i.e. t_ref)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</si>
  <si>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</si>
  <si>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</si>
  <si>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</si>
  <si>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</si>
  <si>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</si>
  <si>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</si>
  <si>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</si>
  <si>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</si>
  <si>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</si>
  <si>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 use tile</t>
  </si>
  <si>
    <t xml:space="preserve">Normally, the specific humidity should be reported at the 2 meter height</t>
  </si>
  <si>
    <t xml:space="preserve">hflsLut</t>
  </si>
  <si>
    <t xml:space="preserve">latent heat flux on land 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</si>
  <si>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</si>
  <si>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</si>
  <si>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 use tile</t>
  </si>
  <si>
    <t xml:space="preserve">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</si>
  <si>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rsusLut</t>
  </si>
  <si>
    <t xml:space="preserve">Surface Upwelling Shortwave  on Land 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</si>
  <si>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</si>
  <si>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</si>
  <si>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 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</si>
  <si>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</si>
  <si>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</si>
  <si>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 use tile</t>
  </si>
  <si>
    <t xml:space="preserve">fahLut</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</si>
  <si>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</si>
  <si>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</si>
  <si>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O18p</t>
  </si>
  <si>
    <t xml:space="preserve">18O in total precipitation</t>
  </si>
  <si>
    <t xml:space="preserve">Roche - LSCE</t>
  </si>
  <si>
    <t xml:space="preserve">PMIP</t>
  </si>
  <si>
    <t xml:space="preserve">O18s</t>
  </si>
  <si>
    <t xml:space="preserve">18O in solid precipitation</t>
  </si>
  <si>
    <t xml:space="preserve">H2p</t>
  </si>
  <si>
    <t xml:space="preserve">2H in total precipitation</t>
  </si>
  <si>
    <t xml:space="preserve">H2s</t>
  </si>
  <si>
    <t xml:space="preserve">2H in solid precipitation</t>
  </si>
  <si>
    <t xml:space="preserve">O17p</t>
  </si>
  <si>
    <t xml:space="preserve">17O in total precipitation</t>
  </si>
  <si>
    <t xml:space="preserve">O17s</t>
  </si>
  <si>
    <t xml:space="preserve">17O in solid precipitation</t>
  </si>
  <si>
    <t xml:space="preserve">O18wv</t>
  </si>
  <si>
    <t xml:space="preserve">O18 in water vapor</t>
  </si>
  <si>
    <t xml:space="preserve">O17wv</t>
  </si>
  <si>
    <t xml:space="preserve">O17 in water vapor</t>
  </si>
  <si>
    <t xml:space="preserve">H2wv</t>
  </si>
  <si>
    <t xml:space="preserve">H2 in water vapor</t>
  </si>
  <si>
    <t xml:space="preserve">C4MIP,DAMIP,HighResMIP,LUMIP,PMIP</t>
  </si>
  <si>
    <t xml:space="preserve">wetlandFrac</t>
  </si>
  <si>
    <t xml:space="preserve">longitude latitude time typewetla</t>
  </si>
  <si>
    <t xml:space="preserve">Fraction of a grid cell covered by wetland.</t>
  </si>
  <si>
    <t xml:space="preserve">Report only one year if specified fraction is used, or time series if values are determined dynamically.</t>
  </si>
  <si>
    <t xml:space="preserve">c14Land</t>
  </si>
  <si>
    <t xml:space="preserve">Mass of 14C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</si>
  <si>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'14C' is the radioactive isotope 'carbon-14', having six protons and eight neutrons and used in radiocarbon dating.</t>
  </si>
  <si>
    <t xml:space="preserve">wetlandCH4</t>
  </si>
  <si>
    <t xml:space="preserve">Grid averaged methane emissions from wetlands</t>
  </si>
  <si>
    <t xml:space="preserve">gppc14</t>
  </si>
  <si>
    <t xml:space="preserve">Mass Flux of 14C out of Atmosphere due to Gross Primary Production on Land</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</si>
  <si>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</si>
  <si>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</si>
  <si>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</si>
  <si>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</si>
  <si>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gppc13</t>
  </si>
  <si>
    <t xml:space="preserve">Mass Flux of 13C out of Atmosphere due to Gross Primary Production on Land</t>
  </si>
  <si>
    <t xml:space="preserve">rac13</t>
  </si>
  <si>
    <t xml:space="preserve">Mass Flux of 13C into Atmosphere due to Autotrophic (Plant) Respiration on Land</t>
  </si>
  <si>
    <t xml:space="preserve">netAtmosLandC13Flux</t>
  </si>
  <si>
    <t xml:space="preserve">Net Mass Flux of 13C between atmosphere and land (positive into land) as a result of all processes.</t>
  </si>
  <si>
    <t xml:space="preserve">fg14co2</t>
  </si>
  <si>
    <t xml:space="preserve">Total air-sea flux of 14CO2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</si>
  <si>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Carbon14 is a radioactive isotope of carbon having six protons and eight neutrons, used in radiocarbon dating.</t>
  </si>
  <si>
    <t xml:space="preserve">od550so4so</t>
  </si>
  <si>
    <t xml:space="preserve">Stratospheric Optical depth at 550 nm (sulphate only) 2D-field (here we limit the computation of OD to the stratosphere only)</t>
  </si>
  <si>
    <t xml:space="preserve">Not available.</t>
  </si>
  <si>
    <t xml:space="preserve">Balkanski - LSCE</t>
  </si>
  <si>
    <t xml:space="preserve">swtoacsdust</t>
  </si>
  <si>
    <t xml:space="preserve">clear sky sw-rf dust at toa</t>
  </si>
  <si>
    <t xml:space="preserve">Not available in IFS or TM5</t>
  </si>
  <si>
    <t xml:space="preserve">proposed name: toa_instantaneous_shortwave_forcing_due_to_dust_ambient_aerosol_assuming_clear_sky</t>
  </si>
  <si>
    <t xml:space="preserve">swtoaasdust</t>
  </si>
  <si>
    <t xml:space="preserve">all sky sw-rf dust at toa</t>
  </si>
  <si>
    <t xml:space="preserve">proposed name: toa_instantaneous_shortwave_forcing_due_to_dust_ambient_aerosol</t>
  </si>
  <si>
    <t xml:space="preserve">lwtoaasdust</t>
  </si>
  <si>
    <t xml:space="preserve">all sky lw-rf dust at toa</t>
  </si>
  <si>
    <t xml:space="preserve">proposed name: toa_instantaneous_longwave_forcing_due_to_dust_ambient_aerosol</t>
  </si>
  <si>
    <t xml:space="preserve">lwtoacsaer</t>
  </si>
  <si>
    <t xml:space="preserve">clear sky lw-rf aerosols at toa</t>
  </si>
  <si>
    <t xml:space="preserve">proposed name: toa_instantaneous_longwave_forcing_due_to_ambient_aerosol_assuming_clear_sky</t>
  </si>
  <si>
    <t xml:space="preserve">od443dust</t>
  </si>
  <si>
    <t xml:space="preserve">Optical thickness at 443 nm Dust</t>
  </si>
  <si>
    <t xml:space="preserve">Not available in TM5. Although it would be possible at a very near frequency.</t>
  </si>
  <si>
    <t xml:space="preserve">od865dust</t>
  </si>
  <si>
    <t xml:space="preserve">Optical thickness at 865 nm Dust</t>
  </si>
  <si>
    <t xml:space="preserve">lwtoacsdust</t>
  </si>
  <si>
    <t xml:space="preserve">Clear-sky TOA Longwave radiative flux due to Dust</t>
  </si>
  <si>
    <t xml:space="preserve">swsrfcsdust</t>
  </si>
  <si>
    <t xml:space="preserve">Clear-sky Surface Shortwave radiative flux due to Dust</t>
  </si>
  <si>
    <t xml:space="preserve">swsrfasdust</t>
  </si>
  <si>
    <t xml:space="preserve">All-sky Surface Shortwave radiative flux due to Dust</t>
  </si>
  <si>
    <t xml:space="preserve">lwsrfcsdust</t>
  </si>
  <si>
    <t xml:space="preserve">Clear-sky Surface Longwave radiative flux due to Dust</t>
  </si>
  <si>
    <t xml:space="preserve">lwsrfasdust</t>
  </si>
  <si>
    <t xml:space="preserve">All-sky Surface Longwave radiative flux due to Dust</t>
  </si>
  <si>
    <t xml:space="preserve">Lmon</t>
  </si>
  <si>
    <t xml:space="preserve">mrfso</t>
  </si>
  <si>
    <t xml:space="preserve">Soil Frozen Water Content</t>
  </si>
  <si>
    <t xml:space="preserve">The mass per unit area (summed over all model layers) of frozen water.</t>
  </si>
  <si>
    <t xml:space="preserve">AerChemMIP,C4MIP,CFMIP,CMIP,DCPP,FAFMIP,GMMIP,GeoMIP,HighResMIP,LS3MIP,LUMIP,PMIP,RFMIP,VIACSAB,VolMIP</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</si>
  <si>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</si>
  <si>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</si>
  <si>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</si>
  <si>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</si>
  <si>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 use change</t>
  </si>
  <si>
    <t xml:space="preserve">AerChemMIP,C4MIP,CFMIP,CMIP,FAFMIP,GMMIP,GeoMIP,HighResMIP,LS3MIP,LUMIP,PMIP,RFMIP,VIACSAB,VolMIP</t>
  </si>
  <si>
    <t xml:space="preserve">AerChemMIP,C4MIP,CMIP,DCPP,FAFMIP,GMMIP,GeoMIP,HighResMIP,LS3MIP,LUMIP,PMIP,RFMIP,VIACSAB,VolMIP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</si>
  <si>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</si>
  <si>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</si>
  <si>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</si>
  <si>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</si>
  <si>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</si>
  <si>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</si>
  <si>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</si>
  <si>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Total Primary Deciduous Tree Fraction</t>
  </si>
  <si>
    <t xml:space="preserve">Percentage of the entire grid cell  that is covered by total primary deciduous trees.</t>
  </si>
  <si>
    <t xml:space="preserve">AerChemMIP,CMIP,FAFMIP,GMMIP,GeoMIP,HighResMIP,LS3MIP,RFMIP,VIACSAB,VolMIP</t>
  </si>
  <si>
    <t xml:space="preserve">treeFracPrimEver</t>
  </si>
  <si>
    <t xml:space="preserve">longitude latitude time typepever</t>
  </si>
  <si>
    <t xml:space="preserve">Total Primary Evergreen Tree Cover Fraction</t>
  </si>
  <si>
    <t xml:space="preserve">Percentage of entire grid cell  that is covered by primary evergreen trees.</t>
  </si>
  <si>
    <t xml:space="preserve">treeFracSecDec</t>
  </si>
  <si>
    <t xml:space="preserve">longitude latitude time typesdec</t>
  </si>
  <si>
    <t xml:space="preserve">Total Secondary Deciduous Tree Cover Fraction</t>
  </si>
  <si>
    <t xml:space="preserve">Percentage of entire grid cell  that is covered by secondary deciduous trees.</t>
  </si>
  <si>
    <t xml:space="preserve">treeFracSecEver</t>
  </si>
  <si>
    <t xml:space="preserve">longitude latitude time typesever</t>
  </si>
  <si>
    <t xml:space="preserve">Total Secondary Evergreen Tree Cover Fraction</t>
  </si>
  <si>
    <t xml:space="preserve">Percentage of entire grid cell  that is covered by secondary evergreen trees.</t>
  </si>
  <si>
    <t xml:space="preserve">c3PftFrac</t>
  </si>
  <si>
    <t xml:space="preserve">longitude latitude time typec3pft</t>
  </si>
  <si>
    <t xml:space="preserve">Total C3 PFT Cover Fraction</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</si>
  <si>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</si>
  <si>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</si>
  <si>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</si>
  <si>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</si>
  <si>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Total C4 PFT Cover Fraction</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</si>
  <si>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</si>
  <si>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</si>
  <si>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</si>
  <si>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</si>
  <si>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</si>
  <si>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</si>
  <si>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</si>
  <si>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</si>
  <si>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</si>
  <si>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</si>
  <si>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</si>
  <si>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</si>
  <si>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</si>
  <si>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</si>
  <si>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We do not have representation of Antarctic ice sheet</t>
  </si>
  <si>
    <t xml:space="preserve">Area of the target grid (not the interpolated area of the source grid).</t>
  </si>
  <si>
    <t xml:space="preserve">ISMIP6</t>
  </si>
  <si>
    <t xml:space="preserve">ImonAnt</t>
  </si>
  <si>
    <t xml:space="preserve">prra</t>
  </si>
  <si>
    <t xml:space="preserve">xant yant time</t>
  </si>
  <si>
    <t xml:space="preserve">Rainfall Flux over Land Ice</t>
  </si>
  <si>
    <t xml:space="preserve">We do not have an Antarctic ice sheet.</t>
  </si>
  <si>
    <t xml:space="preserve">Shuting, Thomas</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</si>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</sst>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478"/>
  <sheetViews>
    <sheetView showFormulas="false" showGridLines="true" showRowColHeaders="true" showZeros="true" rightToLeft="false" tabSelected="true" showOutlineSymbols="true" defaultGridColor="true" view="normal" topLeftCell="A451" colorId="64" zoomScale="100" zoomScaleNormal="100" zoomScalePageLayoutView="100" workbookViewId="0">
      <selection pane="topLeft" activeCell="A473" activeCellId="0" sqref="473:478"/>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4.71"/>
    <col collapsed="false" customWidth="true" hidden="false" outlineLevel="0" max="7" min="7" style="0" width="80.71"/>
    <col collapsed="false" customWidth="true" hidden="false" outlineLevel="0" max="8" min="8" style="0" width="15.71"/>
    <col collapsed="false" customWidth="true" hidden="false" outlineLevel="0" max="9" min="9" style="0" width="200.7"/>
    <col collapsed="false" customWidth="true" hidden="false" outlineLevel="0" max="10" min="10" style="0" width="80.71"/>
    <col collapsed="false" customWidth="true" hidden="false" outlineLevel="0" max="1025" min="11"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3" customFormat="false" ht="15" hidden="false" customHeight="false" outlineLevel="0" collapsed="false">
      <c r="A3" s="0" t="s">
        <v>10</v>
      </c>
      <c r="B3" s="0" t="s">
        <v>11</v>
      </c>
      <c r="C3" s="0" t="s">
        <v>12</v>
      </c>
      <c r="D3" s="0" t="s">
        <v>13</v>
      </c>
      <c r="E3" s="0" t="s">
        <v>14</v>
      </c>
      <c r="F3" s="0" t="n">
        <f aca="false">HYPERLINK("http://clipc-services.ceda.ac.uk/dreq/u/59170cbe-9e49-11e5-803c-0d0b866b59f3.html","web")</f>
        <v>0</v>
      </c>
      <c r="G3" s="0" t="s">
        <v>15</v>
      </c>
      <c r="H3" s="0" t="s">
        <v>16</v>
      </c>
      <c r="I3" s="0" t="s">
        <v>17</v>
      </c>
      <c r="J3" s="0" t="s">
        <v>18</v>
      </c>
    </row>
    <row r="4" customFormat="false" ht="15" hidden="false" customHeight="false" outlineLevel="0" collapsed="false">
      <c r="A4" s="0" t="s">
        <v>10</v>
      </c>
      <c r="B4" s="0" t="s">
        <v>19</v>
      </c>
      <c r="C4" s="0" t="s">
        <v>20</v>
      </c>
      <c r="D4" s="0" t="s">
        <v>21</v>
      </c>
      <c r="E4" s="0" t="s">
        <v>22</v>
      </c>
      <c r="F4" s="0" t="n">
        <f aca="false">HYPERLINK("http://clipc-services.ceda.ac.uk/dreq/u/bcfeacf77d49ef51a6ee66a1ab0ebcb4.html","web")</f>
        <v>0</v>
      </c>
      <c r="G4" s="0" t="s">
        <v>23</v>
      </c>
      <c r="H4" s="0" t="s">
        <v>24</v>
      </c>
      <c r="I4" s="0" t="s">
        <v>25</v>
      </c>
      <c r="J4" s="0" t="s">
        <v>26</v>
      </c>
    </row>
    <row r="5" customFormat="false" ht="15" hidden="false" customHeight="false" outlineLevel="0" collapsed="false">
      <c r="A5" s="0" t="s">
        <v>10</v>
      </c>
      <c r="B5" s="0" t="s">
        <v>27</v>
      </c>
      <c r="C5" s="0" t="s">
        <v>20</v>
      </c>
      <c r="D5" s="0" t="s">
        <v>21</v>
      </c>
      <c r="E5" s="0" t="s">
        <v>28</v>
      </c>
      <c r="F5" s="0" t="n">
        <f aca="false">HYPERLINK("http://clipc-services.ceda.ac.uk/dreq/u/c323f38340e4846931ad4891232d839d.html","web")</f>
        <v>0</v>
      </c>
      <c r="G5" s="0" t="s">
        <v>23</v>
      </c>
      <c r="H5" s="0" t="s">
        <v>24</v>
      </c>
      <c r="I5" s="0" t="s">
        <v>29</v>
      </c>
      <c r="J5" s="0" t="s">
        <v>26</v>
      </c>
    </row>
    <row r="6" customFormat="false" ht="15" hidden="false" customHeight="false" outlineLevel="0" collapsed="false">
      <c r="A6" s="0" t="s">
        <v>10</v>
      </c>
      <c r="B6" s="0" t="s">
        <v>30</v>
      </c>
      <c r="C6" s="0" t="s">
        <v>20</v>
      </c>
      <c r="D6" s="0" t="s">
        <v>21</v>
      </c>
      <c r="E6" s="0" t="s">
        <v>31</v>
      </c>
      <c r="F6" s="0" t="n">
        <f aca="false">HYPERLINK("http://clipc-services.ceda.ac.uk/dreq/u/c432bfbfc0e7f4403f91af39736ff61c.html","web")</f>
        <v>0</v>
      </c>
      <c r="G6" s="0" t="s">
        <v>23</v>
      </c>
      <c r="H6" s="0" t="s">
        <v>24</v>
      </c>
      <c r="I6" s="0" t="s">
        <v>32</v>
      </c>
      <c r="J6" s="0" t="s">
        <v>26</v>
      </c>
    </row>
    <row r="7" customFormat="false" ht="15" hidden="false" customHeight="false" outlineLevel="0" collapsed="false">
      <c r="A7" s="0" t="s">
        <v>10</v>
      </c>
      <c r="B7" s="0" t="s">
        <v>33</v>
      </c>
      <c r="C7" s="0" t="s">
        <v>20</v>
      </c>
      <c r="D7" s="0" t="s">
        <v>21</v>
      </c>
      <c r="E7" s="0" t="s">
        <v>34</v>
      </c>
      <c r="F7" s="0" t="n">
        <f aca="false">HYPERLINK("http://clipc-services.ceda.ac.uk/dreq/u/eb9ac643cd9c73cae960d6d2db7b901d.html","web")</f>
        <v>0</v>
      </c>
      <c r="G7" s="0" t="s">
        <v>23</v>
      </c>
      <c r="H7" s="0" t="s">
        <v>24</v>
      </c>
      <c r="I7" s="0" t="s">
        <v>35</v>
      </c>
      <c r="J7" s="0" t="s">
        <v>26</v>
      </c>
    </row>
    <row r="9" customFormat="false" ht="15" hidden="false" customHeight="false" outlineLevel="0" collapsed="false">
      <c r="A9" s="0" t="s">
        <v>36</v>
      </c>
      <c r="B9" s="0" t="s">
        <v>37</v>
      </c>
      <c r="C9" s="0" t="s">
        <v>20</v>
      </c>
      <c r="D9" s="0" t="s">
        <v>38</v>
      </c>
      <c r="E9" s="0" t="s">
        <v>39</v>
      </c>
      <c r="F9" s="0" t="n">
        <f aca="false">HYPERLINK("http://clipc-services.ceda.ac.uk/dreq/u/c9a77f2a-c5f0-11e6-ac20-5404a60d96b5.html","web")</f>
        <v>0</v>
      </c>
      <c r="G9" s="0" t="s">
        <v>40</v>
      </c>
      <c r="H9" s="0" t="s">
        <v>24</v>
      </c>
      <c r="I9" s="0" t="s">
        <v>41</v>
      </c>
      <c r="J9" s="0" t="s">
        <v>42</v>
      </c>
    </row>
    <row r="11" customFormat="false" ht="15" hidden="false" customHeight="false" outlineLevel="0" collapsed="false">
      <c r="A11" s="0" t="s">
        <v>43</v>
      </c>
      <c r="B11" s="0" t="s">
        <v>44</v>
      </c>
      <c r="C11" s="0" t="s">
        <v>20</v>
      </c>
      <c r="D11" s="0" t="s">
        <v>45</v>
      </c>
      <c r="E11" s="0" t="s">
        <v>46</v>
      </c>
      <c r="F11" s="0" t="n">
        <f aca="false">HYPERLINK("http://clipc-services.ceda.ac.uk/dreq/u/55febff83b78e06576947e1c0e5b7a7d.html","web")</f>
        <v>0</v>
      </c>
      <c r="G11" s="0" t="s">
        <v>47</v>
      </c>
      <c r="H11" s="0" t="s">
        <v>48</v>
      </c>
      <c r="I11" s="0" t="s">
        <v>49</v>
      </c>
      <c r="J11" s="0" t="s">
        <v>50</v>
      </c>
    </row>
    <row r="12" customFormat="false" ht="15" hidden="false" customHeight="false" outlineLevel="0" collapsed="false">
      <c r="A12" s="0" t="s">
        <v>43</v>
      </c>
      <c r="B12" s="0" t="s">
        <v>51</v>
      </c>
      <c r="C12" s="0" t="s">
        <v>20</v>
      </c>
      <c r="D12" s="0" t="s">
        <v>45</v>
      </c>
      <c r="E12" s="0" t="s">
        <v>52</v>
      </c>
      <c r="F12" s="0" t="n">
        <f aca="false">HYPERLINK("http://clipc-services.ceda.ac.uk/dreq/u/59175660-9e49-11e5-803c-0d0b866b59f3.html","web")</f>
        <v>0</v>
      </c>
      <c r="G12" s="0" t="s">
        <v>47</v>
      </c>
      <c r="H12" s="0" t="s">
        <v>48</v>
      </c>
      <c r="I12" s="0" t="s">
        <v>53</v>
      </c>
      <c r="J12" s="0" t="s">
        <v>50</v>
      </c>
    </row>
    <row r="13" customFormat="false" ht="15" hidden="false" customHeight="false" outlineLevel="0" collapsed="false">
      <c r="A13" s="0" t="s">
        <v>43</v>
      </c>
      <c r="B13" s="0" t="s">
        <v>54</v>
      </c>
      <c r="C13" s="0" t="s">
        <v>20</v>
      </c>
      <c r="D13" s="0" t="s">
        <v>45</v>
      </c>
      <c r="E13" s="0" t="s">
        <v>55</v>
      </c>
      <c r="F13" s="0" t="n">
        <f aca="false">HYPERLINK("http://clipc-services.ceda.ac.uk/dreq/u/ba20ea537eb672813c5a364655855b38.html","web")</f>
        <v>0</v>
      </c>
      <c r="G13" s="0" t="s">
        <v>56</v>
      </c>
      <c r="H13" s="0" t="s">
        <v>57</v>
      </c>
      <c r="I13" s="0" t="s">
        <v>58</v>
      </c>
      <c r="J13" s="0" t="s">
        <v>59</v>
      </c>
    </row>
    <row r="14" customFormat="false" ht="15" hidden="false" customHeight="false" outlineLevel="0" collapsed="false">
      <c r="A14" s="0" t="s">
        <v>43</v>
      </c>
      <c r="B14" s="0" t="s">
        <v>60</v>
      </c>
      <c r="C14" s="0" t="s">
        <v>20</v>
      </c>
      <c r="D14" s="0" t="s">
        <v>45</v>
      </c>
      <c r="E14" s="0" t="s">
        <v>61</v>
      </c>
      <c r="F14" s="0" t="n">
        <f aca="false">HYPERLINK("http://clipc-services.ceda.ac.uk/dreq/u/c977c2da-c5f0-11e6-ac20-5404a60d96b5.html","web")</f>
        <v>0</v>
      </c>
      <c r="G14" s="0" t="s">
        <v>47</v>
      </c>
      <c r="H14" s="0" t="s">
        <v>48</v>
      </c>
      <c r="I14" s="0" t="s">
        <v>62</v>
      </c>
      <c r="J14" s="0" t="s">
        <v>50</v>
      </c>
    </row>
    <row r="15" customFormat="false" ht="15" hidden="false" customHeight="false" outlineLevel="0" collapsed="false">
      <c r="A15" s="0" t="s">
        <v>43</v>
      </c>
      <c r="B15" s="0" t="s">
        <v>63</v>
      </c>
      <c r="C15" s="0" t="s">
        <v>12</v>
      </c>
      <c r="D15" s="0" t="s">
        <v>45</v>
      </c>
      <c r="E15" s="0" t="s">
        <v>64</v>
      </c>
      <c r="F15" s="0" t="n">
        <f aca="false">HYPERLINK("http://clipc-services.ceda.ac.uk/dreq/u/171d617ceca8a4351f53d090c0ead89c.html","web")</f>
        <v>0</v>
      </c>
      <c r="G15" s="0" t="s">
        <v>65</v>
      </c>
      <c r="H15" s="0" t="s">
        <v>57</v>
      </c>
      <c r="I15" s="0" t="s">
        <v>66</v>
      </c>
      <c r="J15" s="0" t="s">
        <v>67</v>
      </c>
    </row>
    <row r="16" customFormat="false" ht="15" hidden="false" customHeight="false" outlineLevel="0" collapsed="false">
      <c r="A16" s="0" t="s">
        <v>43</v>
      </c>
      <c r="B16" s="0" t="s">
        <v>68</v>
      </c>
      <c r="C16" s="0" t="s">
        <v>12</v>
      </c>
      <c r="D16" s="0" t="s">
        <v>45</v>
      </c>
      <c r="E16" s="0" t="s">
        <v>69</v>
      </c>
      <c r="F16" s="0" t="n">
        <f aca="false">HYPERLINK("http://clipc-services.ceda.ac.uk/dreq/u/df96c61c07957da1c4e8212f0553fa98.html","web")</f>
        <v>0</v>
      </c>
      <c r="G16" s="0" t="s">
        <v>65</v>
      </c>
      <c r="H16" s="0" t="s">
        <v>57</v>
      </c>
      <c r="I16" s="0" t="s">
        <v>70</v>
      </c>
      <c r="J16" s="0" t="s">
        <v>67</v>
      </c>
    </row>
    <row r="17" customFormat="false" ht="15" hidden="false" customHeight="false" outlineLevel="0" collapsed="false">
      <c r="A17" s="0" t="s">
        <v>43</v>
      </c>
      <c r="B17" s="0" t="s">
        <v>71</v>
      </c>
      <c r="C17" s="0" t="s">
        <v>12</v>
      </c>
      <c r="D17" s="0" t="s">
        <v>45</v>
      </c>
      <c r="E17" s="0" t="s">
        <v>72</v>
      </c>
      <c r="F17" s="0" t="n">
        <f aca="false">HYPERLINK("http://clipc-services.ceda.ac.uk/dreq/u/edc3d019be9c383abbd82a4d5fad43ca.html","web")</f>
        <v>0</v>
      </c>
      <c r="G17" s="0" t="s">
        <v>65</v>
      </c>
      <c r="H17" s="0" t="s">
        <v>57</v>
      </c>
      <c r="I17" s="0" t="s">
        <v>73</v>
      </c>
      <c r="J17" s="0" t="s">
        <v>67</v>
      </c>
    </row>
    <row r="18" customFormat="false" ht="15" hidden="false" customHeight="false" outlineLevel="0" collapsed="false">
      <c r="A18" s="0" t="s">
        <v>43</v>
      </c>
      <c r="B18" s="0" t="s">
        <v>74</v>
      </c>
      <c r="C18" s="0" t="s">
        <v>12</v>
      </c>
      <c r="D18" s="0" t="s">
        <v>45</v>
      </c>
      <c r="E18" s="0" t="s">
        <v>75</v>
      </c>
      <c r="F18" s="0" t="n">
        <f aca="false">HYPERLINK("http://clipc-services.ceda.ac.uk/dreq/u/14e5a31ac93e26c50f8c01ed9a032168.html","web")</f>
        <v>0</v>
      </c>
      <c r="G18" s="0" t="s">
        <v>65</v>
      </c>
      <c r="H18" s="0" t="s">
        <v>57</v>
      </c>
      <c r="I18" s="0" t="s">
        <v>76</v>
      </c>
      <c r="J18" s="0" t="s">
        <v>67</v>
      </c>
    </row>
    <row r="19" customFormat="false" ht="15" hidden="false" customHeight="false" outlineLevel="0" collapsed="false">
      <c r="A19" s="0" t="s">
        <v>43</v>
      </c>
      <c r="B19" s="0" t="s">
        <v>77</v>
      </c>
      <c r="C19" s="0" t="s">
        <v>12</v>
      </c>
      <c r="D19" s="0" t="s">
        <v>45</v>
      </c>
      <c r="E19" s="0" t="s">
        <v>78</v>
      </c>
      <c r="F19" s="0" t="n">
        <f aca="false">HYPERLINK("http://clipc-services.ceda.ac.uk/dreq/u/562c99ff069851867df730ed9531c796.html","web")</f>
        <v>0</v>
      </c>
      <c r="G19" s="0" t="s">
        <v>65</v>
      </c>
      <c r="H19" s="0" t="s">
        <v>57</v>
      </c>
      <c r="I19" s="0" t="s">
        <v>79</v>
      </c>
      <c r="J19" s="0" t="s">
        <v>67</v>
      </c>
    </row>
    <row r="20" customFormat="false" ht="15" hidden="false" customHeight="false" outlineLevel="0" collapsed="false">
      <c r="A20" s="0" t="s">
        <v>43</v>
      </c>
      <c r="B20" s="0" t="s">
        <v>80</v>
      </c>
      <c r="C20" s="0" t="s">
        <v>12</v>
      </c>
      <c r="D20" s="0" t="s">
        <v>45</v>
      </c>
      <c r="E20" s="0" t="s">
        <v>81</v>
      </c>
      <c r="F20" s="0" t="n">
        <f aca="false">HYPERLINK("http://clipc-services.ceda.ac.uk/dreq/u/80f337469efdd0d5392ad995a90fd15c.html","web")</f>
        <v>0</v>
      </c>
      <c r="G20" s="0" t="s">
        <v>65</v>
      </c>
      <c r="H20" s="0" t="s">
        <v>57</v>
      </c>
      <c r="I20" s="0" t="s">
        <v>82</v>
      </c>
      <c r="J20" s="0" t="s">
        <v>67</v>
      </c>
    </row>
    <row r="21" customFormat="false" ht="15" hidden="false" customHeight="false" outlineLevel="0" collapsed="false">
      <c r="A21" s="0" t="s">
        <v>43</v>
      </c>
      <c r="B21" s="0" t="s">
        <v>83</v>
      </c>
      <c r="C21" s="0" t="s">
        <v>12</v>
      </c>
      <c r="D21" s="0" t="s">
        <v>45</v>
      </c>
      <c r="E21" s="0" t="s">
        <v>84</v>
      </c>
      <c r="F21" s="0" t="n">
        <f aca="false">HYPERLINK("http://clipc-services.ceda.ac.uk/dreq/u/1ae710e405acc14b368f55d9205be258.html","web")</f>
        <v>0</v>
      </c>
      <c r="G21" s="0" t="s">
        <v>65</v>
      </c>
      <c r="H21" s="0" t="s">
        <v>57</v>
      </c>
      <c r="I21" s="0" t="s">
        <v>85</v>
      </c>
      <c r="J21" s="0" t="s">
        <v>67</v>
      </c>
    </row>
    <row r="22" customFormat="false" ht="15" hidden="false" customHeight="false" outlineLevel="0" collapsed="false">
      <c r="A22" s="0" t="s">
        <v>43</v>
      </c>
      <c r="B22" s="0" t="s">
        <v>86</v>
      </c>
      <c r="C22" s="0" t="s">
        <v>12</v>
      </c>
      <c r="D22" s="0" t="s">
        <v>45</v>
      </c>
      <c r="E22" s="0" t="s">
        <v>87</v>
      </c>
      <c r="F22" s="0" t="n">
        <f aca="false">HYPERLINK("http://clipc-services.ceda.ac.uk/dreq/u/bdce9878-233e-11e6-a788-5404a60d96b5.html","web")</f>
        <v>0</v>
      </c>
      <c r="G22" s="0" t="s">
        <v>65</v>
      </c>
      <c r="H22" s="0" t="s">
        <v>57</v>
      </c>
      <c r="I22" s="0" t="s">
        <v>88</v>
      </c>
      <c r="J22" s="0" t="s">
        <v>67</v>
      </c>
    </row>
    <row r="23" customFormat="false" ht="15" hidden="false" customHeight="false" outlineLevel="0" collapsed="false">
      <c r="A23" s="0" t="s">
        <v>43</v>
      </c>
      <c r="B23" s="0" t="s">
        <v>89</v>
      </c>
      <c r="C23" s="0" t="s">
        <v>12</v>
      </c>
      <c r="D23" s="0" t="s">
        <v>45</v>
      </c>
      <c r="E23" s="0" t="s">
        <v>90</v>
      </c>
      <c r="F23" s="0" t="n">
        <f aca="false">HYPERLINK("http://clipc-services.ceda.ac.uk/dreq/u/6aec29521de81a361630aac9ffc69f8f.html","web")</f>
        <v>0</v>
      </c>
      <c r="G23" s="0" t="s">
        <v>65</v>
      </c>
      <c r="H23" s="0" t="s">
        <v>57</v>
      </c>
      <c r="I23" s="0" t="s">
        <v>91</v>
      </c>
      <c r="J23" s="0" t="s">
        <v>67</v>
      </c>
    </row>
    <row r="24" customFormat="false" ht="15" hidden="false" customHeight="false" outlineLevel="0" collapsed="false">
      <c r="A24" s="0" t="s">
        <v>43</v>
      </c>
      <c r="B24" s="0" t="s">
        <v>92</v>
      </c>
      <c r="C24" s="0" t="s">
        <v>12</v>
      </c>
      <c r="D24" s="0" t="s">
        <v>45</v>
      </c>
      <c r="E24" s="0" t="s">
        <v>93</v>
      </c>
      <c r="F24" s="0" t="n">
        <f aca="false">HYPERLINK("http://clipc-services.ceda.ac.uk/dreq/u/6fc1dd9341ca569ad866695db9878618.html","web")</f>
        <v>0</v>
      </c>
      <c r="G24" s="0" t="s">
        <v>94</v>
      </c>
      <c r="H24" s="0" t="s">
        <v>95</v>
      </c>
      <c r="I24" s="0" t="s">
        <v>96</v>
      </c>
      <c r="J24" s="0" t="s">
        <v>67</v>
      </c>
    </row>
    <row r="25" customFormat="false" ht="15" hidden="false" customHeight="false" outlineLevel="0" collapsed="false">
      <c r="A25" s="0" t="s">
        <v>43</v>
      </c>
      <c r="B25" s="0" t="s">
        <v>97</v>
      </c>
      <c r="C25" s="0" t="s">
        <v>12</v>
      </c>
      <c r="D25" s="0" t="s">
        <v>45</v>
      </c>
      <c r="E25" s="0" t="s">
        <v>98</v>
      </c>
      <c r="F25" s="0" t="n">
        <f aca="false">HYPERLINK("http://clipc-services.ceda.ac.uk/dreq/u/60f0a8f8a0311f9c386e64e0b62cf3bd.html","web")</f>
        <v>0</v>
      </c>
      <c r="G25" s="0" t="s">
        <v>94</v>
      </c>
      <c r="H25" s="0" t="s">
        <v>95</v>
      </c>
      <c r="I25" s="0" t="s">
        <v>96</v>
      </c>
      <c r="J25" s="0" t="s">
        <v>67</v>
      </c>
    </row>
    <row r="26" customFormat="false" ht="15" hidden="false" customHeight="false" outlineLevel="0" collapsed="false">
      <c r="A26" s="0" t="s">
        <v>43</v>
      </c>
      <c r="B26" s="0" t="s">
        <v>99</v>
      </c>
      <c r="C26" s="0" t="s">
        <v>12</v>
      </c>
      <c r="D26" s="0" t="s">
        <v>45</v>
      </c>
      <c r="E26" s="0" t="s">
        <v>100</v>
      </c>
      <c r="F26" s="0" t="n">
        <f aca="false">HYPERLINK("http://clipc-services.ceda.ac.uk/dreq/u/e52528e8-dd83-11e5-9194-ac72891c3257.html","web")</f>
        <v>0</v>
      </c>
      <c r="G26" s="0" t="s">
        <v>101</v>
      </c>
      <c r="H26" s="0" t="s">
        <v>16</v>
      </c>
      <c r="I26" s="0" t="s">
        <v>96</v>
      </c>
      <c r="J26" s="0" t="s">
        <v>50</v>
      </c>
    </row>
    <row r="27" customFormat="false" ht="15" hidden="false" customHeight="false" outlineLevel="0" collapsed="false">
      <c r="A27" s="0" t="s">
        <v>43</v>
      </c>
      <c r="B27" s="0" t="s">
        <v>102</v>
      </c>
      <c r="C27" s="0" t="s">
        <v>12</v>
      </c>
      <c r="D27" s="0" t="s">
        <v>45</v>
      </c>
      <c r="E27" s="0" t="s">
        <v>103</v>
      </c>
      <c r="F27" s="0" t="n">
        <f aca="false">HYPERLINK("http://clipc-services.ceda.ac.uk/dreq/u/236430ceeb7aa3d23577b3a03d13f7fb.html","web")</f>
        <v>0</v>
      </c>
      <c r="G27" s="0" t="s">
        <v>101</v>
      </c>
      <c r="H27" s="0" t="s">
        <v>16</v>
      </c>
      <c r="I27" s="0" t="s">
        <v>96</v>
      </c>
      <c r="J27" s="0" t="s">
        <v>104</v>
      </c>
    </row>
    <row r="28" customFormat="false" ht="15" hidden="false" customHeight="false" outlineLevel="0" collapsed="false">
      <c r="A28" s="0" t="s">
        <v>43</v>
      </c>
      <c r="B28" s="0" t="s">
        <v>105</v>
      </c>
      <c r="C28" s="0" t="s">
        <v>12</v>
      </c>
      <c r="D28" s="0" t="s">
        <v>45</v>
      </c>
      <c r="E28" s="0" t="s">
        <v>106</v>
      </c>
      <c r="F28" s="0" t="n">
        <f aca="false">HYPERLINK("http://clipc-services.ceda.ac.uk/dreq/u/71480abb30ae62d262fcea6cfdd753cf.html","web")</f>
        <v>0</v>
      </c>
      <c r="G28" s="0" t="s">
        <v>101</v>
      </c>
      <c r="H28" s="0" t="s">
        <v>16</v>
      </c>
      <c r="I28" s="0" t="s">
        <v>107</v>
      </c>
      <c r="J28" s="0" t="s">
        <v>104</v>
      </c>
    </row>
    <row r="29" customFormat="false" ht="15" hidden="false" customHeight="false" outlineLevel="0" collapsed="false">
      <c r="A29" s="0" t="s">
        <v>43</v>
      </c>
      <c r="B29" s="0" t="s">
        <v>108</v>
      </c>
      <c r="C29" s="0" t="s">
        <v>12</v>
      </c>
      <c r="D29" s="0" t="s">
        <v>45</v>
      </c>
      <c r="E29" s="0" t="s">
        <v>109</v>
      </c>
      <c r="F29" s="0" t="n">
        <f aca="false">HYPERLINK("http://clipc-services.ceda.ac.uk/dreq/u/684d3f3543045a89ecbb0ca81ba6705f.html","web")</f>
        <v>0</v>
      </c>
      <c r="G29" s="0" t="s">
        <v>94</v>
      </c>
      <c r="H29" s="0" t="s">
        <v>95</v>
      </c>
      <c r="I29" s="0" t="s">
        <v>110</v>
      </c>
      <c r="J29" s="0" t="s">
        <v>67</v>
      </c>
    </row>
    <row r="30" customFormat="false" ht="15" hidden="false" customHeight="false" outlineLevel="0" collapsed="false">
      <c r="A30" s="0" t="s">
        <v>43</v>
      </c>
      <c r="B30" s="0" t="s">
        <v>111</v>
      </c>
      <c r="C30" s="0" t="s">
        <v>12</v>
      </c>
      <c r="D30" s="0" t="s">
        <v>45</v>
      </c>
      <c r="E30" s="0" t="s">
        <v>112</v>
      </c>
      <c r="F30" s="0" t="n">
        <f aca="false">HYPERLINK("http://clipc-services.ceda.ac.uk/dreq/u/402d88cf81105fe603118df92bb9eecb.html","web")</f>
        <v>0</v>
      </c>
      <c r="G30" s="0" t="s">
        <v>65</v>
      </c>
      <c r="H30" s="0" t="s">
        <v>57</v>
      </c>
      <c r="I30" s="0" t="s">
        <v>113</v>
      </c>
      <c r="J30" s="0" t="s">
        <v>67</v>
      </c>
    </row>
    <row r="31" customFormat="false" ht="15" hidden="false" customHeight="false" outlineLevel="0" collapsed="false">
      <c r="A31" s="0" t="s">
        <v>43</v>
      </c>
      <c r="B31" s="0" t="s">
        <v>114</v>
      </c>
      <c r="C31" s="0" t="s">
        <v>115</v>
      </c>
      <c r="D31" s="0" t="s">
        <v>45</v>
      </c>
      <c r="E31" s="0" t="s">
        <v>116</v>
      </c>
      <c r="F31" s="0" t="n">
        <f aca="false">HYPERLINK("http://clipc-services.ceda.ac.uk/dreq/u/e525bed4-dd83-11e5-9194-ac72891c3257.html","web")</f>
        <v>0</v>
      </c>
      <c r="G31" s="0" t="s">
        <v>101</v>
      </c>
      <c r="H31" s="0" t="s">
        <v>16</v>
      </c>
      <c r="I31" s="0" t="s">
        <v>117</v>
      </c>
      <c r="J31" s="0" t="s">
        <v>50</v>
      </c>
    </row>
    <row r="32" customFormat="false" ht="15" hidden="false" customHeight="false" outlineLevel="0" collapsed="false">
      <c r="A32" s="0" t="s">
        <v>43</v>
      </c>
      <c r="B32" s="0" t="s">
        <v>118</v>
      </c>
      <c r="C32" s="0" t="s">
        <v>115</v>
      </c>
      <c r="D32" s="0" t="s">
        <v>45</v>
      </c>
      <c r="E32" s="0" t="s">
        <v>119</v>
      </c>
      <c r="F32" s="0" t="n">
        <f aca="false">HYPERLINK("http://clipc-services.ceda.ac.uk/dreq/u/e52644bc-dd83-11e5-9194-ac72891c3257.html","web")</f>
        <v>0</v>
      </c>
      <c r="G32" s="0" t="s">
        <v>94</v>
      </c>
      <c r="H32" s="0" t="s">
        <v>95</v>
      </c>
      <c r="I32" s="0" t="s">
        <v>120</v>
      </c>
      <c r="J32" s="0" t="s">
        <v>50</v>
      </c>
    </row>
    <row r="33" customFormat="false" ht="15" hidden="false" customHeight="false" outlineLevel="0" collapsed="false">
      <c r="A33" s="0" t="s">
        <v>43</v>
      </c>
      <c r="B33" s="0" t="s">
        <v>121</v>
      </c>
      <c r="C33" s="0" t="s">
        <v>115</v>
      </c>
      <c r="D33" s="0" t="s">
        <v>45</v>
      </c>
      <c r="E33" s="0" t="s">
        <v>122</v>
      </c>
      <c r="F33" s="0" t="n">
        <f aca="false">HYPERLINK("http://clipc-services.ceda.ac.uk/dreq/u/e526caea-dd83-11e5-9194-ac72891c3257.html","web")</f>
        <v>0</v>
      </c>
      <c r="G33" s="0" t="s">
        <v>94</v>
      </c>
      <c r="H33" s="0" t="s">
        <v>95</v>
      </c>
      <c r="I33" s="0" t="s">
        <v>123</v>
      </c>
      <c r="J33" s="0" t="s">
        <v>50</v>
      </c>
    </row>
    <row r="34" customFormat="false" ht="15" hidden="false" customHeight="false" outlineLevel="0" collapsed="false">
      <c r="A34" s="0" t="s">
        <v>43</v>
      </c>
      <c r="B34" s="0" t="s">
        <v>124</v>
      </c>
      <c r="C34" s="0" t="s">
        <v>115</v>
      </c>
      <c r="D34" s="0" t="s">
        <v>45</v>
      </c>
      <c r="E34" s="0" t="s">
        <v>125</v>
      </c>
      <c r="F34" s="0" t="n">
        <f aca="false">HYPERLINK("http://clipc-services.ceda.ac.uk/dreq/u/e527532a-dd83-11e5-9194-ac72891c3257.html","web")</f>
        <v>0</v>
      </c>
      <c r="G34" s="0" t="s">
        <v>94</v>
      </c>
      <c r="H34" s="0" t="s">
        <v>95</v>
      </c>
      <c r="I34" s="0" t="s">
        <v>126</v>
      </c>
      <c r="J34" s="0" t="s">
        <v>50</v>
      </c>
    </row>
    <row r="35" customFormat="false" ht="15" hidden="false" customHeight="false" outlineLevel="0" collapsed="false">
      <c r="A35" s="0" t="s">
        <v>43</v>
      </c>
      <c r="B35" s="0" t="s">
        <v>127</v>
      </c>
      <c r="C35" s="0" t="s">
        <v>115</v>
      </c>
      <c r="D35" s="0" t="s">
        <v>45</v>
      </c>
      <c r="E35" s="0" t="s">
        <v>128</v>
      </c>
      <c r="F35" s="0" t="n">
        <f aca="false">HYPERLINK("http://clipc-services.ceda.ac.uk/dreq/u/e5278b06-dd83-11e5-9194-ac72891c3257.html","web")</f>
        <v>0</v>
      </c>
      <c r="G35" s="0" t="s">
        <v>101</v>
      </c>
      <c r="H35" s="0" t="s">
        <v>16</v>
      </c>
      <c r="I35" s="0" t="s">
        <v>129</v>
      </c>
      <c r="J35" s="0" t="s">
        <v>50</v>
      </c>
    </row>
    <row r="36" customFormat="false" ht="15" hidden="false" customHeight="false" outlineLevel="0" collapsed="false">
      <c r="A36" s="0" t="s">
        <v>43</v>
      </c>
      <c r="B36" s="0" t="s">
        <v>130</v>
      </c>
      <c r="C36" s="0" t="s">
        <v>115</v>
      </c>
      <c r="D36" s="0" t="s">
        <v>45</v>
      </c>
      <c r="E36" s="0" t="s">
        <v>131</v>
      </c>
      <c r="F36" s="0" t="n">
        <f aca="false">HYPERLINK("http://clipc-services.ceda.ac.uk/dreq/u/1df32c1e9440e03187aa8253e1a0f2d9.html","web")</f>
        <v>0</v>
      </c>
      <c r="G36" s="0" t="s">
        <v>65</v>
      </c>
      <c r="H36" s="0" t="s">
        <v>57</v>
      </c>
      <c r="I36" s="0" t="s">
        <v>132</v>
      </c>
      <c r="J36" s="0" t="s">
        <v>67</v>
      </c>
    </row>
    <row r="37" customFormat="false" ht="15" hidden="false" customHeight="false" outlineLevel="0" collapsed="false">
      <c r="A37" s="0" t="s">
        <v>43</v>
      </c>
      <c r="B37" s="0" t="s">
        <v>133</v>
      </c>
      <c r="C37" s="0" t="s">
        <v>115</v>
      </c>
      <c r="D37" s="0" t="s">
        <v>45</v>
      </c>
      <c r="E37" s="0" t="s">
        <v>134</v>
      </c>
      <c r="F37" s="0" t="n">
        <f aca="false">HYPERLINK("http://clipc-services.ceda.ac.uk/dreq/u/c075ee7167ef3bc43fef7ce624f960af.html","web")</f>
        <v>0</v>
      </c>
      <c r="G37" s="0" t="s">
        <v>65</v>
      </c>
      <c r="H37" s="0" t="s">
        <v>57</v>
      </c>
      <c r="I37" s="0" t="s">
        <v>135</v>
      </c>
      <c r="J37" s="0" t="s">
        <v>67</v>
      </c>
    </row>
    <row r="38" customFormat="false" ht="15" hidden="false" customHeight="false" outlineLevel="0" collapsed="false">
      <c r="A38" s="0" t="s">
        <v>43</v>
      </c>
      <c r="B38" s="0" t="s">
        <v>136</v>
      </c>
      <c r="C38" s="0" t="s">
        <v>115</v>
      </c>
      <c r="D38" s="0" t="s">
        <v>45</v>
      </c>
      <c r="E38" s="0" t="s">
        <v>137</v>
      </c>
      <c r="F38" s="0" t="n">
        <f aca="false">HYPERLINK("http://clipc-services.ceda.ac.uk/dreq/u/cc3eb19e60c00c77520c2cbf58c322b1.html","web")</f>
        <v>0</v>
      </c>
      <c r="G38" s="0" t="s">
        <v>65</v>
      </c>
      <c r="H38" s="0" t="s">
        <v>57</v>
      </c>
      <c r="I38" s="0" t="s">
        <v>138</v>
      </c>
      <c r="J38" s="0" t="s">
        <v>67</v>
      </c>
    </row>
    <row r="39" customFormat="false" ht="15" hidden="false" customHeight="false" outlineLevel="0" collapsed="false">
      <c r="A39" s="0" t="s">
        <v>43</v>
      </c>
      <c r="B39" s="0" t="s">
        <v>139</v>
      </c>
      <c r="C39" s="0" t="s">
        <v>115</v>
      </c>
      <c r="D39" s="0" t="s">
        <v>45</v>
      </c>
      <c r="E39" s="0" t="s">
        <v>140</v>
      </c>
      <c r="F39" s="0" t="n">
        <f aca="false">HYPERLINK("http://clipc-services.ceda.ac.uk/dreq/u/6674625c225f14aa8d6795d1df244c28.html","web")</f>
        <v>0</v>
      </c>
      <c r="G39" s="0" t="s">
        <v>65</v>
      </c>
      <c r="H39" s="0" t="s">
        <v>57</v>
      </c>
      <c r="I39" s="0" t="s">
        <v>141</v>
      </c>
      <c r="J39" s="0" t="s">
        <v>67</v>
      </c>
    </row>
    <row r="40" customFormat="false" ht="15" hidden="false" customHeight="false" outlineLevel="0" collapsed="false">
      <c r="A40" s="0" t="s">
        <v>43</v>
      </c>
      <c r="B40" s="0" t="s">
        <v>142</v>
      </c>
      <c r="C40" s="0" t="s">
        <v>115</v>
      </c>
      <c r="D40" s="0" t="s">
        <v>45</v>
      </c>
      <c r="E40" s="0" t="s">
        <v>143</v>
      </c>
      <c r="F40" s="0" t="n">
        <f aca="false">HYPERLINK("http://clipc-services.ceda.ac.uk/dreq/u/2157a343384243be18fe8a06826aecb5.html","web")</f>
        <v>0</v>
      </c>
      <c r="G40" s="0" t="s">
        <v>65</v>
      </c>
      <c r="H40" s="0" t="s">
        <v>57</v>
      </c>
      <c r="I40" s="0" t="s">
        <v>144</v>
      </c>
      <c r="J40" s="0" t="s">
        <v>67</v>
      </c>
    </row>
    <row r="41" customFormat="false" ht="15" hidden="false" customHeight="false" outlineLevel="0" collapsed="false">
      <c r="A41" s="0" t="s">
        <v>43</v>
      </c>
      <c r="B41" s="0" t="s">
        <v>145</v>
      </c>
      <c r="C41" s="0" t="s">
        <v>115</v>
      </c>
      <c r="D41" s="0" t="s">
        <v>45</v>
      </c>
      <c r="E41" s="0" t="s">
        <v>146</v>
      </c>
      <c r="F41" s="0" t="n">
        <f aca="false">HYPERLINK("http://clipc-services.ceda.ac.uk/dreq/u/e5a8a5a5c4ff0920fa237e5274df57ba.html","web")</f>
        <v>0</v>
      </c>
      <c r="G41" s="0" t="s">
        <v>65</v>
      </c>
      <c r="H41" s="0" t="s">
        <v>57</v>
      </c>
      <c r="I41" s="0" t="s">
        <v>147</v>
      </c>
      <c r="J41" s="0" t="s">
        <v>67</v>
      </c>
    </row>
    <row r="42" customFormat="false" ht="15" hidden="false" customHeight="false" outlineLevel="0" collapsed="false">
      <c r="A42" s="0" t="s">
        <v>43</v>
      </c>
      <c r="B42" s="0" t="s">
        <v>148</v>
      </c>
      <c r="C42" s="0" t="s">
        <v>115</v>
      </c>
      <c r="D42" s="0" t="s">
        <v>45</v>
      </c>
      <c r="E42" s="0" t="s">
        <v>149</v>
      </c>
      <c r="F42" s="0" t="n">
        <f aca="false">HYPERLINK("http://clipc-services.ceda.ac.uk/dreq/u/9a9dda6b54b64f67bda703c77465cceb.html","web")</f>
        <v>0</v>
      </c>
      <c r="G42" s="0" t="s">
        <v>65</v>
      </c>
      <c r="H42" s="0" t="s">
        <v>57</v>
      </c>
      <c r="I42" s="0" t="s">
        <v>150</v>
      </c>
      <c r="J42" s="0" t="s">
        <v>67</v>
      </c>
    </row>
    <row r="43" customFormat="false" ht="15" hidden="false" customHeight="false" outlineLevel="0" collapsed="false">
      <c r="A43" s="0" t="s">
        <v>43</v>
      </c>
      <c r="B43" s="0" t="s">
        <v>151</v>
      </c>
      <c r="C43" s="0" t="s">
        <v>20</v>
      </c>
      <c r="D43" s="0" t="s">
        <v>152</v>
      </c>
      <c r="E43" s="0" t="s">
        <v>153</v>
      </c>
      <c r="F43" s="0" t="n">
        <f aca="false">HYPERLINK("http://clipc-services.ceda.ac.uk/dreq/u/97c037c3357f24c4e06c07123224b400.html","web")</f>
        <v>0</v>
      </c>
      <c r="G43" s="0" t="s">
        <v>101</v>
      </c>
      <c r="H43" s="0" t="s">
        <v>16</v>
      </c>
      <c r="I43" s="0" t="s">
        <v>154</v>
      </c>
      <c r="J43" s="0" t="s">
        <v>50</v>
      </c>
    </row>
    <row r="44" customFormat="false" ht="15" hidden="false" customHeight="false" outlineLevel="0" collapsed="false">
      <c r="A44" s="0" t="s">
        <v>43</v>
      </c>
      <c r="B44" s="0" t="s">
        <v>155</v>
      </c>
      <c r="C44" s="0" t="s">
        <v>20</v>
      </c>
      <c r="D44" s="0" t="s">
        <v>152</v>
      </c>
      <c r="E44" s="0" t="s">
        <v>156</v>
      </c>
      <c r="F44" s="0" t="n">
        <f aca="false">HYPERLINK("http://clipc-services.ceda.ac.uk/dreq/u/042e575e61a271e122d317ca7b39dcb4.html","web")</f>
        <v>0</v>
      </c>
      <c r="G44" s="0" t="s">
        <v>94</v>
      </c>
      <c r="H44" s="0" t="s">
        <v>95</v>
      </c>
      <c r="I44" s="0" t="s">
        <v>157</v>
      </c>
      <c r="J44" s="0" t="s">
        <v>50</v>
      </c>
    </row>
    <row r="45" customFormat="false" ht="15" hidden="false" customHeight="false" outlineLevel="0" collapsed="false">
      <c r="A45" s="0" t="s">
        <v>43</v>
      </c>
      <c r="B45" s="0" t="s">
        <v>158</v>
      </c>
      <c r="C45" s="0" t="s">
        <v>20</v>
      </c>
      <c r="D45" s="0" t="s">
        <v>152</v>
      </c>
      <c r="E45" s="0" t="s">
        <v>159</v>
      </c>
      <c r="F45" s="0" t="n">
        <f aca="false">HYPERLINK("http://clipc-services.ceda.ac.uk/dreq/u/f36046ab9a8a24ce4d7431e2defd9cf6.html","web")</f>
        <v>0</v>
      </c>
      <c r="G45" s="0" t="s">
        <v>101</v>
      </c>
      <c r="H45" s="0" t="s">
        <v>16</v>
      </c>
      <c r="I45" s="0" t="s">
        <v>160</v>
      </c>
      <c r="J45" s="0" t="s">
        <v>50</v>
      </c>
    </row>
    <row r="46" customFormat="false" ht="15" hidden="false" customHeight="false" outlineLevel="0" collapsed="false">
      <c r="A46" s="0" t="s">
        <v>43</v>
      </c>
      <c r="B46" s="0" t="s">
        <v>161</v>
      </c>
      <c r="C46" s="0" t="s">
        <v>20</v>
      </c>
      <c r="D46" s="0" t="s">
        <v>152</v>
      </c>
      <c r="E46" s="0" t="s">
        <v>162</v>
      </c>
      <c r="F46" s="0" t="n">
        <f aca="false">HYPERLINK("http://clipc-services.ceda.ac.uk/dreq/u/590e5b82-9e49-11e5-803c-0d0b866b59f3.html","web")</f>
        <v>0</v>
      </c>
      <c r="G46" s="0" t="s">
        <v>47</v>
      </c>
      <c r="H46" s="0" t="s">
        <v>48</v>
      </c>
      <c r="I46" s="0" t="s">
        <v>163</v>
      </c>
      <c r="J46" s="0" t="s">
        <v>50</v>
      </c>
    </row>
    <row r="48" customFormat="false" ht="15" hidden="false" customHeight="false" outlineLevel="0" collapsed="false">
      <c r="A48" s="0" t="s">
        <v>164</v>
      </c>
      <c r="B48" s="0" t="s">
        <v>165</v>
      </c>
      <c r="C48" s="0" t="s">
        <v>20</v>
      </c>
      <c r="D48" s="0" t="s">
        <v>152</v>
      </c>
      <c r="E48" s="0" t="s">
        <v>166</v>
      </c>
      <c r="F48" s="0" t="n">
        <f aca="false">HYPERLINK("http://clipc-services.ceda.ac.uk/dreq/u/13484743dd3369c69df93379e6dafbb5.html","web")</f>
        <v>0</v>
      </c>
      <c r="G48" s="0" t="s">
        <v>167</v>
      </c>
      <c r="I48" s="0" t="s">
        <v>168</v>
      </c>
      <c r="J48" s="0" t="s">
        <v>169</v>
      </c>
    </row>
    <row r="49" customFormat="false" ht="15" hidden="false" customHeight="false" outlineLevel="0" collapsed="false">
      <c r="A49" s="0" t="s">
        <v>164</v>
      </c>
      <c r="B49" s="0" t="s">
        <v>170</v>
      </c>
      <c r="C49" s="0" t="s">
        <v>20</v>
      </c>
      <c r="D49" s="0" t="s">
        <v>152</v>
      </c>
      <c r="E49" s="0" t="s">
        <v>171</v>
      </c>
      <c r="F49" s="0" t="n">
        <f aca="false">HYPERLINK("http://clipc-services.ceda.ac.uk/dreq/u/0062272a6a4176b8c32af87642b062c5.html","web")</f>
        <v>0</v>
      </c>
      <c r="G49" s="0" t="s">
        <v>172</v>
      </c>
      <c r="H49" s="0" t="s">
        <v>173</v>
      </c>
      <c r="I49" s="0" t="s">
        <v>174</v>
      </c>
      <c r="J49" s="0" t="s">
        <v>169</v>
      </c>
    </row>
    <row r="50" customFormat="false" ht="15" hidden="false" customHeight="false" outlineLevel="0" collapsed="false">
      <c r="A50" s="0" t="s">
        <v>164</v>
      </c>
      <c r="B50" s="0" t="s">
        <v>175</v>
      </c>
      <c r="C50" s="0" t="s">
        <v>20</v>
      </c>
      <c r="D50" s="0" t="s">
        <v>176</v>
      </c>
      <c r="E50" s="0" t="s">
        <v>177</v>
      </c>
      <c r="F50" s="0" t="n">
        <f aca="false">HYPERLINK("http://clipc-services.ceda.ac.uk/dreq/u/6d790fe4caa7feff46a41ae7b3811e52.html","web")</f>
        <v>0</v>
      </c>
      <c r="G50" s="0" t="s">
        <v>178</v>
      </c>
      <c r="I50" s="0" t="s">
        <v>179</v>
      </c>
      <c r="J50" s="0" t="s">
        <v>169</v>
      </c>
    </row>
    <row r="51" customFormat="false" ht="15" hidden="false" customHeight="false" outlineLevel="0" collapsed="false">
      <c r="A51" s="0" t="s">
        <v>164</v>
      </c>
      <c r="B51" s="0" t="s">
        <v>180</v>
      </c>
      <c r="C51" s="0" t="s">
        <v>20</v>
      </c>
      <c r="D51" s="0" t="s">
        <v>181</v>
      </c>
      <c r="E51" s="0" t="s">
        <v>182</v>
      </c>
      <c r="F51" s="0" t="n">
        <f aca="false">HYPERLINK("http://clipc-services.ceda.ac.uk/dreq/u/400e5707b65c01e31f2ec6a59dd3983b.html","web")</f>
        <v>0</v>
      </c>
      <c r="G51" s="0" t="s">
        <v>183</v>
      </c>
      <c r="H51" s="0" t="s">
        <v>184</v>
      </c>
      <c r="I51" s="0" t="s">
        <v>185</v>
      </c>
      <c r="J51" s="0" t="s">
        <v>169</v>
      </c>
    </row>
    <row r="52" customFormat="false" ht="15" hidden="false" customHeight="false" outlineLevel="0" collapsed="false">
      <c r="A52" s="0" t="s">
        <v>164</v>
      </c>
      <c r="B52" s="0" t="s">
        <v>186</v>
      </c>
      <c r="C52" s="0" t="s">
        <v>20</v>
      </c>
      <c r="D52" s="0" t="s">
        <v>187</v>
      </c>
      <c r="E52" s="0" t="s">
        <v>188</v>
      </c>
      <c r="F52" s="0" t="n">
        <f aca="false">HYPERLINK("http://clipc-services.ceda.ac.uk/dreq/u/fa7666d61b92de5bad1ad76561b8b850.html","web")</f>
        <v>0</v>
      </c>
      <c r="G52" s="0" t="s">
        <v>183</v>
      </c>
      <c r="H52" s="0" t="s">
        <v>184</v>
      </c>
      <c r="I52" s="0" t="s">
        <v>189</v>
      </c>
      <c r="J52" s="0" t="s">
        <v>169</v>
      </c>
    </row>
    <row r="54" customFormat="false" ht="15" hidden="false" customHeight="false" outlineLevel="0" collapsed="false">
      <c r="A54" s="0" t="s">
        <v>190</v>
      </c>
      <c r="B54" s="0" t="s">
        <v>191</v>
      </c>
      <c r="C54" s="0" t="s">
        <v>20</v>
      </c>
      <c r="D54" s="0" t="s">
        <v>192</v>
      </c>
      <c r="E54" s="0" t="s">
        <v>193</v>
      </c>
      <c r="F54" s="0" t="n">
        <f aca="false">HYPERLINK("http://clipc-services.ceda.ac.uk/dreq/u/ba7be4134a9cf4838434bf204d80b903.html","web")</f>
        <v>0</v>
      </c>
      <c r="G54" s="0" t="s">
        <v>194</v>
      </c>
      <c r="H54" s="0" t="s">
        <v>24</v>
      </c>
      <c r="I54" s="0" t="s">
        <v>195</v>
      </c>
      <c r="J54" s="0" t="s">
        <v>196</v>
      </c>
    </row>
    <row r="55" customFormat="false" ht="15" hidden="false" customHeight="false" outlineLevel="0" collapsed="false">
      <c r="A55" s="0" t="s">
        <v>190</v>
      </c>
      <c r="B55" s="0" t="s">
        <v>197</v>
      </c>
      <c r="C55" s="0" t="s">
        <v>20</v>
      </c>
      <c r="D55" s="0" t="s">
        <v>192</v>
      </c>
      <c r="E55" s="0" t="s">
        <v>198</v>
      </c>
      <c r="F55" s="0" t="n">
        <f aca="false">HYPERLINK("http://clipc-services.ceda.ac.uk/dreq/u/c64364df884a3cebaa7aebb664260776.html","web")</f>
        <v>0</v>
      </c>
      <c r="G55" s="0" t="s">
        <v>194</v>
      </c>
      <c r="H55" s="0" t="s">
        <v>24</v>
      </c>
      <c r="I55" s="0" t="s">
        <v>199</v>
      </c>
      <c r="J55" s="0" t="s">
        <v>196</v>
      </c>
    </row>
    <row r="56" customFormat="false" ht="15" hidden="false" customHeight="false" outlineLevel="0" collapsed="false">
      <c r="A56" s="0" t="s">
        <v>190</v>
      </c>
      <c r="B56" s="0" t="s">
        <v>200</v>
      </c>
      <c r="C56" s="0" t="s">
        <v>20</v>
      </c>
      <c r="D56" s="0" t="s">
        <v>192</v>
      </c>
      <c r="E56" s="0" t="s">
        <v>201</v>
      </c>
      <c r="F56" s="0" t="n">
        <f aca="false">HYPERLINK("http://clipc-services.ceda.ac.uk/dreq/u/9522ca96d0b066ebe8defd5541de0582.html","web")</f>
        <v>0</v>
      </c>
      <c r="G56" s="0" t="s">
        <v>194</v>
      </c>
      <c r="H56" s="0" t="s">
        <v>24</v>
      </c>
      <c r="I56" s="0" t="s">
        <v>202</v>
      </c>
      <c r="J56" s="0" t="s">
        <v>196</v>
      </c>
    </row>
    <row r="57" customFormat="false" ht="15" hidden="false" customHeight="false" outlineLevel="0" collapsed="false">
      <c r="A57" s="0" t="s">
        <v>190</v>
      </c>
      <c r="B57" s="0" t="s">
        <v>203</v>
      </c>
      <c r="C57" s="0" t="s">
        <v>20</v>
      </c>
      <c r="D57" s="0" t="s">
        <v>192</v>
      </c>
      <c r="E57" s="0" t="s">
        <v>204</v>
      </c>
      <c r="F57" s="0" t="n">
        <f aca="false">HYPERLINK("http://clipc-services.ceda.ac.uk/dreq/u/85631e0f7a8fdcb10737a525f4134181.html","web")</f>
        <v>0</v>
      </c>
      <c r="G57" s="0" t="s">
        <v>194</v>
      </c>
      <c r="H57" s="0" t="s">
        <v>24</v>
      </c>
      <c r="I57" s="0" t="s">
        <v>205</v>
      </c>
      <c r="J57" s="0" t="s">
        <v>196</v>
      </c>
    </row>
    <row r="58" customFormat="false" ht="15" hidden="false" customHeight="false" outlineLevel="0" collapsed="false">
      <c r="A58" s="0" t="s">
        <v>190</v>
      </c>
      <c r="B58" s="0" t="s">
        <v>206</v>
      </c>
      <c r="C58" s="0" t="s">
        <v>20</v>
      </c>
      <c r="D58" s="0" t="s">
        <v>192</v>
      </c>
      <c r="E58" s="0" t="s">
        <v>207</v>
      </c>
      <c r="F58" s="0" t="n">
        <f aca="false">HYPERLINK("http://clipc-services.ceda.ac.uk/dreq/u/590fa2bc-9e49-11e5-803c-0d0b866b59f3.html","web")</f>
        <v>0</v>
      </c>
      <c r="G58" s="0" t="s">
        <v>194</v>
      </c>
      <c r="H58" s="0" t="s">
        <v>24</v>
      </c>
      <c r="I58" s="0" t="s">
        <v>208</v>
      </c>
      <c r="J58" s="0" t="s">
        <v>196</v>
      </c>
    </row>
    <row r="59" customFormat="false" ht="15" hidden="false" customHeight="false" outlineLevel="0" collapsed="false">
      <c r="A59" s="0" t="s">
        <v>190</v>
      </c>
      <c r="B59" s="0" t="s">
        <v>209</v>
      </c>
      <c r="C59" s="0" t="s">
        <v>20</v>
      </c>
      <c r="D59" s="0" t="s">
        <v>192</v>
      </c>
      <c r="E59" s="0" t="s">
        <v>210</v>
      </c>
      <c r="F59" s="0" t="n">
        <f aca="false">HYPERLINK("http://clipc-services.ceda.ac.uk/dreq/u/590ed5a8-9e49-11e5-803c-0d0b866b59f3.html","web")</f>
        <v>0</v>
      </c>
      <c r="G59" s="0" t="s">
        <v>211</v>
      </c>
      <c r="H59" s="0" t="s">
        <v>24</v>
      </c>
      <c r="I59" s="0" t="s">
        <v>212</v>
      </c>
      <c r="J59" s="0" t="s">
        <v>196</v>
      </c>
    </row>
    <row r="60" customFormat="false" ht="15" hidden="false" customHeight="false" outlineLevel="0" collapsed="false">
      <c r="A60" s="0" t="s">
        <v>190</v>
      </c>
      <c r="B60" s="0" t="s">
        <v>213</v>
      </c>
      <c r="C60" s="0" t="s">
        <v>20</v>
      </c>
      <c r="D60" s="0" t="s">
        <v>192</v>
      </c>
      <c r="E60" s="0" t="s">
        <v>214</v>
      </c>
      <c r="F60" s="0" t="n">
        <f aca="false">HYPERLINK("http://clipc-services.ceda.ac.uk/dreq/u/590e85a8-9e49-11e5-803c-0d0b866b59f3.html","web")</f>
        <v>0</v>
      </c>
      <c r="G60" s="0" t="s">
        <v>211</v>
      </c>
      <c r="H60" s="0" t="s">
        <v>24</v>
      </c>
      <c r="I60" s="0" t="s">
        <v>215</v>
      </c>
      <c r="J60" s="0" t="s">
        <v>196</v>
      </c>
    </row>
    <row r="61" customFormat="false" ht="15" hidden="false" customHeight="false" outlineLevel="0" collapsed="false">
      <c r="A61" s="0" t="s">
        <v>190</v>
      </c>
      <c r="B61" s="0" t="s">
        <v>216</v>
      </c>
      <c r="C61" s="0" t="s">
        <v>20</v>
      </c>
      <c r="D61" s="0" t="s">
        <v>192</v>
      </c>
      <c r="E61" s="0" t="s">
        <v>217</v>
      </c>
      <c r="F61" s="0" t="n">
        <f aca="false">HYPERLINK("http://clipc-services.ceda.ac.uk/dreq/u/59137716-9e49-11e5-803c-0d0b866b59f3.html","web")</f>
        <v>0</v>
      </c>
      <c r="G61" s="0" t="s">
        <v>194</v>
      </c>
      <c r="H61" s="0" t="s">
        <v>24</v>
      </c>
      <c r="I61" s="0" t="s">
        <v>218</v>
      </c>
      <c r="J61" s="0" t="s">
        <v>196</v>
      </c>
    </row>
    <row r="62" customFormat="false" ht="15" hidden="false" customHeight="false" outlineLevel="0" collapsed="false">
      <c r="A62" s="0" t="s">
        <v>190</v>
      </c>
      <c r="B62" s="0" t="s">
        <v>219</v>
      </c>
      <c r="C62" s="0" t="s">
        <v>20</v>
      </c>
      <c r="D62" s="0" t="s">
        <v>192</v>
      </c>
      <c r="E62" s="0" t="s">
        <v>220</v>
      </c>
      <c r="F62" s="0" t="n">
        <f aca="false">HYPERLINK("http://clipc-services.ceda.ac.uk/dreq/u/590e48f4-9e49-11e5-803c-0d0b866b59f3.html","web")</f>
        <v>0</v>
      </c>
      <c r="G62" s="0" t="s">
        <v>194</v>
      </c>
      <c r="H62" s="0" t="s">
        <v>24</v>
      </c>
      <c r="I62" s="0" t="s">
        <v>221</v>
      </c>
      <c r="J62" s="0" t="s">
        <v>196</v>
      </c>
    </row>
    <row r="63" customFormat="false" ht="15" hidden="false" customHeight="false" outlineLevel="0" collapsed="false">
      <c r="A63" s="0" t="s">
        <v>190</v>
      </c>
      <c r="B63" s="0" t="s">
        <v>222</v>
      </c>
      <c r="C63" s="0" t="s">
        <v>20</v>
      </c>
      <c r="D63" s="0" t="s">
        <v>192</v>
      </c>
      <c r="E63" s="0" t="s">
        <v>223</v>
      </c>
      <c r="F63" s="0" t="n">
        <f aca="false">HYPERLINK("http://clipc-services.ceda.ac.uk/dreq/u/590e883c-9e49-11e5-803c-0d0b866b59f3.html","web")</f>
        <v>0</v>
      </c>
      <c r="G63" s="0" t="s">
        <v>194</v>
      </c>
      <c r="H63" s="0" t="s">
        <v>24</v>
      </c>
      <c r="I63" s="0" t="s">
        <v>224</v>
      </c>
      <c r="J63" s="0" t="s">
        <v>196</v>
      </c>
    </row>
    <row r="65" customFormat="false" ht="15" hidden="false" customHeight="false" outlineLevel="0" collapsed="false">
      <c r="A65" s="0" t="s">
        <v>225</v>
      </c>
      <c r="B65" s="0" t="s">
        <v>226</v>
      </c>
      <c r="C65" s="0" t="s">
        <v>20</v>
      </c>
      <c r="D65" s="0" t="s">
        <v>152</v>
      </c>
      <c r="E65" s="0" t="s">
        <v>227</v>
      </c>
      <c r="F65" s="0" t="n">
        <f aca="false">HYPERLINK("http://clipc-services.ceda.ac.uk/dreq/u/51e0588121783d77407236e0d2eb5d14.html","web")</f>
        <v>0</v>
      </c>
      <c r="G65" s="0" t="s">
        <v>228</v>
      </c>
      <c r="H65" s="0" t="s">
        <v>229</v>
      </c>
      <c r="I65" s="0" t="s">
        <v>230</v>
      </c>
      <c r="J65" s="0" t="s">
        <v>231</v>
      </c>
    </row>
    <row r="66" customFormat="false" ht="15" hidden="false" customHeight="false" outlineLevel="0" collapsed="false">
      <c r="A66" s="0" t="s">
        <v>225</v>
      </c>
      <c r="B66" s="0" t="s">
        <v>232</v>
      </c>
      <c r="C66" s="0" t="s">
        <v>115</v>
      </c>
      <c r="D66" s="0" t="s">
        <v>152</v>
      </c>
      <c r="E66" s="0" t="s">
        <v>233</v>
      </c>
      <c r="F66" s="0" t="n">
        <f aca="false">HYPERLINK("http://clipc-services.ceda.ac.uk/dreq/u/3e437daab5bc69123a859ad361babc59.html","web")</f>
        <v>0</v>
      </c>
      <c r="G66" s="0" t="s">
        <v>234</v>
      </c>
      <c r="H66" s="0" t="s">
        <v>235</v>
      </c>
      <c r="I66" s="0" t="s">
        <v>236</v>
      </c>
      <c r="J66" s="0" t="s">
        <v>237</v>
      </c>
    </row>
    <row r="68" customFormat="false" ht="15" hidden="false" customHeight="false" outlineLevel="0" collapsed="false">
      <c r="A68" s="0" t="s">
        <v>238</v>
      </c>
      <c r="B68" s="0" t="s">
        <v>175</v>
      </c>
      <c r="C68" s="0" t="s">
        <v>20</v>
      </c>
      <c r="D68" s="0" t="s">
        <v>239</v>
      </c>
      <c r="E68" s="0" t="s">
        <v>177</v>
      </c>
      <c r="F68" s="0" t="n">
        <f aca="false">HYPERLINK("http://clipc-services.ceda.ac.uk/dreq/u/6d790fe4caa7feff46a41ae7b3811e52.html","web")</f>
        <v>0</v>
      </c>
      <c r="G68" s="0" t="s">
        <v>178</v>
      </c>
      <c r="I68" s="0" t="s">
        <v>179</v>
      </c>
      <c r="J68" s="0" t="s">
        <v>240</v>
      </c>
    </row>
    <row r="69" customFormat="false" ht="15" hidden="false" customHeight="false" outlineLevel="0" collapsed="false">
      <c r="A69" s="0" t="s">
        <v>238</v>
      </c>
      <c r="B69" s="0" t="s">
        <v>19</v>
      </c>
      <c r="C69" s="0" t="s">
        <v>20</v>
      </c>
      <c r="D69" s="0" t="s">
        <v>239</v>
      </c>
      <c r="E69" s="0" t="s">
        <v>22</v>
      </c>
      <c r="F69" s="0" t="n">
        <f aca="false">HYPERLINK("http://clipc-services.ceda.ac.uk/dreq/u/bcfeacf77d49ef51a6ee66a1ab0ebcb4.html","web")</f>
        <v>0</v>
      </c>
      <c r="G69" s="0" t="s">
        <v>23</v>
      </c>
      <c r="H69" s="0" t="s">
        <v>24</v>
      </c>
      <c r="I69" s="0" t="s">
        <v>25</v>
      </c>
      <c r="J69" s="0" t="s">
        <v>240</v>
      </c>
    </row>
    <row r="70" customFormat="false" ht="15" hidden="false" customHeight="false" outlineLevel="0" collapsed="false">
      <c r="A70" s="0" t="s">
        <v>238</v>
      </c>
      <c r="B70" s="0" t="s">
        <v>27</v>
      </c>
      <c r="C70" s="0" t="s">
        <v>20</v>
      </c>
      <c r="D70" s="0" t="s">
        <v>239</v>
      </c>
      <c r="E70" s="0" t="s">
        <v>28</v>
      </c>
      <c r="F70" s="0" t="n">
        <f aca="false">HYPERLINK("http://clipc-services.ceda.ac.uk/dreq/u/c323f38340e4846931ad4891232d839d.html","web")</f>
        <v>0</v>
      </c>
      <c r="G70" s="0" t="s">
        <v>23</v>
      </c>
      <c r="H70" s="0" t="s">
        <v>24</v>
      </c>
      <c r="I70" s="0" t="s">
        <v>29</v>
      </c>
      <c r="J70" s="0" t="s">
        <v>240</v>
      </c>
    </row>
    <row r="71" customFormat="false" ht="15" hidden="false" customHeight="false" outlineLevel="0" collapsed="false">
      <c r="A71" s="0" t="s">
        <v>238</v>
      </c>
      <c r="B71" s="0" t="s">
        <v>30</v>
      </c>
      <c r="C71" s="0" t="s">
        <v>20</v>
      </c>
      <c r="D71" s="0" t="s">
        <v>239</v>
      </c>
      <c r="E71" s="0" t="s">
        <v>31</v>
      </c>
      <c r="F71" s="0" t="n">
        <f aca="false">HYPERLINK("http://clipc-services.ceda.ac.uk/dreq/u/c432bfbfc0e7f4403f91af39736ff61c.html","web")</f>
        <v>0</v>
      </c>
      <c r="G71" s="0" t="s">
        <v>23</v>
      </c>
      <c r="H71" s="0" t="s">
        <v>24</v>
      </c>
      <c r="I71" s="0" t="s">
        <v>32</v>
      </c>
      <c r="J71" s="0" t="s">
        <v>240</v>
      </c>
    </row>
    <row r="72" customFormat="false" ht="15" hidden="false" customHeight="false" outlineLevel="0" collapsed="false">
      <c r="A72" s="0" t="s">
        <v>238</v>
      </c>
      <c r="B72" s="0" t="s">
        <v>33</v>
      </c>
      <c r="C72" s="0" t="s">
        <v>20</v>
      </c>
      <c r="D72" s="0" t="s">
        <v>239</v>
      </c>
      <c r="E72" s="0" t="s">
        <v>34</v>
      </c>
      <c r="F72" s="0" t="n">
        <f aca="false">HYPERLINK("http://clipc-services.ceda.ac.uk/dreq/u/eb9ac643cd9c73cae960d6d2db7b901d.html","web")</f>
        <v>0</v>
      </c>
      <c r="G72" s="0" t="s">
        <v>23</v>
      </c>
      <c r="H72" s="0" t="s">
        <v>24</v>
      </c>
      <c r="I72" s="0" t="s">
        <v>35</v>
      </c>
      <c r="J72" s="0" t="s">
        <v>240</v>
      </c>
    </row>
    <row r="73" customFormat="false" ht="15" hidden="false" customHeight="false" outlineLevel="0" collapsed="false">
      <c r="A73" s="0" t="s">
        <v>238</v>
      </c>
      <c r="B73" s="0" t="s">
        <v>241</v>
      </c>
      <c r="C73" s="0" t="s">
        <v>20</v>
      </c>
      <c r="D73" s="0" t="s">
        <v>239</v>
      </c>
      <c r="E73" s="0" t="s">
        <v>242</v>
      </c>
      <c r="F73" s="0" t="n">
        <f aca="false">HYPERLINK("http://clipc-services.ceda.ac.uk/dreq/u/a8607fe15cb4f2997228523340233d91.html","web")</f>
        <v>0</v>
      </c>
      <c r="G73" s="0" t="s">
        <v>23</v>
      </c>
      <c r="H73" s="0" t="s">
        <v>24</v>
      </c>
      <c r="I73" s="0" t="s">
        <v>243</v>
      </c>
      <c r="J73" s="0" t="s">
        <v>240</v>
      </c>
    </row>
    <row r="74" customFormat="false" ht="15" hidden="false" customHeight="false" outlineLevel="0" collapsed="false">
      <c r="A74" s="0" t="s">
        <v>238</v>
      </c>
      <c r="B74" s="0" t="s">
        <v>244</v>
      </c>
      <c r="C74" s="0" t="s">
        <v>20</v>
      </c>
      <c r="D74" s="0" t="s">
        <v>239</v>
      </c>
      <c r="E74" s="0" t="s">
        <v>245</v>
      </c>
      <c r="F74" s="0" t="n">
        <f aca="false">HYPERLINK("http://clipc-services.ceda.ac.uk/dreq/u/eb72b66b6365daed79aefeda9d3d30b5.html","web")</f>
        <v>0</v>
      </c>
      <c r="G74" s="0" t="s">
        <v>246</v>
      </c>
      <c r="H74" s="0" t="s">
        <v>24</v>
      </c>
      <c r="I74" s="0" t="s">
        <v>247</v>
      </c>
      <c r="J74" s="0" t="s">
        <v>240</v>
      </c>
    </row>
    <row r="75" customFormat="false" ht="15" hidden="false" customHeight="false" outlineLevel="0" collapsed="false">
      <c r="A75" s="0" t="s">
        <v>238</v>
      </c>
      <c r="B75" s="0" t="s">
        <v>248</v>
      </c>
      <c r="C75" s="0" t="s">
        <v>20</v>
      </c>
      <c r="D75" s="0" t="s">
        <v>239</v>
      </c>
      <c r="E75" s="0" t="s">
        <v>249</v>
      </c>
      <c r="F75" s="0" t="n">
        <f aca="false">HYPERLINK("http://clipc-services.ceda.ac.uk/dreq/u/e79eb59d74038643b2201bb0556e720a.html","web")</f>
        <v>0</v>
      </c>
      <c r="G75" s="0" t="s">
        <v>23</v>
      </c>
      <c r="H75" s="0" t="s">
        <v>24</v>
      </c>
      <c r="I75" s="0" t="s">
        <v>250</v>
      </c>
      <c r="J75" s="0" t="s">
        <v>240</v>
      </c>
    </row>
    <row r="76" customFormat="false" ht="15" hidden="false" customHeight="false" outlineLevel="0" collapsed="false">
      <c r="A76" s="0" t="s">
        <v>238</v>
      </c>
      <c r="B76" s="0" t="s">
        <v>251</v>
      </c>
      <c r="C76" s="0" t="s">
        <v>20</v>
      </c>
      <c r="D76" s="0" t="s">
        <v>239</v>
      </c>
      <c r="E76" s="0" t="s">
        <v>252</v>
      </c>
      <c r="F76" s="0" t="n">
        <f aca="false">HYPERLINK("http://clipc-services.ceda.ac.uk/dreq/u/38806cec3ba894d7745fada80c9f6fe6.html","web")</f>
        <v>0</v>
      </c>
      <c r="G76" s="0" t="s">
        <v>246</v>
      </c>
      <c r="H76" s="0" t="s">
        <v>24</v>
      </c>
      <c r="I76" s="0" t="s">
        <v>253</v>
      </c>
      <c r="J76" s="0" t="s">
        <v>240</v>
      </c>
    </row>
    <row r="77" customFormat="false" ht="15" hidden="false" customHeight="false" outlineLevel="0" collapsed="false">
      <c r="A77" s="0" t="s">
        <v>238</v>
      </c>
      <c r="B77" s="0" t="s">
        <v>254</v>
      </c>
      <c r="C77" s="0" t="s">
        <v>20</v>
      </c>
      <c r="D77" s="0" t="s">
        <v>255</v>
      </c>
      <c r="E77" s="0" t="s">
        <v>256</v>
      </c>
      <c r="F77" s="0" t="n">
        <f aca="false">HYPERLINK("http://clipc-services.ceda.ac.uk/dreq/u/ea55d8afe6bacbfa1029c0048717eaaa.html","web")</f>
        <v>0</v>
      </c>
      <c r="G77" s="0" t="s">
        <v>257</v>
      </c>
      <c r="H77" s="0" t="s">
        <v>258</v>
      </c>
      <c r="I77" s="0" t="s">
        <v>256</v>
      </c>
      <c r="J77" s="0" t="s">
        <v>240</v>
      </c>
    </row>
    <row r="78" customFormat="false" ht="15" hidden="false" customHeight="false" outlineLevel="0" collapsed="false">
      <c r="A78" s="0" t="s">
        <v>238</v>
      </c>
      <c r="B78" s="0" t="s">
        <v>259</v>
      </c>
      <c r="C78" s="0" t="s">
        <v>20</v>
      </c>
      <c r="D78" s="0" t="s">
        <v>255</v>
      </c>
      <c r="E78" s="0" t="s">
        <v>260</v>
      </c>
      <c r="F78" s="0" t="n">
        <f aca="false">HYPERLINK("http://clipc-services.ceda.ac.uk/dreq/u/621681bc7c376de66228fdde13b97516.html","web")</f>
        <v>0</v>
      </c>
      <c r="G78" s="0" t="s">
        <v>261</v>
      </c>
      <c r="H78" s="0" t="s">
        <v>24</v>
      </c>
      <c r="I78" s="0" t="s">
        <v>262</v>
      </c>
      <c r="J78" s="0" t="s">
        <v>240</v>
      </c>
    </row>
    <row r="79" customFormat="false" ht="15" hidden="false" customHeight="false" outlineLevel="0" collapsed="false">
      <c r="A79" s="0" t="s">
        <v>238</v>
      </c>
      <c r="B79" s="0" t="s">
        <v>263</v>
      </c>
      <c r="C79" s="0" t="s">
        <v>20</v>
      </c>
      <c r="D79" s="0" t="s">
        <v>255</v>
      </c>
      <c r="E79" s="0" t="s">
        <v>264</v>
      </c>
      <c r="F79" s="0" t="n">
        <f aca="false">HYPERLINK("http://clipc-services.ceda.ac.uk/dreq/u/475dc209e9f9cd51eedee4d26caf9f67.html","web")</f>
        <v>0</v>
      </c>
      <c r="G79" s="0" t="s">
        <v>265</v>
      </c>
      <c r="H79" s="0" t="s">
        <v>258</v>
      </c>
      <c r="I79" s="0" t="s">
        <v>266</v>
      </c>
      <c r="J79" s="0" t="s">
        <v>240</v>
      </c>
    </row>
    <row r="80" customFormat="false" ht="15" hidden="false" customHeight="false" outlineLevel="0" collapsed="false">
      <c r="A80" s="0" t="s">
        <v>238</v>
      </c>
      <c r="B80" s="0" t="s">
        <v>267</v>
      </c>
      <c r="C80" s="0" t="s">
        <v>20</v>
      </c>
      <c r="D80" s="0" t="s">
        <v>255</v>
      </c>
      <c r="E80" s="0" t="s">
        <v>268</v>
      </c>
      <c r="F80" s="0" t="n">
        <f aca="false">HYPERLINK("http://clipc-services.ceda.ac.uk/dreq/u/150d0829eec06aeaf75d22d08d328ffa.html","web")</f>
        <v>0</v>
      </c>
      <c r="G80" s="0" t="s">
        <v>269</v>
      </c>
      <c r="H80" s="0" t="s">
        <v>258</v>
      </c>
      <c r="I80" s="0" t="s">
        <v>268</v>
      </c>
      <c r="J80" s="0" t="s">
        <v>240</v>
      </c>
    </row>
    <row r="81" customFormat="false" ht="15" hidden="false" customHeight="false" outlineLevel="0" collapsed="false">
      <c r="A81" s="0" t="s">
        <v>238</v>
      </c>
      <c r="B81" s="0" t="s">
        <v>270</v>
      </c>
      <c r="C81" s="0" t="s">
        <v>20</v>
      </c>
      <c r="D81" s="0" t="s">
        <v>255</v>
      </c>
      <c r="E81" s="0" t="s">
        <v>271</v>
      </c>
      <c r="F81" s="0" t="n">
        <f aca="false">HYPERLINK("http://clipc-services.ceda.ac.uk/dreq/u/2c8cb564bae033f641135194947da163.html","web")</f>
        <v>0</v>
      </c>
      <c r="G81" s="0" t="s">
        <v>194</v>
      </c>
      <c r="H81" s="0" t="s">
        <v>258</v>
      </c>
      <c r="I81" s="0" t="s">
        <v>272</v>
      </c>
      <c r="J81" s="0" t="s">
        <v>240</v>
      </c>
    </row>
    <row r="82" customFormat="false" ht="15" hidden="false" customHeight="false" outlineLevel="0" collapsed="false">
      <c r="A82" s="0" t="s">
        <v>238</v>
      </c>
      <c r="B82" s="0" t="s">
        <v>273</v>
      </c>
      <c r="C82" s="0" t="s">
        <v>20</v>
      </c>
      <c r="D82" s="0" t="s">
        <v>255</v>
      </c>
      <c r="E82" s="0" t="s">
        <v>274</v>
      </c>
      <c r="F82" s="0" t="n">
        <f aca="false">HYPERLINK("http://clipc-services.ceda.ac.uk/dreq/u/9e9e7476986ece18ce380652eaabe342.html","web")</f>
        <v>0</v>
      </c>
      <c r="G82" s="0" t="s">
        <v>275</v>
      </c>
      <c r="H82" s="0" t="s">
        <v>258</v>
      </c>
      <c r="I82" s="0" t="s">
        <v>276</v>
      </c>
      <c r="J82" s="0" t="s">
        <v>240</v>
      </c>
    </row>
    <row r="83" customFormat="false" ht="15" hidden="false" customHeight="false" outlineLevel="0" collapsed="false">
      <c r="A83" s="0" t="s">
        <v>238</v>
      </c>
      <c r="B83" s="0" t="s">
        <v>277</v>
      </c>
      <c r="C83" s="0" t="s">
        <v>20</v>
      </c>
      <c r="D83" s="0" t="s">
        <v>255</v>
      </c>
      <c r="E83" s="0" t="s">
        <v>278</v>
      </c>
      <c r="F83" s="0" t="n">
        <f aca="false">HYPERLINK("http://clipc-services.ceda.ac.uk/dreq/u/52c137a21845ae294b27ad40eaca096d.html","web")</f>
        <v>0</v>
      </c>
      <c r="G83" s="0" t="s">
        <v>194</v>
      </c>
      <c r="H83" s="0" t="s">
        <v>24</v>
      </c>
      <c r="I83" s="0" t="s">
        <v>279</v>
      </c>
      <c r="J83" s="0" t="s">
        <v>240</v>
      </c>
    </row>
    <row r="84" customFormat="false" ht="15" hidden="false" customHeight="false" outlineLevel="0" collapsed="false">
      <c r="A84" s="0" t="s">
        <v>238</v>
      </c>
      <c r="B84" s="0" t="s">
        <v>280</v>
      </c>
      <c r="C84" s="0" t="s">
        <v>20</v>
      </c>
      <c r="D84" s="0" t="s">
        <v>255</v>
      </c>
      <c r="E84" s="0" t="s">
        <v>281</v>
      </c>
      <c r="F84" s="0" t="n">
        <f aca="false">HYPERLINK("http://clipc-services.ceda.ac.uk/dreq/u/c373986159daf18eee63ca731d52b6f7.html","web")</f>
        <v>0</v>
      </c>
      <c r="G84" s="0" t="s">
        <v>194</v>
      </c>
      <c r="H84" s="0" t="s">
        <v>24</v>
      </c>
      <c r="I84" s="0" t="s">
        <v>282</v>
      </c>
      <c r="J84" s="0" t="s">
        <v>240</v>
      </c>
    </row>
    <row r="85" customFormat="false" ht="15" hidden="false" customHeight="false" outlineLevel="0" collapsed="false">
      <c r="A85" s="0" t="s">
        <v>238</v>
      </c>
      <c r="B85" s="0" t="s">
        <v>165</v>
      </c>
      <c r="C85" s="0" t="s">
        <v>20</v>
      </c>
      <c r="D85" s="0" t="s">
        <v>283</v>
      </c>
      <c r="E85" s="0" t="s">
        <v>166</v>
      </c>
      <c r="F85" s="0" t="n">
        <f aca="false">HYPERLINK("http://clipc-services.ceda.ac.uk/dreq/u/13484743dd3369c69df93379e6dafbb5.html","web")</f>
        <v>0</v>
      </c>
      <c r="G85" s="0" t="s">
        <v>167</v>
      </c>
      <c r="I85" s="0" t="s">
        <v>168</v>
      </c>
      <c r="J85" s="0" t="s">
        <v>240</v>
      </c>
    </row>
    <row r="86" customFormat="false" ht="15" hidden="false" customHeight="false" outlineLevel="0" collapsed="false">
      <c r="A86" s="0" t="s">
        <v>238</v>
      </c>
      <c r="B86" s="0" t="s">
        <v>170</v>
      </c>
      <c r="C86" s="0" t="s">
        <v>20</v>
      </c>
      <c r="D86" s="0" t="s">
        <v>283</v>
      </c>
      <c r="E86" s="0" t="s">
        <v>171</v>
      </c>
      <c r="F86" s="0" t="n">
        <f aca="false">HYPERLINK("http://clipc-services.ceda.ac.uk/dreq/u/0062272a6a4176b8c32af87642b062c5.html","web")</f>
        <v>0</v>
      </c>
      <c r="G86" s="0" t="s">
        <v>172</v>
      </c>
      <c r="H86" s="0" t="s">
        <v>173</v>
      </c>
      <c r="I86" s="0" t="s">
        <v>174</v>
      </c>
      <c r="J86" s="0" t="s">
        <v>240</v>
      </c>
    </row>
    <row r="87" customFormat="false" ht="15" hidden="false" customHeight="false" outlineLevel="0" collapsed="false">
      <c r="A87" s="0" t="s">
        <v>238</v>
      </c>
      <c r="B87" s="0" t="s">
        <v>284</v>
      </c>
      <c r="C87" s="0" t="s">
        <v>20</v>
      </c>
      <c r="D87" s="0" t="s">
        <v>283</v>
      </c>
      <c r="E87" s="0" t="s">
        <v>285</v>
      </c>
      <c r="F87" s="0" t="n">
        <f aca="false">HYPERLINK("http://clipc-services.ceda.ac.uk/dreq/u/29fae9ea0f236a3eb144026e1bafde28.html","web")</f>
        <v>0</v>
      </c>
      <c r="G87" s="0" t="s">
        <v>286</v>
      </c>
      <c r="H87" s="0" t="s">
        <v>287</v>
      </c>
      <c r="I87" s="0" t="s">
        <v>288</v>
      </c>
      <c r="J87" s="0" t="s">
        <v>240</v>
      </c>
    </row>
    <row r="88" customFormat="false" ht="15" hidden="false" customHeight="false" outlineLevel="0" collapsed="false">
      <c r="A88" s="0" t="s">
        <v>238</v>
      </c>
      <c r="B88" s="0" t="s">
        <v>289</v>
      </c>
      <c r="C88" s="0" t="s">
        <v>20</v>
      </c>
      <c r="D88" s="0" t="s">
        <v>283</v>
      </c>
      <c r="E88" s="0" t="s">
        <v>290</v>
      </c>
      <c r="F88" s="0" t="n">
        <f aca="false">HYPERLINK("http://clipc-services.ceda.ac.uk/dreq/u/8de0f30b91b15720398fc10fd712a182.html","web")</f>
        <v>0</v>
      </c>
      <c r="G88" s="0" t="s">
        <v>286</v>
      </c>
      <c r="H88" s="0" t="s">
        <v>173</v>
      </c>
      <c r="I88" s="0" t="s">
        <v>291</v>
      </c>
      <c r="J88" s="0" t="s">
        <v>240</v>
      </c>
    </row>
    <row r="90" customFormat="false" ht="15" hidden="false" customHeight="false" outlineLevel="0" collapsed="false">
      <c r="A90" s="0" t="s">
        <v>292</v>
      </c>
      <c r="B90" s="0" t="s">
        <v>293</v>
      </c>
      <c r="C90" s="0" t="s">
        <v>20</v>
      </c>
      <c r="D90" s="0" t="s">
        <v>294</v>
      </c>
      <c r="E90" s="0" t="s">
        <v>295</v>
      </c>
      <c r="F90" s="0" t="n">
        <f aca="false">HYPERLINK("http://clipc-services.ceda.ac.uk/dreq/u/faeffb2438794e8400143533d61d1623.html","web")</f>
        <v>0</v>
      </c>
      <c r="G90" s="0" t="s">
        <v>296</v>
      </c>
      <c r="H90" s="0" t="s">
        <v>48</v>
      </c>
      <c r="I90" s="0" t="s">
        <v>297</v>
      </c>
      <c r="J90" s="0" t="s">
        <v>298</v>
      </c>
    </row>
    <row r="91" customFormat="false" ht="15" hidden="false" customHeight="false" outlineLevel="0" collapsed="false">
      <c r="A91" s="0" t="s">
        <v>292</v>
      </c>
      <c r="B91" s="0" t="s">
        <v>299</v>
      </c>
      <c r="C91" s="0" t="s">
        <v>20</v>
      </c>
      <c r="D91" s="0" t="s">
        <v>300</v>
      </c>
      <c r="E91" s="0" t="s">
        <v>295</v>
      </c>
      <c r="F91" s="0" t="n">
        <f aca="false">HYPERLINK("http://clipc-services.ceda.ac.uk/dreq/u/fe8d7416c92bdae56503590599286800.html","web")</f>
        <v>0</v>
      </c>
      <c r="G91" s="0" t="s">
        <v>301</v>
      </c>
      <c r="H91" s="0" t="s">
        <v>302</v>
      </c>
      <c r="I91" s="0" t="s">
        <v>297</v>
      </c>
      <c r="J91" s="0" t="s">
        <v>298</v>
      </c>
    </row>
    <row r="92" customFormat="false" ht="15" hidden="false" customHeight="false" outlineLevel="0" collapsed="false">
      <c r="A92" s="0" t="s">
        <v>292</v>
      </c>
      <c r="B92" s="0" t="s">
        <v>303</v>
      </c>
      <c r="C92" s="0" t="s">
        <v>20</v>
      </c>
      <c r="D92" s="0" t="s">
        <v>152</v>
      </c>
      <c r="E92" s="0" t="s">
        <v>304</v>
      </c>
      <c r="F92" s="0" t="n">
        <f aca="false">HYPERLINK("http://clipc-services.ceda.ac.uk/dreq/u/ced45b8b1f2797c54425755202dce533.html","web")</f>
        <v>0</v>
      </c>
      <c r="G92" s="0" t="s">
        <v>305</v>
      </c>
      <c r="H92" s="0" t="s">
        <v>48</v>
      </c>
      <c r="I92" s="0" t="s">
        <v>306</v>
      </c>
      <c r="J92" s="0" t="s">
        <v>298</v>
      </c>
    </row>
    <row r="94" customFormat="false" ht="15" hidden="false" customHeight="false" outlineLevel="0" collapsed="false">
      <c r="A94" s="0" t="s">
        <v>307</v>
      </c>
      <c r="B94" s="0" t="s">
        <v>308</v>
      </c>
      <c r="C94" s="0" t="s">
        <v>20</v>
      </c>
      <c r="D94" s="0" t="s">
        <v>152</v>
      </c>
      <c r="E94" s="0" t="s">
        <v>309</v>
      </c>
      <c r="F94" s="0" t="n">
        <f aca="false">HYPERLINK("http://clipc-services.ceda.ac.uk/dreq/u/f27656eeae247192e82aa1032c911399.html","web")</f>
        <v>0</v>
      </c>
      <c r="G94" s="0" t="s">
        <v>310</v>
      </c>
      <c r="H94" s="0" t="s">
        <v>311</v>
      </c>
      <c r="J94" s="0" t="s">
        <v>312</v>
      </c>
    </row>
    <row r="96" customFormat="false" ht="15" hidden="false" customHeight="false" outlineLevel="0" collapsed="false">
      <c r="A96" s="0" t="s">
        <v>313</v>
      </c>
      <c r="B96" s="0" t="s">
        <v>314</v>
      </c>
      <c r="C96" s="0" t="s">
        <v>20</v>
      </c>
      <c r="D96" s="0" t="s">
        <v>152</v>
      </c>
      <c r="E96" s="0" t="s">
        <v>315</v>
      </c>
      <c r="F96" s="0" t="n">
        <f aca="false">HYPERLINK("http://clipc-services.ceda.ac.uk/dreq/u/590d38b0-9e49-11e5-803c-0d0b866b59f3.html","web")</f>
        <v>0</v>
      </c>
      <c r="G96" s="0" t="s">
        <v>316</v>
      </c>
      <c r="H96" s="0" t="s">
        <v>317</v>
      </c>
      <c r="I96" s="0" t="s">
        <v>318</v>
      </c>
      <c r="J96" s="0" t="s">
        <v>319</v>
      </c>
    </row>
    <row r="97" customFormat="false" ht="15" hidden="false" customHeight="false" outlineLevel="0" collapsed="false">
      <c r="A97" s="0" t="s">
        <v>313</v>
      </c>
      <c r="B97" s="0" t="s">
        <v>320</v>
      </c>
      <c r="C97" s="0" t="s">
        <v>12</v>
      </c>
      <c r="D97" s="0" t="s">
        <v>152</v>
      </c>
      <c r="E97" s="0" t="s">
        <v>321</v>
      </c>
      <c r="F97" s="0" t="n">
        <f aca="false">HYPERLINK("http://clipc-services.ceda.ac.uk/dreq/u/5917e51c-9e49-11e5-803c-0d0b866b59f3.html","web")</f>
        <v>0</v>
      </c>
      <c r="G97" s="0" t="s">
        <v>322</v>
      </c>
      <c r="H97" s="0" t="s">
        <v>323</v>
      </c>
      <c r="I97" s="0" t="s">
        <v>324</v>
      </c>
      <c r="J97" s="0" t="s">
        <v>325</v>
      </c>
    </row>
    <row r="98" customFormat="false" ht="15" hidden="false" customHeight="false" outlineLevel="0" collapsed="false">
      <c r="A98" s="0" t="s">
        <v>313</v>
      </c>
      <c r="B98" s="0" t="s">
        <v>326</v>
      </c>
      <c r="C98" s="0" t="s">
        <v>12</v>
      </c>
      <c r="D98" s="0" t="s">
        <v>152</v>
      </c>
      <c r="E98" s="0" t="s">
        <v>327</v>
      </c>
      <c r="F98" s="0" t="n">
        <f aca="false">HYPERLINK("http://clipc-services.ceda.ac.uk/dreq/u/590e9656-9e49-11e5-803c-0d0b866b59f3.html","web")</f>
        <v>0</v>
      </c>
      <c r="G98" s="0" t="s">
        <v>328</v>
      </c>
      <c r="H98" s="0" t="s">
        <v>323</v>
      </c>
      <c r="I98" s="0" t="s">
        <v>329</v>
      </c>
      <c r="J98" s="0" t="s">
        <v>325</v>
      </c>
    </row>
    <row r="99" customFormat="false" ht="15" hidden="false" customHeight="false" outlineLevel="0" collapsed="false">
      <c r="A99" s="0" t="s">
        <v>313</v>
      </c>
      <c r="B99" s="0" t="s">
        <v>330</v>
      </c>
      <c r="C99" s="0" t="s">
        <v>12</v>
      </c>
      <c r="D99" s="0" t="s">
        <v>152</v>
      </c>
      <c r="E99" s="0" t="s">
        <v>331</v>
      </c>
      <c r="F99" s="0" t="n">
        <f aca="false">HYPERLINK("http://clipc-services.ceda.ac.uk/dreq/u/591733d8-9e49-11e5-803c-0d0b866b59f3.html","web")</f>
        <v>0</v>
      </c>
      <c r="G99" s="0" t="s">
        <v>322</v>
      </c>
      <c r="H99" s="0" t="s">
        <v>323</v>
      </c>
      <c r="I99" s="0" t="s">
        <v>332</v>
      </c>
      <c r="J99" s="0" t="s">
        <v>325</v>
      </c>
    </row>
    <row r="100" customFormat="false" ht="15" hidden="false" customHeight="false" outlineLevel="0" collapsed="false">
      <c r="A100" s="0" t="s">
        <v>313</v>
      </c>
      <c r="B100" s="0" t="s">
        <v>333</v>
      </c>
      <c r="C100" s="0" t="s">
        <v>12</v>
      </c>
      <c r="D100" s="0" t="s">
        <v>152</v>
      </c>
      <c r="E100" s="0" t="s">
        <v>334</v>
      </c>
      <c r="F100" s="0" t="n">
        <f aca="false">HYPERLINK("http://clipc-services.ceda.ac.uk/dreq/u/590dbb78-9e49-11e5-803c-0d0b866b59f3.html","web")</f>
        <v>0</v>
      </c>
      <c r="G100" s="0" t="s">
        <v>322</v>
      </c>
      <c r="H100" s="0" t="s">
        <v>323</v>
      </c>
      <c r="I100" s="0" t="s">
        <v>335</v>
      </c>
      <c r="J100" s="0" t="s">
        <v>336</v>
      </c>
    </row>
    <row r="101" customFormat="false" ht="15" hidden="false" customHeight="false" outlineLevel="0" collapsed="false">
      <c r="A101" s="0" t="s">
        <v>313</v>
      </c>
      <c r="B101" s="0" t="s">
        <v>337</v>
      </c>
      <c r="C101" s="0" t="s">
        <v>12</v>
      </c>
      <c r="D101" s="0" t="s">
        <v>152</v>
      </c>
      <c r="E101" s="0" t="s">
        <v>338</v>
      </c>
      <c r="F101" s="0" t="n">
        <f aca="false">HYPERLINK("http://clipc-services.ceda.ac.uk/dreq/u/59131140-9e49-11e5-803c-0d0b866b59f3.html","web")</f>
        <v>0</v>
      </c>
      <c r="G101" s="0" t="s">
        <v>322</v>
      </c>
      <c r="H101" s="0" t="s">
        <v>323</v>
      </c>
      <c r="I101" s="0" t="s">
        <v>339</v>
      </c>
      <c r="J101" s="0" t="s">
        <v>336</v>
      </c>
    </row>
    <row r="102" customFormat="false" ht="15" hidden="false" customHeight="false" outlineLevel="0" collapsed="false">
      <c r="A102" s="0" t="s">
        <v>313</v>
      </c>
      <c r="B102" s="0" t="s">
        <v>340</v>
      </c>
      <c r="C102" s="0" t="s">
        <v>12</v>
      </c>
      <c r="D102" s="0" t="s">
        <v>341</v>
      </c>
      <c r="E102" s="0" t="s">
        <v>342</v>
      </c>
      <c r="F102" s="0" t="n">
        <f aca="false">HYPERLINK("http://clipc-services.ceda.ac.uk/dreq/u/7309e7f8-7a68-11e6-8db2-ac72891c3257.html","web")</f>
        <v>0</v>
      </c>
      <c r="G102" s="0" t="s">
        <v>322</v>
      </c>
      <c r="H102" s="0" t="s">
        <v>323</v>
      </c>
      <c r="I102" s="0" t="s">
        <v>343</v>
      </c>
      <c r="J102" s="0" t="s">
        <v>325</v>
      </c>
    </row>
    <row r="104" customFormat="false" ht="15" hidden="false" customHeight="false" outlineLevel="0" collapsed="false">
      <c r="A104" s="0" t="s">
        <v>344</v>
      </c>
      <c r="B104" s="0" t="s">
        <v>19</v>
      </c>
      <c r="C104" s="0" t="s">
        <v>20</v>
      </c>
      <c r="D104" s="0" t="s">
        <v>176</v>
      </c>
      <c r="E104" s="0" t="s">
        <v>22</v>
      </c>
      <c r="F104" s="0" t="n">
        <f aca="false">HYPERLINK("http://clipc-services.ceda.ac.uk/dreq/u/bcfeacf77d49ef51a6ee66a1ab0ebcb4.html","web")</f>
        <v>0</v>
      </c>
      <c r="G104" s="0" t="s">
        <v>23</v>
      </c>
      <c r="H104" s="0" t="s">
        <v>24</v>
      </c>
      <c r="I104" s="0" t="s">
        <v>25</v>
      </c>
      <c r="J104" s="0" t="s">
        <v>345</v>
      </c>
    </row>
    <row r="105" customFormat="false" ht="15" hidden="false" customHeight="false" outlineLevel="0" collapsed="false">
      <c r="A105" s="0" t="s">
        <v>344</v>
      </c>
      <c r="B105" s="0" t="s">
        <v>27</v>
      </c>
      <c r="C105" s="0" t="s">
        <v>20</v>
      </c>
      <c r="D105" s="0" t="s">
        <v>176</v>
      </c>
      <c r="E105" s="0" t="s">
        <v>28</v>
      </c>
      <c r="F105" s="0" t="n">
        <f aca="false">HYPERLINK("http://clipc-services.ceda.ac.uk/dreq/u/c323f38340e4846931ad4891232d839d.html","web")</f>
        <v>0</v>
      </c>
      <c r="G105" s="0" t="s">
        <v>23</v>
      </c>
      <c r="H105" s="0" t="s">
        <v>24</v>
      </c>
      <c r="I105" s="0" t="s">
        <v>29</v>
      </c>
      <c r="J105" s="0" t="s">
        <v>345</v>
      </c>
    </row>
    <row r="106" customFormat="false" ht="15" hidden="false" customHeight="false" outlineLevel="0" collapsed="false">
      <c r="A106" s="0" t="s">
        <v>344</v>
      </c>
      <c r="B106" s="0" t="s">
        <v>30</v>
      </c>
      <c r="C106" s="0" t="s">
        <v>20</v>
      </c>
      <c r="D106" s="0" t="s">
        <v>176</v>
      </c>
      <c r="E106" s="0" t="s">
        <v>31</v>
      </c>
      <c r="F106" s="0" t="n">
        <f aca="false">HYPERLINK("http://clipc-services.ceda.ac.uk/dreq/u/c432bfbfc0e7f4403f91af39736ff61c.html","web")</f>
        <v>0</v>
      </c>
      <c r="G106" s="0" t="s">
        <v>23</v>
      </c>
      <c r="H106" s="0" t="s">
        <v>24</v>
      </c>
      <c r="I106" s="0" t="s">
        <v>32</v>
      </c>
      <c r="J106" s="0" t="s">
        <v>345</v>
      </c>
    </row>
    <row r="107" customFormat="false" ht="15" hidden="false" customHeight="false" outlineLevel="0" collapsed="false">
      <c r="A107" s="0" t="s">
        <v>344</v>
      </c>
      <c r="B107" s="0" t="s">
        <v>33</v>
      </c>
      <c r="C107" s="0" t="s">
        <v>20</v>
      </c>
      <c r="D107" s="0" t="s">
        <v>176</v>
      </c>
      <c r="E107" s="0" t="s">
        <v>34</v>
      </c>
      <c r="F107" s="0" t="n">
        <f aca="false">HYPERLINK("http://clipc-services.ceda.ac.uk/dreq/u/eb9ac643cd9c73cae960d6d2db7b901d.html","web")</f>
        <v>0</v>
      </c>
      <c r="G107" s="0" t="s">
        <v>23</v>
      </c>
      <c r="H107" s="0" t="s">
        <v>24</v>
      </c>
      <c r="I107" s="0" t="s">
        <v>35</v>
      </c>
      <c r="J107" s="0" t="s">
        <v>345</v>
      </c>
    </row>
    <row r="108" customFormat="false" ht="15" hidden="false" customHeight="false" outlineLevel="0" collapsed="false">
      <c r="A108" s="0" t="s">
        <v>344</v>
      </c>
      <c r="B108" s="0" t="s">
        <v>241</v>
      </c>
      <c r="C108" s="0" t="s">
        <v>20</v>
      </c>
      <c r="D108" s="0" t="s">
        <v>176</v>
      </c>
      <c r="E108" s="0" t="s">
        <v>242</v>
      </c>
      <c r="F108" s="0" t="n">
        <f aca="false">HYPERLINK("http://clipc-services.ceda.ac.uk/dreq/u/a8607fe15cb4f2997228523340233d91.html","web")</f>
        <v>0</v>
      </c>
      <c r="G108" s="0" t="s">
        <v>23</v>
      </c>
      <c r="H108" s="0" t="s">
        <v>24</v>
      </c>
      <c r="I108" s="0" t="s">
        <v>243</v>
      </c>
      <c r="J108" s="0" t="s">
        <v>345</v>
      </c>
    </row>
    <row r="109" customFormat="false" ht="15" hidden="false" customHeight="false" outlineLevel="0" collapsed="false">
      <c r="A109" s="0" t="s">
        <v>344</v>
      </c>
      <c r="B109" s="0" t="s">
        <v>244</v>
      </c>
      <c r="C109" s="0" t="s">
        <v>20</v>
      </c>
      <c r="D109" s="0" t="s">
        <v>176</v>
      </c>
      <c r="E109" s="0" t="s">
        <v>245</v>
      </c>
      <c r="F109" s="0" t="n">
        <f aca="false">HYPERLINK("http://clipc-services.ceda.ac.uk/dreq/u/eb72b66b6365daed79aefeda9d3d30b5.html","web")</f>
        <v>0</v>
      </c>
      <c r="G109" s="0" t="s">
        <v>246</v>
      </c>
      <c r="H109" s="0" t="s">
        <v>24</v>
      </c>
      <c r="I109" s="0" t="s">
        <v>247</v>
      </c>
      <c r="J109" s="0" t="s">
        <v>345</v>
      </c>
    </row>
    <row r="110" customFormat="false" ht="15" hidden="false" customHeight="false" outlineLevel="0" collapsed="false">
      <c r="A110" s="0" t="s">
        <v>344</v>
      </c>
      <c r="B110" s="0" t="s">
        <v>248</v>
      </c>
      <c r="C110" s="0" t="s">
        <v>20</v>
      </c>
      <c r="D110" s="0" t="s">
        <v>176</v>
      </c>
      <c r="E110" s="0" t="s">
        <v>249</v>
      </c>
      <c r="F110" s="0" t="n">
        <f aca="false">HYPERLINK("http://clipc-services.ceda.ac.uk/dreq/u/e79eb59d74038643b2201bb0556e720a.html","web")</f>
        <v>0</v>
      </c>
      <c r="G110" s="0" t="s">
        <v>23</v>
      </c>
      <c r="H110" s="0" t="s">
        <v>24</v>
      </c>
      <c r="I110" s="0" t="s">
        <v>250</v>
      </c>
      <c r="J110" s="0" t="s">
        <v>345</v>
      </c>
    </row>
    <row r="111" customFormat="false" ht="15" hidden="false" customHeight="false" outlineLevel="0" collapsed="false">
      <c r="A111" s="0" t="s">
        <v>344</v>
      </c>
      <c r="B111" s="0" t="s">
        <v>251</v>
      </c>
      <c r="C111" s="0" t="s">
        <v>20</v>
      </c>
      <c r="D111" s="0" t="s">
        <v>176</v>
      </c>
      <c r="E111" s="0" t="s">
        <v>252</v>
      </c>
      <c r="F111" s="0" t="n">
        <f aca="false">HYPERLINK("http://clipc-services.ceda.ac.uk/dreq/u/38806cec3ba894d7745fada80c9f6fe6.html","web")</f>
        <v>0</v>
      </c>
      <c r="G111" s="0" t="s">
        <v>246</v>
      </c>
      <c r="H111" s="0" t="s">
        <v>24</v>
      </c>
      <c r="I111" s="0" t="s">
        <v>253</v>
      </c>
      <c r="J111" s="0" t="s">
        <v>345</v>
      </c>
    </row>
    <row r="112" customFormat="false" ht="15" hidden="false" customHeight="false" outlineLevel="0" collapsed="false">
      <c r="A112" s="0" t="s">
        <v>344</v>
      </c>
      <c r="B112" s="0" t="s">
        <v>254</v>
      </c>
      <c r="C112" s="0" t="s">
        <v>20</v>
      </c>
      <c r="D112" s="0" t="s">
        <v>346</v>
      </c>
      <c r="E112" s="0" t="s">
        <v>256</v>
      </c>
      <c r="F112" s="0" t="n">
        <f aca="false">HYPERLINK("http://clipc-services.ceda.ac.uk/dreq/u/ea55d8afe6bacbfa1029c0048717eaaa.html","web")</f>
        <v>0</v>
      </c>
      <c r="G112" s="0" t="s">
        <v>257</v>
      </c>
      <c r="H112" s="0" t="s">
        <v>258</v>
      </c>
      <c r="I112" s="0" t="s">
        <v>256</v>
      </c>
      <c r="J112" s="0" t="s">
        <v>345</v>
      </c>
    </row>
    <row r="113" customFormat="false" ht="15" hidden="false" customHeight="false" outlineLevel="0" collapsed="false">
      <c r="A113" s="0" t="s">
        <v>344</v>
      </c>
      <c r="B113" s="0" t="s">
        <v>259</v>
      </c>
      <c r="C113" s="0" t="s">
        <v>20</v>
      </c>
      <c r="D113" s="0" t="s">
        <v>346</v>
      </c>
      <c r="E113" s="0" t="s">
        <v>260</v>
      </c>
      <c r="F113" s="0" t="n">
        <f aca="false">HYPERLINK("http://clipc-services.ceda.ac.uk/dreq/u/621681bc7c376de66228fdde13b97516.html","web")</f>
        <v>0</v>
      </c>
      <c r="G113" s="0" t="s">
        <v>261</v>
      </c>
      <c r="H113" s="0" t="s">
        <v>24</v>
      </c>
      <c r="I113" s="0" t="s">
        <v>262</v>
      </c>
      <c r="J113" s="0" t="s">
        <v>345</v>
      </c>
    </row>
    <row r="114" customFormat="false" ht="15" hidden="false" customHeight="false" outlineLevel="0" collapsed="false">
      <c r="A114" s="0" t="s">
        <v>344</v>
      </c>
      <c r="B114" s="0" t="s">
        <v>263</v>
      </c>
      <c r="C114" s="0" t="s">
        <v>20</v>
      </c>
      <c r="D114" s="0" t="s">
        <v>346</v>
      </c>
      <c r="E114" s="0" t="s">
        <v>264</v>
      </c>
      <c r="F114" s="0" t="n">
        <f aca="false">HYPERLINK("http://clipc-services.ceda.ac.uk/dreq/u/475dc209e9f9cd51eedee4d26caf9f67.html","web")</f>
        <v>0</v>
      </c>
      <c r="G114" s="0" t="s">
        <v>265</v>
      </c>
      <c r="H114" s="0" t="s">
        <v>258</v>
      </c>
      <c r="I114" s="0" t="s">
        <v>266</v>
      </c>
      <c r="J114" s="0" t="s">
        <v>345</v>
      </c>
    </row>
    <row r="115" customFormat="false" ht="15" hidden="false" customHeight="false" outlineLevel="0" collapsed="false">
      <c r="A115" s="0" t="s">
        <v>344</v>
      </c>
      <c r="B115" s="0" t="s">
        <v>267</v>
      </c>
      <c r="C115" s="0" t="s">
        <v>20</v>
      </c>
      <c r="D115" s="0" t="s">
        <v>346</v>
      </c>
      <c r="E115" s="0" t="s">
        <v>268</v>
      </c>
      <c r="F115" s="0" t="n">
        <f aca="false">HYPERLINK("http://clipc-services.ceda.ac.uk/dreq/u/150d0829eec06aeaf75d22d08d328ffa.html","web")</f>
        <v>0</v>
      </c>
      <c r="G115" s="0" t="s">
        <v>269</v>
      </c>
      <c r="H115" s="0" t="s">
        <v>258</v>
      </c>
      <c r="I115" s="0" t="s">
        <v>268</v>
      </c>
      <c r="J115" s="0" t="s">
        <v>345</v>
      </c>
    </row>
    <row r="116" customFormat="false" ht="15" hidden="false" customHeight="false" outlineLevel="0" collapsed="false">
      <c r="A116" s="0" t="s">
        <v>344</v>
      </c>
      <c r="B116" s="0" t="s">
        <v>270</v>
      </c>
      <c r="C116" s="0" t="s">
        <v>20</v>
      </c>
      <c r="D116" s="0" t="s">
        <v>346</v>
      </c>
      <c r="E116" s="0" t="s">
        <v>271</v>
      </c>
      <c r="F116" s="0" t="n">
        <f aca="false">HYPERLINK("http://clipc-services.ceda.ac.uk/dreq/u/2c8cb564bae033f641135194947da163.html","web")</f>
        <v>0</v>
      </c>
      <c r="G116" s="0" t="s">
        <v>194</v>
      </c>
      <c r="H116" s="0" t="s">
        <v>258</v>
      </c>
      <c r="I116" s="0" t="s">
        <v>272</v>
      </c>
      <c r="J116" s="0" t="s">
        <v>345</v>
      </c>
    </row>
    <row r="117" customFormat="false" ht="15" hidden="false" customHeight="false" outlineLevel="0" collapsed="false">
      <c r="A117" s="0" t="s">
        <v>344</v>
      </c>
      <c r="B117" s="0" t="s">
        <v>273</v>
      </c>
      <c r="C117" s="0" t="s">
        <v>20</v>
      </c>
      <c r="D117" s="0" t="s">
        <v>346</v>
      </c>
      <c r="E117" s="0" t="s">
        <v>274</v>
      </c>
      <c r="F117" s="0" t="n">
        <f aca="false">HYPERLINK("http://clipc-services.ceda.ac.uk/dreq/u/9e9e7476986ece18ce380652eaabe342.html","web")</f>
        <v>0</v>
      </c>
      <c r="G117" s="0" t="s">
        <v>275</v>
      </c>
      <c r="H117" s="0" t="s">
        <v>258</v>
      </c>
      <c r="I117" s="0" t="s">
        <v>276</v>
      </c>
      <c r="J117" s="0" t="s">
        <v>345</v>
      </c>
    </row>
    <row r="118" customFormat="false" ht="15" hidden="false" customHeight="false" outlineLevel="0" collapsed="false">
      <c r="A118" s="0" t="s">
        <v>344</v>
      </c>
      <c r="B118" s="0" t="s">
        <v>277</v>
      </c>
      <c r="C118" s="0" t="s">
        <v>20</v>
      </c>
      <c r="D118" s="0" t="s">
        <v>346</v>
      </c>
      <c r="E118" s="0" t="s">
        <v>347</v>
      </c>
      <c r="F118" s="0" t="n">
        <f aca="false">HYPERLINK("http://clipc-services.ceda.ac.uk/dreq/u/52c137a21845ae294b27ad40eaca096d.html","web")</f>
        <v>0</v>
      </c>
      <c r="G118" s="0" t="s">
        <v>194</v>
      </c>
      <c r="H118" s="0" t="s">
        <v>24</v>
      </c>
      <c r="I118" s="0" t="s">
        <v>279</v>
      </c>
      <c r="J118" s="0" t="s">
        <v>348</v>
      </c>
    </row>
    <row r="119" customFormat="false" ht="15" hidden="false" customHeight="false" outlineLevel="0" collapsed="false">
      <c r="A119" s="0" t="s">
        <v>344</v>
      </c>
      <c r="B119" s="0" t="s">
        <v>280</v>
      </c>
      <c r="C119" s="0" t="s">
        <v>20</v>
      </c>
      <c r="D119" s="0" t="s">
        <v>346</v>
      </c>
      <c r="E119" s="0" t="s">
        <v>349</v>
      </c>
      <c r="F119" s="0" t="n">
        <f aca="false">HYPERLINK("http://clipc-services.ceda.ac.uk/dreq/u/c373986159daf18eee63ca731d52b6f7.html","web")</f>
        <v>0</v>
      </c>
      <c r="G119" s="0" t="s">
        <v>194</v>
      </c>
      <c r="H119" s="0" t="s">
        <v>24</v>
      </c>
      <c r="I119" s="0" t="s">
        <v>282</v>
      </c>
      <c r="J119" s="0" t="s">
        <v>348</v>
      </c>
    </row>
    <row r="120" customFormat="false" ht="15" hidden="false" customHeight="false" outlineLevel="0" collapsed="false">
      <c r="A120" s="0" t="s">
        <v>344</v>
      </c>
      <c r="B120" s="0" t="s">
        <v>350</v>
      </c>
      <c r="C120" s="0" t="s">
        <v>12</v>
      </c>
      <c r="D120" s="0" t="s">
        <v>346</v>
      </c>
      <c r="E120" s="0" t="s">
        <v>351</v>
      </c>
      <c r="F120" s="0" t="n">
        <f aca="false">HYPERLINK("http://clipc-services.ceda.ac.uk/dreq/u/1aefc13bd27020244fe1cfd706ce1041.html","web")</f>
        <v>0</v>
      </c>
      <c r="G120" s="0" t="s">
        <v>194</v>
      </c>
      <c r="H120" s="0" t="s">
        <v>173</v>
      </c>
      <c r="I120" s="0" t="s">
        <v>352</v>
      </c>
      <c r="J120" s="0" t="s">
        <v>345</v>
      </c>
    </row>
    <row r="121" customFormat="false" ht="15" hidden="false" customHeight="false" outlineLevel="0" collapsed="false">
      <c r="A121" s="0" t="s">
        <v>344</v>
      </c>
      <c r="B121" s="0" t="s">
        <v>353</v>
      </c>
      <c r="C121" s="0" t="s">
        <v>12</v>
      </c>
      <c r="D121" s="0" t="s">
        <v>346</v>
      </c>
      <c r="E121" s="0" t="s">
        <v>354</v>
      </c>
      <c r="F121" s="0" t="n">
        <f aca="false">HYPERLINK("http://clipc-services.ceda.ac.uk/dreq/u/2cd1940e7201d5adb02ba157a74fc33e.html","web")</f>
        <v>0</v>
      </c>
      <c r="G121" s="0" t="s">
        <v>355</v>
      </c>
      <c r="H121" s="0" t="s">
        <v>287</v>
      </c>
      <c r="J121" s="0" t="s">
        <v>356</v>
      </c>
    </row>
    <row r="122" customFormat="false" ht="15" hidden="false" customHeight="false" outlineLevel="0" collapsed="false">
      <c r="A122" s="0" t="s">
        <v>344</v>
      </c>
      <c r="B122" s="0" t="s">
        <v>357</v>
      </c>
      <c r="C122" s="0" t="s">
        <v>12</v>
      </c>
      <c r="D122" s="0" t="s">
        <v>176</v>
      </c>
      <c r="E122" s="0" t="s">
        <v>358</v>
      </c>
      <c r="F122" s="0" t="n">
        <f aca="false">HYPERLINK("http://clipc-services.ceda.ac.uk/dreq/u/62aa098b13f86fa22de1a874536a64ae.html","web")</f>
        <v>0</v>
      </c>
      <c r="G122" s="0" t="s">
        <v>359</v>
      </c>
      <c r="H122" s="0" t="s">
        <v>287</v>
      </c>
      <c r="I122" s="0" t="s">
        <v>360</v>
      </c>
      <c r="J122" s="0" t="s">
        <v>348</v>
      </c>
    </row>
    <row r="123" customFormat="false" ht="15" hidden="false" customHeight="false" outlineLevel="0" collapsed="false">
      <c r="A123" s="0" t="s">
        <v>344</v>
      </c>
      <c r="B123" s="0" t="s">
        <v>361</v>
      </c>
      <c r="C123" s="0" t="s">
        <v>20</v>
      </c>
      <c r="D123" s="0" t="s">
        <v>152</v>
      </c>
      <c r="E123" s="0" t="s">
        <v>362</v>
      </c>
      <c r="F123" s="0" t="n">
        <f aca="false">HYPERLINK("http://clipc-services.ceda.ac.uk/dreq/u/58bbe37eb1035d22ab051fcfa10c67d9.html","web")</f>
        <v>0</v>
      </c>
      <c r="G123" s="0" t="s">
        <v>363</v>
      </c>
      <c r="H123" s="0" t="s">
        <v>24</v>
      </c>
      <c r="I123" s="0" t="s">
        <v>364</v>
      </c>
      <c r="J123" s="0" t="s">
        <v>365</v>
      </c>
    </row>
    <row r="124" customFormat="false" ht="15" hidden="false" customHeight="false" outlineLevel="0" collapsed="false">
      <c r="A124" s="0" t="s">
        <v>344</v>
      </c>
      <c r="B124" s="0" t="s">
        <v>366</v>
      </c>
      <c r="C124" s="0" t="s">
        <v>20</v>
      </c>
      <c r="D124" s="0" t="s">
        <v>152</v>
      </c>
      <c r="E124" s="0" t="s">
        <v>367</v>
      </c>
      <c r="F124" s="0" t="n">
        <f aca="false">HYPERLINK("http://clipc-services.ceda.ac.uk/dreq/u/0888eef64215cf18affe93ca142c95ad.html","web")</f>
        <v>0</v>
      </c>
      <c r="G124" s="0" t="s">
        <v>363</v>
      </c>
      <c r="H124" s="0" t="s">
        <v>24</v>
      </c>
      <c r="I124" s="0" t="s">
        <v>368</v>
      </c>
      <c r="J124" s="0" t="s">
        <v>365</v>
      </c>
    </row>
    <row r="125" customFormat="false" ht="15" hidden="false" customHeight="false" outlineLevel="0" collapsed="false">
      <c r="A125" s="0" t="s">
        <v>344</v>
      </c>
      <c r="B125" s="0" t="s">
        <v>369</v>
      </c>
      <c r="C125" s="0" t="s">
        <v>20</v>
      </c>
      <c r="D125" s="0" t="s">
        <v>152</v>
      </c>
      <c r="E125" s="0" t="s">
        <v>370</v>
      </c>
      <c r="F125" s="0" t="n">
        <f aca="false">HYPERLINK("http://clipc-services.ceda.ac.uk/dreq/u/827d0f8093c7858a784e5fda140a6e12.html","web")</f>
        <v>0</v>
      </c>
      <c r="G125" s="0" t="s">
        <v>363</v>
      </c>
      <c r="H125" s="0" t="s">
        <v>24</v>
      </c>
      <c r="I125" s="0" t="s">
        <v>371</v>
      </c>
      <c r="J125" s="0" t="s">
        <v>365</v>
      </c>
    </row>
    <row r="126" customFormat="false" ht="15" hidden="false" customHeight="false" outlineLevel="0" collapsed="false">
      <c r="A126" s="0" t="s">
        <v>344</v>
      </c>
      <c r="B126" s="0" t="s">
        <v>372</v>
      </c>
      <c r="C126" s="0" t="s">
        <v>20</v>
      </c>
      <c r="D126" s="0" t="s">
        <v>152</v>
      </c>
      <c r="E126" s="0" t="s">
        <v>373</v>
      </c>
      <c r="F126" s="0" t="n">
        <f aca="false">HYPERLINK("http://clipc-services.ceda.ac.uk/dreq/u/71a3667c9d9a8b9af56e22757461b7d0.html","web")</f>
        <v>0</v>
      </c>
      <c r="G126" s="0" t="s">
        <v>363</v>
      </c>
      <c r="H126" s="0" t="s">
        <v>24</v>
      </c>
      <c r="I126" s="0" t="s">
        <v>374</v>
      </c>
      <c r="J126" s="0" t="s">
        <v>365</v>
      </c>
    </row>
    <row r="127" customFormat="false" ht="15" hidden="false" customHeight="false" outlineLevel="0" collapsed="false">
      <c r="A127" s="0" t="s">
        <v>344</v>
      </c>
      <c r="B127" s="0" t="s">
        <v>375</v>
      </c>
      <c r="C127" s="0" t="s">
        <v>20</v>
      </c>
      <c r="D127" s="0" t="s">
        <v>176</v>
      </c>
      <c r="E127" s="0" t="s">
        <v>376</v>
      </c>
      <c r="F127" s="0" t="n">
        <f aca="false">HYPERLINK("http://clipc-services.ceda.ac.uk/dreq/u/01918a16b5ac9dbbe932d83357c06a21.html","web")</f>
        <v>0</v>
      </c>
      <c r="G127" s="0" t="s">
        <v>363</v>
      </c>
      <c r="H127" s="0" t="s">
        <v>24</v>
      </c>
      <c r="I127" s="0" t="s">
        <v>377</v>
      </c>
      <c r="J127" s="0" t="s">
        <v>365</v>
      </c>
    </row>
    <row r="128" customFormat="false" ht="15" hidden="false" customHeight="false" outlineLevel="0" collapsed="false">
      <c r="A128" s="0" t="s">
        <v>344</v>
      </c>
      <c r="B128" s="0" t="s">
        <v>378</v>
      </c>
      <c r="C128" s="0" t="s">
        <v>20</v>
      </c>
      <c r="D128" s="0" t="s">
        <v>176</v>
      </c>
      <c r="E128" s="0" t="s">
        <v>379</v>
      </c>
      <c r="F128" s="0" t="n">
        <f aca="false">HYPERLINK("http://clipc-services.ceda.ac.uk/dreq/u/8e5acd3e73d41006a677b5e77fe383f7.html","web")</f>
        <v>0</v>
      </c>
      <c r="G128" s="0" t="s">
        <v>363</v>
      </c>
      <c r="H128" s="0" t="s">
        <v>24</v>
      </c>
      <c r="I128" s="0" t="s">
        <v>380</v>
      </c>
      <c r="J128" s="0" t="s">
        <v>365</v>
      </c>
    </row>
    <row r="129" customFormat="false" ht="15" hidden="false" customHeight="false" outlineLevel="0" collapsed="false">
      <c r="A129" s="0" t="s">
        <v>344</v>
      </c>
      <c r="B129" s="0" t="s">
        <v>381</v>
      </c>
      <c r="C129" s="0" t="s">
        <v>20</v>
      </c>
      <c r="D129" s="0" t="s">
        <v>176</v>
      </c>
      <c r="E129" s="0" t="s">
        <v>382</v>
      </c>
      <c r="F129" s="0" t="n">
        <f aca="false">HYPERLINK("http://clipc-services.ceda.ac.uk/dreq/u/e0279cf7335a5b9292a1a3c8f70a32a2.html","web")</f>
        <v>0</v>
      </c>
      <c r="G129" s="0" t="s">
        <v>363</v>
      </c>
      <c r="H129" s="0" t="s">
        <v>24</v>
      </c>
      <c r="I129" s="0" t="s">
        <v>383</v>
      </c>
      <c r="J129" s="0" t="s">
        <v>365</v>
      </c>
    </row>
    <row r="130" customFormat="false" ht="15" hidden="false" customHeight="false" outlineLevel="0" collapsed="false">
      <c r="A130" s="0" t="s">
        <v>344</v>
      </c>
      <c r="B130" s="0" t="s">
        <v>384</v>
      </c>
      <c r="C130" s="0" t="s">
        <v>20</v>
      </c>
      <c r="D130" s="0" t="s">
        <v>176</v>
      </c>
      <c r="E130" s="0" t="s">
        <v>385</v>
      </c>
      <c r="F130" s="0" t="n">
        <f aca="false">HYPERLINK("http://clipc-services.ceda.ac.uk/dreq/u/6248574ebce5bf9fde3841735c9108bc.html","web")</f>
        <v>0</v>
      </c>
      <c r="G130" s="0" t="s">
        <v>363</v>
      </c>
      <c r="H130" s="0" t="s">
        <v>24</v>
      </c>
      <c r="I130" s="0" t="s">
        <v>386</v>
      </c>
      <c r="J130" s="0" t="s">
        <v>365</v>
      </c>
    </row>
    <row r="131" customFormat="false" ht="15" hidden="false" customHeight="false" outlineLevel="0" collapsed="false">
      <c r="A131" s="0" t="s">
        <v>344</v>
      </c>
      <c r="B131" s="0" t="s">
        <v>387</v>
      </c>
      <c r="C131" s="0" t="s">
        <v>20</v>
      </c>
      <c r="D131" s="0" t="s">
        <v>176</v>
      </c>
      <c r="E131" s="0" t="s">
        <v>388</v>
      </c>
      <c r="F131" s="0" t="n">
        <f aca="false">HYPERLINK("http://clipc-services.ceda.ac.uk/dreq/u/5951b6df2bd5a02e11213ea42620fa89.html","web")</f>
        <v>0</v>
      </c>
      <c r="G131" s="0" t="s">
        <v>363</v>
      </c>
      <c r="H131" s="0" t="s">
        <v>24</v>
      </c>
      <c r="I131" s="0" t="s">
        <v>389</v>
      </c>
      <c r="J131" s="0" t="s">
        <v>365</v>
      </c>
    </row>
    <row r="132" customFormat="false" ht="15" hidden="false" customHeight="false" outlineLevel="0" collapsed="false">
      <c r="A132" s="0" t="s">
        <v>344</v>
      </c>
      <c r="B132" s="0" t="s">
        <v>390</v>
      </c>
      <c r="C132" s="0" t="s">
        <v>20</v>
      </c>
      <c r="D132" s="0" t="s">
        <v>176</v>
      </c>
      <c r="E132" s="0" t="s">
        <v>391</v>
      </c>
      <c r="F132" s="0" t="n">
        <f aca="false">HYPERLINK("http://clipc-services.ceda.ac.uk/dreq/u/bef5e52ab3ef55640ab0133c34c9dec2.html","web")</f>
        <v>0</v>
      </c>
      <c r="G132" s="0" t="s">
        <v>363</v>
      </c>
      <c r="H132" s="0" t="s">
        <v>24</v>
      </c>
      <c r="I132" s="0" t="s">
        <v>392</v>
      </c>
      <c r="J132" s="0" t="s">
        <v>365</v>
      </c>
    </row>
    <row r="133" customFormat="false" ht="15" hidden="false" customHeight="false" outlineLevel="0" collapsed="false">
      <c r="A133" s="0" t="s">
        <v>344</v>
      </c>
      <c r="B133" s="0" t="s">
        <v>393</v>
      </c>
      <c r="C133" s="0" t="s">
        <v>20</v>
      </c>
      <c r="D133" s="0" t="s">
        <v>176</v>
      </c>
      <c r="E133" s="0" t="s">
        <v>394</v>
      </c>
      <c r="F133" s="0" t="n">
        <f aca="false">HYPERLINK("http://clipc-services.ceda.ac.uk/dreq/u/bc0982cd4cc45a7ad96524f549a468c4.html","web")</f>
        <v>0</v>
      </c>
      <c r="G133" s="0" t="s">
        <v>363</v>
      </c>
      <c r="H133" s="0" t="s">
        <v>24</v>
      </c>
      <c r="I133" s="0" t="s">
        <v>395</v>
      </c>
      <c r="J133" s="0" t="s">
        <v>365</v>
      </c>
    </row>
    <row r="134" customFormat="false" ht="15" hidden="false" customHeight="false" outlineLevel="0" collapsed="false">
      <c r="A134" s="0" t="s">
        <v>344</v>
      </c>
      <c r="B134" s="0" t="s">
        <v>396</v>
      </c>
      <c r="C134" s="0" t="s">
        <v>20</v>
      </c>
      <c r="D134" s="0" t="s">
        <v>176</v>
      </c>
      <c r="E134" s="0" t="s">
        <v>397</v>
      </c>
      <c r="F134" s="0" t="n">
        <f aca="false">HYPERLINK("http://clipc-services.ceda.ac.uk/dreq/u/b8acc50c52fa48b40a4512d06d2d6435.html","web")</f>
        <v>0</v>
      </c>
      <c r="G134" s="0" t="s">
        <v>363</v>
      </c>
      <c r="H134" s="0" t="s">
        <v>24</v>
      </c>
      <c r="I134" s="0" t="s">
        <v>398</v>
      </c>
      <c r="J134" s="0" t="s">
        <v>365</v>
      </c>
    </row>
    <row r="135" customFormat="false" ht="15" hidden="false" customHeight="false" outlineLevel="0" collapsed="false">
      <c r="A135" s="0" t="s">
        <v>344</v>
      </c>
      <c r="B135" s="0" t="s">
        <v>186</v>
      </c>
      <c r="C135" s="0" t="s">
        <v>20</v>
      </c>
      <c r="D135" s="0" t="s">
        <v>187</v>
      </c>
      <c r="E135" s="0" t="s">
        <v>399</v>
      </c>
      <c r="F135" s="0" t="n">
        <f aca="false">HYPERLINK("http://clipc-services.ceda.ac.uk/dreq/u/fa7666d61b92de5bad1ad76561b8b850.html","web")</f>
        <v>0</v>
      </c>
      <c r="G135" s="0" t="s">
        <v>183</v>
      </c>
      <c r="H135" s="0" t="s">
        <v>184</v>
      </c>
      <c r="I135" s="0" t="s">
        <v>189</v>
      </c>
      <c r="J135" s="0" t="s">
        <v>400</v>
      </c>
    </row>
    <row r="136" customFormat="false" ht="15" hidden="false" customHeight="false" outlineLevel="0" collapsed="false">
      <c r="A136" s="0" t="s">
        <v>344</v>
      </c>
      <c r="B136" s="0" t="s">
        <v>180</v>
      </c>
      <c r="C136" s="0" t="s">
        <v>20</v>
      </c>
      <c r="D136" s="0" t="s">
        <v>181</v>
      </c>
      <c r="E136" s="0" t="s">
        <v>401</v>
      </c>
      <c r="F136" s="0" t="n">
        <f aca="false">HYPERLINK("http://clipc-services.ceda.ac.uk/dreq/u/400e5707b65c01e31f2ec6a59dd3983b.html","web")</f>
        <v>0</v>
      </c>
      <c r="G136" s="0" t="s">
        <v>183</v>
      </c>
      <c r="H136" s="0" t="s">
        <v>184</v>
      </c>
      <c r="I136" s="0" t="s">
        <v>185</v>
      </c>
      <c r="J136" s="0" t="s">
        <v>402</v>
      </c>
    </row>
    <row r="138" customFormat="false" ht="15" hidden="false" customHeight="false" outlineLevel="0" collapsed="false">
      <c r="A138" s="0" t="s">
        <v>403</v>
      </c>
      <c r="B138" s="0" t="s">
        <v>404</v>
      </c>
      <c r="C138" s="0" t="s">
        <v>20</v>
      </c>
      <c r="D138" s="0" t="s">
        <v>152</v>
      </c>
      <c r="E138" s="0" t="s">
        <v>405</v>
      </c>
      <c r="F138" s="0" t="n">
        <f aca="false">HYPERLINK("http://clipc-services.ceda.ac.uk/dreq/u/d94709e6b579bccccccc914ba3531feb.html","web")</f>
        <v>0</v>
      </c>
      <c r="G138" s="0" t="s">
        <v>406</v>
      </c>
      <c r="I138" s="0" t="s">
        <v>407</v>
      </c>
      <c r="J138" s="0" t="s">
        <v>408</v>
      </c>
    </row>
    <row r="139" customFormat="false" ht="15" hidden="false" customHeight="false" outlineLevel="0" collapsed="false">
      <c r="A139" s="0" t="s">
        <v>403</v>
      </c>
      <c r="B139" s="0" t="s">
        <v>409</v>
      </c>
      <c r="C139" s="0" t="s">
        <v>20</v>
      </c>
      <c r="D139" s="0" t="s">
        <v>152</v>
      </c>
      <c r="E139" s="0" t="s">
        <v>410</v>
      </c>
      <c r="F139" s="0" t="n">
        <f aca="false">HYPERLINK("http://clipc-services.ceda.ac.uk/dreq/u/c96c5576-c5f0-11e6-ac20-5404a60d96b5.html","web")</f>
        <v>0</v>
      </c>
      <c r="G139" s="0" t="s">
        <v>47</v>
      </c>
      <c r="H139" s="0" t="s">
        <v>48</v>
      </c>
      <c r="I139" s="0" t="s">
        <v>49</v>
      </c>
      <c r="J139" s="0" t="s">
        <v>411</v>
      </c>
    </row>
    <row r="140" customFormat="false" ht="15" hidden="false" customHeight="false" outlineLevel="0" collapsed="false">
      <c r="A140" s="0" t="s">
        <v>403</v>
      </c>
      <c r="B140" s="0" t="s">
        <v>412</v>
      </c>
      <c r="C140" s="0" t="s">
        <v>20</v>
      </c>
      <c r="D140" s="0" t="s">
        <v>152</v>
      </c>
      <c r="E140" s="0" t="s">
        <v>413</v>
      </c>
      <c r="F140" s="0" t="n">
        <f aca="false">HYPERLINK("http://clipc-services.ceda.ac.uk/dreq/u/c96c720e-c5f0-11e6-ac20-5404a60d96b5.html","web")</f>
        <v>0</v>
      </c>
      <c r="G140" s="0" t="s">
        <v>47</v>
      </c>
      <c r="H140" s="0" t="s">
        <v>48</v>
      </c>
      <c r="I140" s="0" t="s">
        <v>53</v>
      </c>
      <c r="J140" s="0" t="s">
        <v>411</v>
      </c>
    </row>
    <row r="141" customFormat="false" ht="15" hidden="false" customHeight="false" outlineLevel="0" collapsed="false">
      <c r="A141" s="0" t="s">
        <v>403</v>
      </c>
      <c r="B141" s="0" t="s">
        <v>414</v>
      </c>
      <c r="C141" s="0" t="s">
        <v>20</v>
      </c>
      <c r="D141" s="0" t="s">
        <v>152</v>
      </c>
      <c r="E141" s="0" t="s">
        <v>415</v>
      </c>
      <c r="F141" s="0" t="n">
        <f aca="false">HYPERLINK("http://clipc-services.ceda.ac.uk/dreq/u/c96daba6-c5f0-11e6-ac20-5404a60d96b5.html","web")</f>
        <v>0</v>
      </c>
      <c r="G141" s="0" t="s">
        <v>47</v>
      </c>
      <c r="H141" s="0" t="s">
        <v>48</v>
      </c>
      <c r="I141" s="0" t="s">
        <v>416</v>
      </c>
      <c r="J141" s="0" t="s">
        <v>411</v>
      </c>
    </row>
    <row r="142" customFormat="false" ht="15" hidden="false" customHeight="false" outlineLevel="0" collapsed="false">
      <c r="A142" s="0" t="s">
        <v>403</v>
      </c>
      <c r="B142" s="0" t="s">
        <v>299</v>
      </c>
      <c r="C142" s="0" t="s">
        <v>20</v>
      </c>
      <c r="D142" s="0" t="s">
        <v>300</v>
      </c>
      <c r="E142" s="0" t="s">
        <v>295</v>
      </c>
      <c r="F142" s="0" t="n">
        <f aca="false">HYPERLINK("http://clipc-services.ceda.ac.uk/dreq/u/fe8d7416c92bdae56503590599286800.html","web")</f>
        <v>0</v>
      </c>
      <c r="G142" s="0" t="s">
        <v>301</v>
      </c>
      <c r="H142" s="0" t="s">
        <v>302</v>
      </c>
      <c r="I142" s="0" t="s">
        <v>297</v>
      </c>
      <c r="J142" s="0" t="s">
        <v>417</v>
      </c>
    </row>
    <row r="143" customFormat="false" ht="15" hidden="false" customHeight="false" outlineLevel="0" collapsed="false">
      <c r="A143" s="0" t="s">
        <v>403</v>
      </c>
      <c r="B143" s="0" t="s">
        <v>293</v>
      </c>
      <c r="C143" s="0" t="s">
        <v>20</v>
      </c>
      <c r="D143" s="0" t="s">
        <v>294</v>
      </c>
      <c r="E143" s="0" t="s">
        <v>295</v>
      </c>
      <c r="F143" s="0" t="n">
        <f aca="false">HYPERLINK("http://clipc-services.ceda.ac.uk/dreq/u/faeffb2438794e8400143533d61d1623.html","web")</f>
        <v>0</v>
      </c>
      <c r="G143" s="0" t="s">
        <v>296</v>
      </c>
      <c r="H143" s="0" t="s">
        <v>48</v>
      </c>
      <c r="I143" s="0" t="s">
        <v>297</v>
      </c>
      <c r="J143" s="0" t="s">
        <v>418</v>
      </c>
    </row>
    <row r="144" customFormat="false" ht="15" hidden="false" customHeight="false" outlineLevel="0" collapsed="false">
      <c r="A144" s="0" t="s">
        <v>403</v>
      </c>
      <c r="B144" s="0" t="s">
        <v>419</v>
      </c>
      <c r="C144" s="0" t="s">
        <v>20</v>
      </c>
      <c r="D144" s="0" t="s">
        <v>294</v>
      </c>
      <c r="E144" s="0" t="s">
        <v>420</v>
      </c>
      <c r="F144" s="0" t="n">
        <f aca="false">HYPERLINK("http://clipc-services.ceda.ac.uk/dreq/u/29a3aaf848070fb8ff4ecb7aa2dfa2eb.html","web")</f>
        <v>0</v>
      </c>
      <c r="G144" s="0" t="s">
        <v>421</v>
      </c>
      <c r="H144" s="0" t="s">
        <v>48</v>
      </c>
      <c r="I144" s="0" t="s">
        <v>297</v>
      </c>
      <c r="J144" s="0" t="s">
        <v>422</v>
      </c>
    </row>
    <row r="145" customFormat="false" ht="15" hidden="false" customHeight="false" outlineLevel="0" collapsed="false">
      <c r="A145" s="0" t="s">
        <v>403</v>
      </c>
      <c r="B145" s="0" t="s">
        <v>423</v>
      </c>
      <c r="C145" s="0" t="s">
        <v>20</v>
      </c>
      <c r="D145" s="0" t="s">
        <v>300</v>
      </c>
      <c r="E145" s="0" t="s">
        <v>424</v>
      </c>
      <c r="F145" s="0" t="n">
        <f aca="false">HYPERLINK("http://clipc-services.ceda.ac.uk/dreq/u/bd75f065fbaddd5d92f4767c6d6baaff.html","web")</f>
        <v>0</v>
      </c>
      <c r="G145" s="0" t="s">
        <v>425</v>
      </c>
      <c r="H145" s="0" t="s">
        <v>48</v>
      </c>
      <c r="I145" s="0" t="s">
        <v>426</v>
      </c>
      <c r="J145" s="0" t="s">
        <v>427</v>
      </c>
    </row>
    <row r="146" customFormat="false" ht="15" hidden="false" customHeight="false" outlineLevel="0" collapsed="false">
      <c r="A146" s="0" t="s">
        <v>403</v>
      </c>
      <c r="B146" s="0" t="s">
        <v>428</v>
      </c>
      <c r="C146" s="0" t="s">
        <v>20</v>
      </c>
      <c r="D146" s="0" t="s">
        <v>294</v>
      </c>
      <c r="E146" s="0" t="s">
        <v>424</v>
      </c>
      <c r="F146" s="0" t="n">
        <f aca="false">HYPERLINK("http://clipc-services.ceda.ac.uk/dreq/u/54bc1fc90fca4b22cd73cc18e3f6ec07.html","web")</f>
        <v>0</v>
      </c>
      <c r="G146" s="0" t="s">
        <v>425</v>
      </c>
      <c r="H146" s="0" t="s">
        <v>48</v>
      </c>
      <c r="I146" s="0" t="s">
        <v>426</v>
      </c>
      <c r="J146" s="0" t="s">
        <v>422</v>
      </c>
    </row>
    <row r="147" customFormat="false" ht="15" hidden="false" customHeight="false" outlineLevel="0" collapsed="false">
      <c r="A147" s="0" t="s">
        <v>403</v>
      </c>
      <c r="B147" s="0" t="s">
        <v>429</v>
      </c>
      <c r="C147" s="0" t="s">
        <v>20</v>
      </c>
      <c r="D147" s="0" t="s">
        <v>300</v>
      </c>
      <c r="E147" s="0" t="s">
        <v>430</v>
      </c>
      <c r="F147" s="0" t="n">
        <f aca="false">HYPERLINK("http://clipc-services.ceda.ac.uk/dreq/u/481469b8223841a5382d43e7c6ae204e.html","web")</f>
        <v>0</v>
      </c>
      <c r="G147" s="0" t="s">
        <v>425</v>
      </c>
      <c r="H147" s="0" t="s">
        <v>48</v>
      </c>
      <c r="I147" s="0" t="s">
        <v>426</v>
      </c>
      <c r="J147" s="0" t="s">
        <v>422</v>
      </c>
    </row>
    <row r="148" customFormat="false" ht="15" hidden="false" customHeight="false" outlineLevel="0" collapsed="false">
      <c r="A148" s="0" t="s">
        <v>403</v>
      </c>
      <c r="B148" s="0" t="s">
        <v>431</v>
      </c>
      <c r="C148" s="0" t="s">
        <v>20</v>
      </c>
      <c r="D148" s="0" t="s">
        <v>294</v>
      </c>
      <c r="E148" s="0" t="s">
        <v>430</v>
      </c>
      <c r="F148" s="0" t="n">
        <f aca="false">HYPERLINK("http://clipc-services.ceda.ac.uk/dreq/u/66a6e45b205b239932b72fa67a6500ed.html","web")</f>
        <v>0</v>
      </c>
      <c r="G148" s="0" t="s">
        <v>425</v>
      </c>
      <c r="H148" s="0" t="s">
        <v>48</v>
      </c>
      <c r="I148" s="0" t="s">
        <v>426</v>
      </c>
      <c r="J148" s="0" t="s">
        <v>418</v>
      </c>
    </row>
    <row r="149" customFormat="false" ht="15" hidden="false" customHeight="false" outlineLevel="0" collapsed="false">
      <c r="A149" s="0" t="s">
        <v>403</v>
      </c>
      <c r="B149" s="0" t="s">
        <v>432</v>
      </c>
      <c r="C149" s="0" t="s">
        <v>20</v>
      </c>
      <c r="D149" s="0" t="s">
        <v>300</v>
      </c>
      <c r="E149" s="0" t="s">
        <v>433</v>
      </c>
      <c r="F149" s="0" t="n">
        <f aca="false">HYPERLINK("http://clipc-services.ceda.ac.uk/dreq/u/136d81b44d45d8f7c549469ff69a74a7.html","web")</f>
        <v>0</v>
      </c>
      <c r="G149" s="0" t="s">
        <v>425</v>
      </c>
      <c r="H149" s="0" t="s">
        <v>48</v>
      </c>
      <c r="I149" s="0" t="s">
        <v>434</v>
      </c>
      <c r="J149" s="0" t="s">
        <v>422</v>
      </c>
    </row>
    <row r="150" customFormat="false" ht="15" hidden="false" customHeight="false" outlineLevel="0" collapsed="false">
      <c r="A150" s="0" t="s">
        <v>403</v>
      </c>
      <c r="B150" s="0" t="s">
        <v>435</v>
      </c>
      <c r="C150" s="0" t="s">
        <v>20</v>
      </c>
      <c r="D150" s="0" t="s">
        <v>300</v>
      </c>
      <c r="E150" s="0" t="s">
        <v>436</v>
      </c>
      <c r="F150" s="0" t="n">
        <f aca="false">HYPERLINK("http://clipc-services.ceda.ac.uk/dreq/u/2ac2d8645abddc0eb9fe53a7ea680465.html","web")</f>
        <v>0</v>
      </c>
      <c r="G150" s="0" t="s">
        <v>425</v>
      </c>
      <c r="H150" s="0" t="s">
        <v>48</v>
      </c>
      <c r="I150" s="0" t="s">
        <v>434</v>
      </c>
      <c r="J150" s="0" t="s">
        <v>422</v>
      </c>
    </row>
    <row r="151" customFormat="false" ht="15" hidden="false" customHeight="false" outlineLevel="0" collapsed="false">
      <c r="A151" s="0" t="s">
        <v>403</v>
      </c>
      <c r="B151" s="0" t="s">
        <v>437</v>
      </c>
      <c r="C151" s="0" t="s">
        <v>20</v>
      </c>
      <c r="D151" s="0" t="s">
        <v>438</v>
      </c>
      <c r="E151" s="0" t="s">
        <v>439</v>
      </c>
      <c r="F151" s="0" t="n">
        <f aca="false">HYPERLINK("http://clipc-services.ceda.ac.uk/dreq/u/88f1496a06008de969d5913384e6cb17.html","web")</f>
        <v>0</v>
      </c>
      <c r="G151" s="0" t="s">
        <v>425</v>
      </c>
      <c r="H151" s="0" t="s">
        <v>48</v>
      </c>
      <c r="I151" s="0" t="s">
        <v>440</v>
      </c>
      <c r="J151" s="0" t="s">
        <v>422</v>
      </c>
    </row>
    <row r="152" customFormat="false" ht="15" hidden="false" customHeight="false" outlineLevel="0" collapsed="false">
      <c r="A152" s="0" t="s">
        <v>403</v>
      </c>
      <c r="B152" s="0" t="s">
        <v>441</v>
      </c>
      <c r="C152" s="0" t="s">
        <v>20</v>
      </c>
      <c r="D152" s="0" t="s">
        <v>438</v>
      </c>
      <c r="E152" s="0" t="s">
        <v>442</v>
      </c>
      <c r="F152" s="0" t="n">
        <f aca="false">HYPERLINK("http://clipc-services.ceda.ac.uk/dreq/u/cfc72744e73c1f6116661e251316c04f.html","web")</f>
        <v>0</v>
      </c>
      <c r="G152" s="0" t="s">
        <v>425</v>
      </c>
      <c r="H152" s="0" t="s">
        <v>48</v>
      </c>
      <c r="I152" s="0" t="s">
        <v>443</v>
      </c>
      <c r="J152" s="0" t="s">
        <v>422</v>
      </c>
    </row>
    <row r="153" customFormat="false" ht="15" hidden="false" customHeight="false" outlineLevel="0" collapsed="false">
      <c r="A153" s="0" t="s">
        <v>403</v>
      </c>
      <c r="B153" s="0" t="s">
        <v>444</v>
      </c>
      <c r="C153" s="0" t="s">
        <v>20</v>
      </c>
      <c r="D153" s="0" t="s">
        <v>438</v>
      </c>
      <c r="E153" s="0" t="s">
        <v>445</v>
      </c>
      <c r="F153" s="0" t="n">
        <f aca="false">HYPERLINK("http://clipc-services.ceda.ac.uk/dreq/u/2e3e882a650986c1fdc5df05f5f10263.html","web")</f>
        <v>0</v>
      </c>
      <c r="G153" s="0" t="s">
        <v>425</v>
      </c>
      <c r="H153" s="0" t="s">
        <v>48</v>
      </c>
      <c r="I153" s="0" t="s">
        <v>446</v>
      </c>
      <c r="J153" s="0" t="s">
        <v>422</v>
      </c>
    </row>
    <row r="154" customFormat="false" ht="15" hidden="false" customHeight="false" outlineLevel="0" collapsed="false">
      <c r="A154" s="0" t="s">
        <v>403</v>
      </c>
      <c r="B154" s="0" t="s">
        <v>447</v>
      </c>
      <c r="C154" s="0" t="s">
        <v>12</v>
      </c>
      <c r="D154" s="0" t="s">
        <v>448</v>
      </c>
      <c r="E154" s="0" t="s">
        <v>449</v>
      </c>
      <c r="F154" s="0" t="n">
        <f aca="false">HYPERLINK("http://clipc-services.ceda.ac.uk/dreq/u/91d62d57f0a58495fdf4358dc3ba1165.html","web")</f>
        <v>0</v>
      </c>
      <c r="G154" s="0" t="s">
        <v>56</v>
      </c>
      <c r="H154" s="0" t="s">
        <v>57</v>
      </c>
      <c r="I154" s="0" t="s">
        <v>450</v>
      </c>
      <c r="J154" s="0" t="s">
        <v>451</v>
      </c>
    </row>
    <row r="155" customFormat="false" ht="15" hidden="false" customHeight="false" outlineLevel="0" collapsed="false">
      <c r="A155" s="0" t="s">
        <v>403</v>
      </c>
      <c r="B155" s="0" t="s">
        <v>452</v>
      </c>
      <c r="C155" s="0" t="s">
        <v>12</v>
      </c>
      <c r="D155" s="0" t="s">
        <v>45</v>
      </c>
      <c r="E155" s="0" t="s">
        <v>453</v>
      </c>
      <c r="F155" s="0" t="n">
        <f aca="false">HYPERLINK("http://clipc-services.ceda.ac.uk/dreq/u/0638f32ebcc32d63faad121d5a83e3be.html","web")</f>
        <v>0</v>
      </c>
      <c r="G155" s="0" t="s">
        <v>56</v>
      </c>
      <c r="H155" s="0" t="s">
        <v>57</v>
      </c>
      <c r="I155" s="0" t="s">
        <v>454</v>
      </c>
      <c r="J155" s="0" t="s">
        <v>455</v>
      </c>
    </row>
    <row r="156" customFormat="false" ht="15" hidden="false" customHeight="false" outlineLevel="0" collapsed="false">
      <c r="A156" s="0" t="s">
        <v>403</v>
      </c>
      <c r="B156" s="0" t="s">
        <v>456</v>
      </c>
      <c r="C156" s="0" t="s">
        <v>12</v>
      </c>
      <c r="D156" s="0" t="s">
        <v>152</v>
      </c>
      <c r="E156" s="0" t="s">
        <v>457</v>
      </c>
      <c r="F156" s="0" t="n">
        <f aca="false">HYPERLINK("http://clipc-services.ceda.ac.uk/dreq/u/7002f5a3bc5218f16a39f3dfabf42244.html","web")</f>
        <v>0</v>
      </c>
      <c r="G156" s="0" t="s">
        <v>56</v>
      </c>
      <c r="H156" s="0" t="s">
        <v>57</v>
      </c>
      <c r="I156" s="0" t="s">
        <v>458</v>
      </c>
      <c r="J156" s="0" t="s">
        <v>459</v>
      </c>
    </row>
    <row r="157" customFormat="false" ht="15" hidden="false" customHeight="false" outlineLevel="0" collapsed="false">
      <c r="A157" s="0" t="s">
        <v>403</v>
      </c>
      <c r="B157" s="0" t="s">
        <v>460</v>
      </c>
      <c r="C157" s="0" t="s">
        <v>12</v>
      </c>
      <c r="D157" s="0" t="s">
        <v>152</v>
      </c>
      <c r="E157" s="0" t="s">
        <v>461</v>
      </c>
      <c r="F157" s="0" t="n">
        <f aca="false">HYPERLINK("http://clipc-services.ceda.ac.uk/dreq/u/b76d616f8f03bb60a0dffa023dfd0525.html","web")</f>
        <v>0</v>
      </c>
      <c r="G157" s="0" t="s">
        <v>56</v>
      </c>
      <c r="H157" s="0" t="s">
        <v>57</v>
      </c>
      <c r="I157" s="0" t="s">
        <v>458</v>
      </c>
      <c r="J157" s="0" t="s">
        <v>459</v>
      </c>
    </row>
    <row r="158" customFormat="false" ht="15" hidden="false" customHeight="false" outlineLevel="0" collapsed="false">
      <c r="A158" s="0" t="s">
        <v>403</v>
      </c>
      <c r="B158" s="0" t="s">
        <v>462</v>
      </c>
      <c r="C158" s="0" t="s">
        <v>12</v>
      </c>
      <c r="D158" s="0" t="s">
        <v>152</v>
      </c>
      <c r="E158" s="0" t="s">
        <v>463</v>
      </c>
      <c r="F158" s="0" t="n">
        <f aca="false">HYPERLINK("http://clipc-services.ceda.ac.uk/dreq/u/86e9eba62a2d7875705086a75ba7f78c.html","web")</f>
        <v>0</v>
      </c>
      <c r="G158" s="0" t="s">
        <v>56</v>
      </c>
      <c r="H158" s="0" t="s">
        <v>57</v>
      </c>
      <c r="I158" s="0" t="s">
        <v>458</v>
      </c>
      <c r="J158" s="0" t="s">
        <v>459</v>
      </c>
    </row>
    <row r="159" customFormat="false" ht="15" hidden="false" customHeight="false" outlineLevel="0" collapsed="false">
      <c r="A159" s="0" t="s">
        <v>403</v>
      </c>
      <c r="B159" s="0" t="s">
        <v>464</v>
      </c>
      <c r="C159" s="0" t="s">
        <v>12</v>
      </c>
      <c r="D159" s="0" t="s">
        <v>152</v>
      </c>
      <c r="E159" s="0" t="s">
        <v>465</v>
      </c>
      <c r="F159" s="0" t="n">
        <f aca="false">HYPERLINK("http://clipc-services.ceda.ac.uk/dreq/u/f45dc6b68a774051705e099da83e79cf.html","web")</f>
        <v>0</v>
      </c>
      <c r="G159" s="0" t="s">
        <v>56</v>
      </c>
      <c r="H159" s="0" t="s">
        <v>57</v>
      </c>
      <c r="I159" s="0" t="s">
        <v>466</v>
      </c>
      <c r="J159" s="0" t="s">
        <v>467</v>
      </c>
    </row>
    <row r="160" customFormat="false" ht="15" hidden="false" customHeight="false" outlineLevel="0" collapsed="false">
      <c r="A160" s="0" t="s">
        <v>403</v>
      </c>
      <c r="B160" s="0" t="s">
        <v>303</v>
      </c>
      <c r="C160" s="0" t="s">
        <v>20</v>
      </c>
      <c r="D160" s="0" t="s">
        <v>152</v>
      </c>
      <c r="E160" s="0" t="s">
        <v>304</v>
      </c>
      <c r="F160" s="0" t="n">
        <f aca="false">HYPERLINK("http://clipc-services.ceda.ac.uk/dreq/u/ced45b8b1f2797c54425755202dce533.html","web")</f>
        <v>0</v>
      </c>
      <c r="G160" s="0" t="s">
        <v>305</v>
      </c>
      <c r="H160" s="0" t="s">
        <v>48</v>
      </c>
      <c r="I160" s="0" t="s">
        <v>306</v>
      </c>
      <c r="J160" s="0" t="s">
        <v>408</v>
      </c>
    </row>
    <row r="161" customFormat="false" ht="15" hidden="false" customHeight="false" outlineLevel="0" collapsed="false">
      <c r="A161" s="0" t="s">
        <v>403</v>
      </c>
      <c r="B161" s="0" t="s">
        <v>468</v>
      </c>
      <c r="C161" s="0" t="s">
        <v>20</v>
      </c>
      <c r="D161" s="0" t="s">
        <v>45</v>
      </c>
      <c r="E161" s="0" t="s">
        <v>469</v>
      </c>
      <c r="F161" s="0" t="n">
        <f aca="false">HYPERLINK("http://clipc-services.ceda.ac.uk/dreq/u/1b7e762395c4de9ec5c5c7bda3ce3781.html","web")</f>
        <v>0</v>
      </c>
      <c r="G161" s="0" t="s">
        <v>470</v>
      </c>
      <c r="H161" s="0" t="s">
        <v>48</v>
      </c>
      <c r="I161" s="0" t="s">
        <v>471</v>
      </c>
      <c r="J161" s="0" t="s">
        <v>418</v>
      </c>
    </row>
    <row r="162" customFormat="false" ht="15" hidden="false" customHeight="false" outlineLevel="0" collapsed="false">
      <c r="A162" s="0" t="s">
        <v>403</v>
      </c>
      <c r="B162" s="0" t="s">
        <v>472</v>
      </c>
      <c r="C162" s="0" t="s">
        <v>20</v>
      </c>
      <c r="D162" s="0" t="s">
        <v>152</v>
      </c>
      <c r="E162" s="0" t="s">
        <v>469</v>
      </c>
      <c r="F162" s="0" t="n">
        <f aca="false">HYPERLINK("http://clipc-services.ceda.ac.uk/dreq/u/1b7e762395c4de9ec5c5c7bda3ce3781.html","web")</f>
        <v>0</v>
      </c>
      <c r="G162" s="0" t="s">
        <v>470</v>
      </c>
      <c r="H162" s="0" t="s">
        <v>48</v>
      </c>
      <c r="I162" s="0" t="s">
        <v>471</v>
      </c>
      <c r="J162" s="0" t="s">
        <v>473</v>
      </c>
    </row>
    <row r="163" customFormat="false" ht="15" hidden="false" customHeight="false" outlineLevel="0" collapsed="false">
      <c r="A163" s="0" t="s">
        <v>403</v>
      </c>
      <c r="B163" s="0" t="s">
        <v>474</v>
      </c>
      <c r="C163" s="0" t="s">
        <v>20</v>
      </c>
      <c r="D163" s="0" t="s">
        <v>152</v>
      </c>
      <c r="E163" s="0" t="s">
        <v>475</v>
      </c>
      <c r="F163" s="0" t="n">
        <f aca="false">HYPERLINK("http://clipc-services.ceda.ac.uk/dreq/u/06942529e05aac1e9a39ca1f5737af2f.html","web")</f>
        <v>0</v>
      </c>
      <c r="G163" s="0" t="s">
        <v>476</v>
      </c>
      <c r="H163" s="0" t="s">
        <v>48</v>
      </c>
      <c r="I163" s="0" t="s">
        <v>477</v>
      </c>
      <c r="J163" s="0" t="s">
        <v>459</v>
      </c>
    </row>
    <row r="164" customFormat="false" ht="15" hidden="false" customHeight="false" outlineLevel="0" collapsed="false">
      <c r="A164" s="0" t="s">
        <v>403</v>
      </c>
      <c r="B164" s="0" t="s">
        <v>478</v>
      </c>
      <c r="C164" s="0" t="s">
        <v>20</v>
      </c>
      <c r="D164" s="0" t="s">
        <v>152</v>
      </c>
      <c r="E164" s="0" t="s">
        <v>479</v>
      </c>
      <c r="F164" s="0" t="n">
        <f aca="false">HYPERLINK("http://clipc-services.ceda.ac.uk/dreq/u/ab495084beb82a29c24bf6c226fd0e57.html","web")</f>
        <v>0</v>
      </c>
      <c r="G164" s="0" t="s">
        <v>476</v>
      </c>
      <c r="H164" s="0" t="s">
        <v>48</v>
      </c>
      <c r="I164" s="0" t="s">
        <v>477</v>
      </c>
      <c r="J164" s="0" t="s">
        <v>459</v>
      </c>
    </row>
    <row r="165" customFormat="false" ht="15" hidden="false" customHeight="false" outlineLevel="0" collapsed="false">
      <c r="A165" s="0" t="s">
        <v>403</v>
      </c>
      <c r="B165" s="0" t="s">
        <v>86</v>
      </c>
      <c r="C165" s="0" t="s">
        <v>115</v>
      </c>
      <c r="D165" s="0" t="s">
        <v>45</v>
      </c>
      <c r="E165" s="0" t="s">
        <v>87</v>
      </c>
      <c r="F165" s="0" t="n">
        <f aca="false">HYPERLINK("http://clipc-services.ceda.ac.uk/dreq/u/bdce9878-233e-11e6-a788-5404a60d96b5.html","web")</f>
        <v>0</v>
      </c>
      <c r="G165" s="0" t="s">
        <v>65</v>
      </c>
      <c r="H165" s="0" t="s">
        <v>57</v>
      </c>
      <c r="I165" s="0" t="s">
        <v>88</v>
      </c>
      <c r="J165" s="0" t="s">
        <v>480</v>
      </c>
    </row>
    <row r="166" customFormat="false" ht="15" hidden="false" customHeight="false" outlineLevel="0" collapsed="false">
      <c r="A166" s="0" t="s">
        <v>403</v>
      </c>
      <c r="B166" s="0" t="s">
        <v>481</v>
      </c>
      <c r="C166" s="0" t="s">
        <v>115</v>
      </c>
      <c r="D166" s="0" t="s">
        <v>152</v>
      </c>
      <c r="E166" s="0" t="s">
        <v>90</v>
      </c>
      <c r="F166" s="0" t="n">
        <f aca="false">HYPERLINK("http://clipc-services.ceda.ac.uk/dreq/u/baf651d5dbd448df196faedae8a97b22.html","web")</f>
        <v>0</v>
      </c>
      <c r="G166" s="0" t="s">
        <v>56</v>
      </c>
      <c r="H166" s="0" t="s">
        <v>57</v>
      </c>
      <c r="I166" s="0" t="s">
        <v>482</v>
      </c>
      <c r="J166" s="0" t="s">
        <v>459</v>
      </c>
    </row>
    <row r="167" customFormat="false" ht="15" hidden="false" customHeight="false" outlineLevel="0" collapsed="false">
      <c r="A167" s="0" t="s">
        <v>403</v>
      </c>
      <c r="B167" s="0" t="s">
        <v>483</v>
      </c>
      <c r="C167" s="0" t="s">
        <v>115</v>
      </c>
      <c r="D167" s="0" t="s">
        <v>484</v>
      </c>
      <c r="E167" s="0" t="s">
        <v>485</v>
      </c>
      <c r="F167" s="0" t="n">
        <f aca="false">HYPERLINK("http://clipc-services.ceda.ac.uk/dreq/u/5a17eb002c56c129c27f6e2b8e0c06d7.html","web")</f>
        <v>0</v>
      </c>
      <c r="G167" s="0" t="s">
        <v>56</v>
      </c>
      <c r="H167" s="0" t="s">
        <v>57</v>
      </c>
      <c r="I167" s="0" t="s">
        <v>96</v>
      </c>
      <c r="J167" s="0" t="s">
        <v>411</v>
      </c>
    </row>
    <row r="168" customFormat="false" ht="15" hidden="false" customHeight="false" outlineLevel="0" collapsed="false">
      <c r="A168" s="0" t="s">
        <v>403</v>
      </c>
      <c r="B168" s="0" t="s">
        <v>486</v>
      </c>
      <c r="C168" s="0" t="s">
        <v>115</v>
      </c>
      <c r="D168" s="0" t="s">
        <v>484</v>
      </c>
      <c r="E168" s="0" t="s">
        <v>487</v>
      </c>
      <c r="F168" s="0" t="n">
        <f aca="false">HYPERLINK("http://clipc-services.ceda.ac.uk/dreq/u/600c9692a7eaef4037565fa8846ae6ba.html","web")</f>
        <v>0</v>
      </c>
      <c r="G168" s="0" t="s">
        <v>56</v>
      </c>
      <c r="H168" s="0" t="s">
        <v>57</v>
      </c>
      <c r="I168" s="0" t="s">
        <v>96</v>
      </c>
      <c r="J168" s="0" t="s">
        <v>411</v>
      </c>
    </row>
    <row r="169" customFormat="false" ht="15" hidden="false" customHeight="false" outlineLevel="0" collapsed="false">
      <c r="A169" s="0" t="s">
        <v>403</v>
      </c>
      <c r="B169" s="0" t="s">
        <v>488</v>
      </c>
      <c r="C169" s="0" t="s">
        <v>20</v>
      </c>
      <c r="D169" s="0" t="s">
        <v>484</v>
      </c>
      <c r="E169" s="0" t="s">
        <v>489</v>
      </c>
      <c r="F169" s="0" t="n">
        <f aca="false">HYPERLINK("http://clipc-services.ceda.ac.uk/dreq/u/f43d7527cd48c992f075339b2bbbf9ef.html","web")</f>
        <v>0</v>
      </c>
      <c r="G169" s="0" t="s">
        <v>47</v>
      </c>
      <c r="H169" s="0" t="s">
        <v>48</v>
      </c>
      <c r="I169" s="0" t="s">
        <v>490</v>
      </c>
      <c r="J169" s="0" t="s">
        <v>408</v>
      </c>
    </row>
    <row r="170" customFormat="false" ht="15" hidden="false" customHeight="false" outlineLevel="0" collapsed="false">
      <c r="A170" s="0" t="s">
        <v>403</v>
      </c>
      <c r="B170" s="0" t="s">
        <v>491</v>
      </c>
      <c r="C170" s="0" t="s">
        <v>12</v>
      </c>
      <c r="D170" s="0" t="s">
        <v>152</v>
      </c>
      <c r="E170" s="0" t="s">
        <v>492</v>
      </c>
      <c r="F170" s="0" t="n">
        <f aca="false">HYPERLINK("http://clipc-services.ceda.ac.uk/dreq/u/a1bd45ea349a310ceaec3f0c417f8aa5.html","web")</f>
        <v>0</v>
      </c>
      <c r="G170" s="0" t="s">
        <v>56</v>
      </c>
      <c r="H170" s="0" t="s">
        <v>57</v>
      </c>
      <c r="I170" s="0" t="s">
        <v>493</v>
      </c>
      <c r="J170" s="0" t="s">
        <v>411</v>
      </c>
    </row>
    <row r="171" customFormat="false" ht="15" hidden="false" customHeight="false" outlineLevel="0" collapsed="false">
      <c r="A171" s="0" t="s">
        <v>403</v>
      </c>
      <c r="B171" s="0" t="s">
        <v>494</v>
      </c>
      <c r="C171" s="0" t="s">
        <v>20</v>
      </c>
      <c r="D171" s="0" t="s">
        <v>495</v>
      </c>
      <c r="E171" s="0" t="s">
        <v>496</v>
      </c>
      <c r="F171" s="0" t="n">
        <f aca="false">HYPERLINK("http://clipc-services.ceda.ac.uk/dreq/u/c972ffd4-c5f0-11e6-ac20-5404a60d96b5.html","web")</f>
        <v>0</v>
      </c>
      <c r="G171" s="0" t="s">
        <v>47</v>
      </c>
      <c r="H171" s="0" t="s">
        <v>48</v>
      </c>
      <c r="I171" s="0" t="s">
        <v>497</v>
      </c>
      <c r="J171" s="0" t="s">
        <v>411</v>
      </c>
    </row>
    <row r="172" customFormat="false" ht="15" hidden="false" customHeight="false" outlineLevel="0" collapsed="false">
      <c r="A172" s="0" t="s">
        <v>403</v>
      </c>
      <c r="B172" s="0" t="s">
        <v>151</v>
      </c>
      <c r="C172" s="0" t="s">
        <v>20</v>
      </c>
      <c r="D172" s="0" t="s">
        <v>495</v>
      </c>
      <c r="E172" s="0" t="s">
        <v>153</v>
      </c>
      <c r="F172" s="0" t="n">
        <f aca="false">HYPERLINK("http://clipc-services.ceda.ac.uk/dreq/u/97c037c3357f24c4e06c07123224b400.html","web")</f>
        <v>0</v>
      </c>
      <c r="G172" s="0" t="s">
        <v>101</v>
      </c>
      <c r="H172" s="0" t="s">
        <v>16</v>
      </c>
      <c r="I172" s="0" t="s">
        <v>154</v>
      </c>
      <c r="J172" s="0" t="s">
        <v>411</v>
      </c>
    </row>
    <row r="173" customFormat="false" ht="15" hidden="false" customHeight="false" outlineLevel="0" collapsed="false">
      <c r="A173" s="0" t="s">
        <v>403</v>
      </c>
      <c r="B173" s="0" t="s">
        <v>155</v>
      </c>
      <c r="C173" s="0" t="s">
        <v>20</v>
      </c>
      <c r="D173" s="0" t="s">
        <v>495</v>
      </c>
      <c r="E173" s="0" t="s">
        <v>156</v>
      </c>
      <c r="F173" s="0" t="n">
        <f aca="false">HYPERLINK("http://clipc-services.ceda.ac.uk/dreq/u/042e575e61a271e122d317ca7b39dcb4.html","web")</f>
        <v>0</v>
      </c>
      <c r="G173" s="0" t="s">
        <v>94</v>
      </c>
      <c r="H173" s="0" t="s">
        <v>95</v>
      </c>
      <c r="I173" s="0" t="s">
        <v>157</v>
      </c>
      <c r="J173" s="0" t="s">
        <v>411</v>
      </c>
    </row>
    <row r="174" customFormat="false" ht="15" hidden="false" customHeight="false" outlineLevel="0" collapsed="false">
      <c r="A174" s="0" t="s">
        <v>403</v>
      </c>
      <c r="B174" s="0" t="s">
        <v>158</v>
      </c>
      <c r="C174" s="0" t="s">
        <v>20</v>
      </c>
      <c r="D174" s="0" t="s">
        <v>495</v>
      </c>
      <c r="E174" s="0" t="s">
        <v>159</v>
      </c>
      <c r="F174" s="0" t="n">
        <f aca="false">HYPERLINK("http://clipc-services.ceda.ac.uk/dreq/u/f36046ab9a8a24ce4d7431e2defd9cf6.html","web")</f>
        <v>0</v>
      </c>
      <c r="G174" s="0" t="s">
        <v>101</v>
      </c>
      <c r="H174" s="0" t="s">
        <v>16</v>
      </c>
      <c r="I174" s="0" t="s">
        <v>160</v>
      </c>
      <c r="J174" s="0" t="s">
        <v>411</v>
      </c>
    </row>
    <row r="175" customFormat="false" ht="15" hidden="false" customHeight="false" outlineLevel="0" collapsed="false">
      <c r="A175" s="0" t="s">
        <v>403</v>
      </c>
      <c r="B175" s="0" t="s">
        <v>161</v>
      </c>
      <c r="C175" s="0" t="s">
        <v>20</v>
      </c>
      <c r="D175" s="0" t="s">
        <v>495</v>
      </c>
      <c r="E175" s="0" t="s">
        <v>162</v>
      </c>
      <c r="F175" s="0" t="n">
        <f aca="false">HYPERLINK("http://clipc-services.ceda.ac.uk/dreq/u/590e5b82-9e49-11e5-803c-0d0b866b59f3.html","web")</f>
        <v>0</v>
      </c>
      <c r="G175" s="0" t="s">
        <v>47</v>
      </c>
      <c r="H175" s="0" t="s">
        <v>48</v>
      </c>
      <c r="I175" s="0" t="s">
        <v>163</v>
      </c>
      <c r="J175" s="0" t="s">
        <v>498</v>
      </c>
    </row>
    <row r="176" customFormat="false" ht="15" hidden="false" customHeight="false" outlineLevel="0" collapsed="false">
      <c r="A176" s="0" t="s">
        <v>403</v>
      </c>
      <c r="B176" s="0" t="s">
        <v>499</v>
      </c>
      <c r="C176" s="0" t="s">
        <v>115</v>
      </c>
      <c r="D176" s="0" t="s">
        <v>495</v>
      </c>
      <c r="E176" s="0" t="s">
        <v>500</v>
      </c>
      <c r="F176" s="0" t="n">
        <f aca="false">HYPERLINK("http://clipc-services.ceda.ac.uk/dreq/u/190f38cb06f9a1f3133c3dcf66e0421e.html","web")</f>
        <v>0</v>
      </c>
      <c r="G176" s="0" t="s">
        <v>94</v>
      </c>
      <c r="H176" s="0" t="s">
        <v>95</v>
      </c>
      <c r="I176" s="0" t="s">
        <v>501</v>
      </c>
      <c r="J176" s="0" t="s">
        <v>459</v>
      </c>
    </row>
    <row r="177" customFormat="false" ht="15" hidden="false" customHeight="false" outlineLevel="0" collapsed="false">
      <c r="A177" s="0" t="s">
        <v>403</v>
      </c>
      <c r="B177" s="0" t="s">
        <v>502</v>
      </c>
      <c r="C177" s="0" t="s">
        <v>115</v>
      </c>
      <c r="D177" s="0" t="s">
        <v>152</v>
      </c>
      <c r="E177" s="0" t="s">
        <v>503</v>
      </c>
      <c r="F177" s="0" t="n">
        <f aca="false">HYPERLINK("http://clipc-services.ceda.ac.uk/dreq/u/c73793c9a403918cf29279cbc374d509.html","web")</f>
        <v>0</v>
      </c>
      <c r="G177" s="0" t="s">
        <v>56</v>
      </c>
      <c r="H177" s="0" t="s">
        <v>57</v>
      </c>
      <c r="I177" s="0" t="s">
        <v>504</v>
      </c>
      <c r="J177" s="0" t="s">
        <v>459</v>
      </c>
    </row>
    <row r="178" customFormat="false" ht="15" hidden="false" customHeight="false" outlineLevel="0" collapsed="false">
      <c r="A178" s="0" t="s">
        <v>403</v>
      </c>
      <c r="B178" s="0" t="s">
        <v>505</v>
      </c>
      <c r="C178" s="0" t="s">
        <v>115</v>
      </c>
      <c r="D178" s="0" t="s">
        <v>152</v>
      </c>
      <c r="E178" s="0" t="s">
        <v>506</v>
      </c>
      <c r="F178" s="0" t="n">
        <f aca="false">HYPERLINK("http://clipc-services.ceda.ac.uk/dreq/u/ae3a674b4f541f95d2b05da4a84507e7.html","web")</f>
        <v>0</v>
      </c>
      <c r="G178" s="0" t="s">
        <v>56</v>
      </c>
      <c r="H178" s="0" t="s">
        <v>57</v>
      </c>
      <c r="I178" s="0" t="s">
        <v>507</v>
      </c>
      <c r="J178" s="0" t="s">
        <v>459</v>
      </c>
    </row>
    <row r="179" customFormat="false" ht="15" hidden="false" customHeight="false" outlineLevel="0" collapsed="false">
      <c r="A179" s="0" t="s">
        <v>403</v>
      </c>
      <c r="B179" s="0" t="s">
        <v>508</v>
      </c>
      <c r="C179" s="0" t="s">
        <v>115</v>
      </c>
      <c r="D179" s="0" t="s">
        <v>152</v>
      </c>
      <c r="E179" s="0" t="s">
        <v>509</v>
      </c>
      <c r="F179" s="0" t="n">
        <f aca="false">HYPERLINK("http://clipc-services.ceda.ac.uk/dreq/u/7324bbd4b756759ef380f305fe5856b2.html","web")</f>
        <v>0</v>
      </c>
      <c r="G179" s="0" t="s">
        <v>56</v>
      </c>
      <c r="H179" s="0" t="s">
        <v>57</v>
      </c>
      <c r="I179" s="0" t="s">
        <v>510</v>
      </c>
      <c r="J179" s="0" t="s">
        <v>459</v>
      </c>
    </row>
    <row r="180" customFormat="false" ht="15" hidden="false" customHeight="false" outlineLevel="0" collapsed="false">
      <c r="A180" s="0" t="s">
        <v>403</v>
      </c>
      <c r="B180" s="0" t="s">
        <v>511</v>
      </c>
      <c r="C180" s="0" t="s">
        <v>115</v>
      </c>
      <c r="D180" s="0" t="s">
        <v>152</v>
      </c>
      <c r="E180" s="0" t="s">
        <v>512</v>
      </c>
      <c r="F180" s="0" t="n">
        <f aca="false">HYPERLINK("http://clipc-services.ceda.ac.uk/dreq/u/f4b0302d898785a6003754fe9b097690.html","web")</f>
        <v>0</v>
      </c>
      <c r="G180" s="0" t="s">
        <v>56</v>
      </c>
      <c r="H180" s="0" t="s">
        <v>57</v>
      </c>
      <c r="I180" s="0" t="s">
        <v>513</v>
      </c>
      <c r="J180" s="0" t="s">
        <v>459</v>
      </c>
    </row>
    <row r="181" customFormat="false" ht="15" hidden="false" customHeight="false" outlineLevel="0" collapsed="false">
      <c r="A181" s="0" t="s">
        <v>403</v>
      </c>
      <c r="B181" s="0" t="s">
        <v>514</v>
      </c>
      <c r="C181" s="0" t="s">
        <v>115</v>
      </c>
      <c r="D181" s="0" t="s">
        <v>515</v>
      </c>
      <c r="E181" s="0" t="s">
        <v>516</v>
      </c>
      <c r="F181" s="0" t="n">
        <f aca="false">HYPERLINK("http://clipc-services.ceda.ac.uk/dreq/u/1333394a296e7f8af6c9bad15cb9778d.html","web")</f>
        <v>0</v>
      </c>
      <c r="G181" s="0" t="s">
        <v>101</v>
      </c>
      <c r="H181" s="0" t="s">
        <v>16</v>
      </c>
      <c r="I181" s="0" t="s">
        <v>517</v>
      </c>
      <c r="J181" s="0" t="s">
        <v>459</v>
      </c>
    </row>
    <row r="182" customFormat="false" ht="15" hidden="false" customHeight="false" outlineLevel="0" collapsed="false">
      <c r="A182" s="0" t="s">
        <v>403</v>
      </c>
      <c r="B182" s="0" t="s">
        <v>518</v>
      </c>
      <c r="C182" s="0" t="s">
        <v>115</v>
      </c>
      <c r="D182" s="0" t="s">
        <v>515</v>
      </c>
      <c r="E182" s="0" t="s">
        <v>519</v>
      </c>
      <c r="F182" s="0" t="n">
        <f aca="false">HYPERLINK("http://clipc-services.ceda.ac.uk/dreq/u/d3e6e20c91db32a83bcf3d8d8d9dafd3.html","web")</f>
        <v>0</v>
      </c>
      <c r="G182" s="0" t="s">
        <v>101</v>
      </c>
      <c r="H182" s="0" t="s">
        <v>16</v>
      </c>
      <c r="I182" s="0" t="s">
        <v>520</v>
      </c>
      <c r="J182" s="0" t="s">
        <v>411</v>
      </c>
    </row>
    <row r="183" customFormat="false" ht="15" hidden="false" customHeight="false" outlineLevel="0" collapsed="false">
      <c r="A183" s="0" t="s">
        <v>403</v>
      </c>
      <c r="B183" s="0" t="s">
        <v>521</v>
      </c>
      <c r="C183" s="0" t="s">
        <v>115</v>
      </c>
      <c r="D183" s="0" t="s">
        <v>515</v>
      </c>
      <c r="E183" s="0" t="s">
        <v>522</v>
      </c>
      <c r="F183" s="0" t="n">
        <f aca="false">HYPERLINK("http://clipc-services.ceda.ac.uk/dreq/u/80a2832b0619764647393e3815ff399b.html","web")</f>
        <v>0</v>
      </c>
      <c r="G183" s="0" t="s">
        <v>101</v>
      </c>
      <c r="H183" s="0" t="s">
        <v>16</v>
      </c>
      <c r="I183" s="0" t="s">
        <v>523</v>
      </c>
      <c r="J183" s="0" t="s">
        <v>411</v>
      </c>
    </row>
    <row r="184" customFormat="false" ht="15" hidden="false" customHeight="false" outlineLevel="0" collapsed="false">
      <c r="A184" s="0" t="s">
        <v>403</v>
      </c>
      <c r="B184" s="0" t="s">
        <v>524</v>
      </c>
      <c r="C184" s="0" t="s">
        <v>115</v>
      </c>
      <c r="D184" s="0" t="s">
        <v>515</v>
      </c>
      <c r="E184" s="0" t="s">
        <v>525</v>
      </c>
      <c r="F184" s="0" t="n">
        <f aca="false">HYPERLINK("http://clipc-services.ceda.ac.uk/dreq/u/df087f7801b9ca8b671eba159de9b6e7.html","web")</f>
        <v>0</v>
      </c>
      <c r="G184" s="0" t="s">
        <v>101</v>
      </c>
      <c r="H184" s="0" t="s">
        <v>16</v>
      </c>
      <c r="I184" s="0" t="s">
        <v>526</v>
      </c>
      <c r="J184" s="0" t="s">
        <v>411</v>
      </c>
    </row>
    <row r="185" customFormat="false" ht="15" hidden="false" customHeight="false" outlineLevel="0" collapsed="false">
      <c r="A185" s="0" t="s">
        <v>403</v>
      </c>
      <c r="B185" s="0" t="s">
        <v>527</v>
      </c>
      <c r="C185" s="0" t="s">
        <v>115</v>
      </c>
      <c r="D185" s="0" t="s">
        <v>515</v>
      </c>
      <c r="E185" s="0" t="s">
        <v>528</v>
      </c>
      <c r="F185" s="0" t="n">
        <f aca="false">HYPERLINK("http://clipc-services.ceda.ac.uk/dreq/u/ee10c562c1164acf3bf03955dd6fc00d.html","web")</f>
        <v>0</v>
      </c>
      <c r="G185" s="0" t="s">
        <v>101</v>
      </c>
      <c r="H185" s="0" t="s">
        <v>16</v>
      </c>
      <c r="I185" s="0" t="s">
        <v>529</v>
      </c>
      <c r="J185" s="0" t="s">
        <v>411</v>
      </c>
    </row>
    <row r="186" customFormat="false" ht="15" hidden="false" customHeight="false" outlineLevel="0" collapsed="false">
      <c r="A186" s="0" t="s">
        <v>403</v>
      </c>
      <c r="B186" s="0" t="s">
        <v>530</v>
      </c>
      <c r="C186" s="0" t="s">
        <v>115</v>
      </c>
      <c r="D186" s="0" t="s">
        <v>515</v>
      </c>
      <c r="E186" s="0" t="s">
        <v>531</v>
      </c>
      <c r="F186" s="0" t="n">
        <f aca="false">HYPERLINK("http://clipc-services.ceda.ac.uk/dreq/u/3e0c9853afc682db9a950cc5bc3c1c3a.html","web")</f>
        <v>0</v>
      </c>
      <c r="G186" s="0" t="s">
        <v>101</v>
      </c>
      <c r="H186" s="0" t="s">
        <v>16</v>
      </c>
      <c r="I186" s="0" t="s">
        <v>532</v>
      </c>
      <c r="J186" s="0" t="s">
        <v>459</v>
      </c>
    </row>
    <row r="187" customFormat="false" ht="15" hidden="false" customHeight="false" outlineLevel="0" collapsed="false">
      <c r="A187" s="0" t="s">
        <v>403</v>
      </c>
      <c r="B187" s="0" t="s">
        <v>533</v>
      </c>
      <c r="C187" s="0" t="s">
        <v>115</v>
      </c>
      <c r="D187" s="0" t="s">
        <v>515</v>
      </c>
      <c r="E187" s="0" t="s">
        <v>131</v>
      </c>
      <c r="F187" s="0" t="n">
        <f aca="false">HYPERLINK("http://clipc-services.ceda.ac.uk/dreq/u/0f19e65613afd83f8d9b888d2067ced4.html","web")</f>
        <v>0</v>
      </c>
      <c r="G187" s="0" t="s">
        <v>94</v>
      </c>
      <c r="H187" s="0" t="s">
        <v>95</v>
      </c>
      <c r="I187" s="0" t="s">
        <v>534</v>
      </c>
      <c r="J187" s="0" t="s">
        <v>459</v>
      </c>
    </row>
    <row r="188" customFormat="false" ht="15" hidden="false" customHeight="false" outlineLevel="0" collapsed="false">
      <c r="A188" s="0" t="s">
        <v>403</v>
      </c>
      <c r="B188" s="0" t="s">
        <v>535</v>
      </c>
      <c r="C188" s="0" t="s">
        <v>115</v>
      </c>
      <c r="D188" s="0" t="s">
        <v>515</v>
      </c>
      <c r="E188" s="0" t="s">
        <v>536</v>
      </c>
      <c r="F188" s="0" t="n">
        <f aca="false">HYPERLINK("http://clipc-services.ceda.ac.uk/dreq/u/6c19638a0652fcbc6c6ff8455c536445.html","web")</f>
        <v>0</v>
      </c>
      <c r="G188" s="0" t="s">
        <v>94</v>
      </c>
      <c r="H188" s="0" t="s">
        <v>95</v>
      </c>
      <c r="I188" s="0" t="s">
        <v>537</v>
      </c>
      <c r="J188" s="0" t="s">
        <v>411</v>
      </c>
    </row>
    <row r="189" customFormat="false" ht="15" hidden="false" customHeight="false" outlineLevel="0" collapsed="false">
      <c r="A189" s="0" t="s">
        <v>403</v>
      </c>
      <c r="B189" s="0" t="s">
        <v>538</v>
      </c>
      <c r="C189" s="0" t="s">
        <v>115</v>
      </c>
      <c r="D189" s="0" t="s">
        <v>515</v>
      </c>
      <c r="E189" s="0" t="s">
        <v>539</v>
      </c>
      <c r="F189" s="0" t="n">
        <f aca="false">HYPERLINK("http://clipc-services.ceda.ac.uk/dreq/u/2f046f30404d6cfcd5286a2a7f12d8fa.html","web")</f>
        <v>0</v>
      </c>
      <c r="G189" s="0" t="s">
        <v>94</v>
      </c>
      <c r="H189" s="0" t="s">
        <v>95</v>
      </c>
      <c r="I189" s="0" t="s">
        <v>540</v>
      </c>
      <c r="J189" s="0" t="s">
        <v>411</v>
      </c>
    </row>
    <row r="190" customFormat="false" ht="15" hidden="false" customHeight="false" outlineLevel="0" collapsed="false">
      <c r="A190" s="0" t="s">
        <v>403</v>
      </c>
      <c r="B190" s="0" t="s">
        <v>541</v>
      </c>
      <c r="C190" s="0" t="s">
        <v>115</v>
      </c>
      <c r="D190" s="0" t="s">
        <v>515</v>
      </c>
      <c r="E190" s="0" t="s">
        <v>140</v>
      </c>
      <c r="F190" s="0" t="n">
        <f aca="false">HYPERLINK("http://clipc-services.ceda.ac.uk/dreq/u/52ebeea7464b9fc011a92f21e65d6a7a.html","web")</f>
        <v>0</v>
      </c>
      <c r="G190" s="0" t="s">
        <v>94</v>
      </c>
      <c r="H190" s="0" t="s">
        <v>95</v>
      </c>
      <c r="I190" s="0" t="s">
        <v>542</v>
      </c>
      <c r="J190" s="0" t="s">
        <v>411</v>
      </c>
    </row>
    <row r="191" customFormat="false" ht="15" hidden="false" customHeight="false" outlineLevel="0" collapsed="false">
      <c r="A191" s="0" t="s">
        <v>403</v>
      </c>
      <c r="B191" s="0" t="s">
        <v>543</v>
      </c>
      <c r="C191" s="0" t="s">
        <v>115</v>
      </c>
      <c r="D191" s="0" t="s">
        <v>515</v>
      </c>
      <c r="E191" s="0" t="s">
        <v>544</v>
      </c>
      <c r="F191" s="0" t="n">
        <f aca="false">HYPERLINK("http://clipc-services.ceda.ac.uk/dreq/u/18060c6741a6b65c90435d19adfbbc98.html","web")</f>
        <v>0</v>
      </c>
      <c r="G191" s="0" t="s">
        <v>94</v>
      </c>
      <c r="H191" s="0" t="s">
        <v>95</v>
      </c>
      <c r="I191" s="0" t="s">
        <v>545</v>
      </c>
      <c r="J191" s="0" t="s">
        <v>411</v>
      </c>
    </row>
    <row r="192" customFormat="false" ht="15" hidden="false" customHeight="false" outlineLevel="0" collapsed="false">
      <c r="A192" s="0" t="s">
        <v>403</v>
      </c>
      <c r="B192" s="0" t="s">
        <v>546</v>
      </c>
      <c r="C192" s="0" t="s">
        <v>115</v>
      </c>
      <c r="D192" s="0" t="s">
        <v>515</v>
      </c>
      <c r="E192" s="0" t="s">
        <v>547</v>
      </c>
      <c r="F192" s="0" t="n">
        <f aca="false">HYPERLINK("http://clipc-services.ceda.ac.uk/dreq/u/d66b7d75af3d1ed4e83b2f15a51ca731.html","web")</f>
        <v>0</v>
      </c>
      <c r="G192" s="0" t="s">
        <v>94</v>
      </c>
      <c r="H192" s="0" t="s">
        <v>95</v>
      </c>
      <c r="I192" s="0" t="s">
        <v>548</v>
      </c>
      <c r="J192" s="0" t="s">
        <v>411</v>
      </c>
    </row>
    <row r="193" customFormat="false" ht="15" hidden="false" customHeight="false" outlineLevel="0" collapsed="false">
      <c r="A193" s="0" t="s">
        <v>403</v>
      </c>
      <c r="B193" s="0" t="s">
        <v>44</v>
      </c>
      <c r="C193" s="0" t="s">
        <v>12</v>
      </c>
      <c r="D193" s="0" t="s">
        <v>495</v>
      </c>
      <c r="E193" s="0" t="s">
        <v>46</v>
      </c>
      <c r="F193" s="0" t="n">
        <f aca="false">HYPERLINK("http://clipc-services.ceda.ac.uk/dreq/u/55febff83b78e06576947e1c0e5b7a7d.html","web")</f>
        <v>0</v>
      </c>
      <c r="G193" s="0" t="s">
        <v>47</v>
      </c>
      <c r="H193" s="0" t="s">
        <v>48</v>
      </c>
      <c r="I193" s="0" t="s">
        <v>49</v>
      </c>
      <c r="J193" s="0" t="s">
        <v>422</v>
      </c>
    </row>
    <row r="194" customFormat="false" ht="15" hidden="false" customHeight="false" outlineLevel="0" collapsed="false">
      <c r="A194" s="0" t="s">
        <v>403</v>
      </c>
      <c r="B194" s="0" t="s">
        <v>51</v>
      </c>
      <c r="C194" s="0" t="s">
        <v>12</v>
      </c>
      <c r="D194" s="0" t="s">
        <v>495</v>
      </c>
      <c r="E194" s="0" t="s">
        <v>52</v>
      </c>
      <c r="F194" s="0" t="n">
        <f aca="false">HYPERLINK("http://clipc-services.ceda.ac.uk/dreq/u/59175660-9e49-11e5-803c-0d0b866b59f3.html","web")</f>
        <v>0</v>
      </c>
      <c r="G194" s="0" t="s">
        <v>47</v>
      </c>
      <c r="H194" s="0" t="s">
        <v>48</v>
      </c>
      <c r="I194" s="0" t="s">
        <v>53</v>
      </c>
      <c r="J194" s="0" t="s">
        <v>498</v>
      </c>
    </row>
    <row r="195" customFormat="false" ht="15" hidden="false" customHeight="false" outlineLevel="0" collapsed="false">
      <c r="A195" s="0" t="s">
        <v>403</v>
      </c>
      <c r="B195" s="0" t="s">
        <v>549</v>
      </c>
      <c r="C195" s="0" t="s">
        <v>12</v>
      </c>
      <c r="D195" s="0" t="s">
        <v>495</v>
      </c>
      <c r="E195" s="0" t="s">
        <v>550</v>
      </c>
      <c r="F195" s="0" t="n">
        <f aca="false">HYPERLINK("http://clipc-services.ceda.ac.uk/dreq/u/3aa265a13ddf4caa82a8e1e3d4482f42.html","web")</f>
        <v>0</v>
      </c>
      <c r="G195" s="0" t="s">
        <v>56</v>
      </c>
      <c r="H195" s="0" t="s">
        <v>57</v>
      </c>
      <c r="I195" s="0" t="s">
        <v>551</v>
      </c>
      <c r="J195" s="0" t="s">
        <v>459</v>
      </c>
    </row>
    <row r="196" customFormat="false" ht="15" hidden="false" customHeight="false" outlineLevel="0" collapsed="false">
      <c r="A196" s="0" t="s">
        <v>403</v>
      </c>
      <c r="B196" s="0" t="s">
        <v>54</v>
      </c>
      <c r="C196" s="0" t="s">
        <v>12</v>
      </c>
      <c r="D196" s="0" t="s">
        <v>495</v>
      </c>
      <c r="E196" s="0" t="s">
        <v>55</v>
      </c>
      <c r="F196" s="0" t="n">
        <f aca="false">HYPERLINK("http://clipc-services.ceda.ac.uk/dreq/u/ba20ea537eb672813c5a364655855b38.html","web")</f>
        <v>0</v>
      </c>
      <c r="G196" s="0" t="s">
        <v>56</v>
      </c>
      <c r="H196" s="0" t="s">
        <v>57</v>
      </c>
      <c r="I196" s="0" t="s">
        <v>58</v>
      </c>
      <c r="J196" s="0" t="s">
        <v>422</v>
      </c>
    </row>
    <row r="197" customFormat="false" ht="15" hidden="false" customHeight="false" outlineLevel="0" collapsed="false">
      <c r="A197" s="0" t="s">
        <v>403</v>
      </c>
      <c r="B197" s="0" t="s">
        <v>60</v>
      </c>
      <c r="C197" s="0" t="s">
        <v>12</v>
      </c>
      <c r="D197" s="0" t="s">
        <v>495</v>
      </c>
      <c r="E197" s="0" t="s">
        <v>61</v>
      </c>
      <c r="F197" s="0" t="n">
        <f aca="false">HYPERLINK("http://clipc-services.ceda.ac.uk/dreq/u/c977c2da-c5f0-11e6-ac20-5404a60d96b5.html","web")</f>
        <v>0</v>
      </c>
      <c r="G197" s="0" t="s">
        <v>47</v>
      </c>
      <c r="H197" s="0" t="s">
        <v>48</v>
      </c>
      <c r="I197" s="0" t="s">
        <v>62</v>
      </c>
      <c r="J197" s="0" t="s">
        <v>411</v>
      </c>
    </row>
    <row r="198" customFormat="false" ht="15" hidden="false" customHeight="false" outlineLevel="0" collapsed="false">
      <c r="A198" s="0" t="s">
        <v>403</v>
      </c>
      <c r="B198" s="0" t="s">
        <v>63</v>
      </c>
      <c r="C198" s="0" t="s">
        <v>12</v>
      </c>
      <c r="D198" s="0" t="s">
        <v>495</v>
      </c>
      <c r="E198" s="0" t="s">
        <v>64</v>
      </c>
      <c r="F198" s="0" t="n">
        <f aca="false">HYPERLINK("http://clipc-services.ceda.ac.uk/dreq/u/171d617ceca8a4351f53d090c0ead89c.html","web")</f>
        <v>0</v>
      </c>
      <c r="G198" s="0" t="s">
        <v>65</v>
      </c>
      <c r="H198" s="0" t="s">
        <v>57</v>
      </c>
      <c r="I198" s="0" t="s">
        <v>66</v>
      </c>
      <c r="J198" s="0" t="s">
        <v>411</v>
      </c>
    </row>
    <row r="199" customFormat="false" ht="15" hidden="false" customHeight="false" outlineLevel="0" collapsed="false">
      <c r="A199" s="0" t="s">
        <v>403</v>
      </c>
      <c r="B199" s="0" t="s">
        <v>68</v>
      </c>
      <c r="C199" s="0" t="s">
        <v>12</v>
      </c>
      <c r="D199" s="0" t="s">
        <v>495</v>
      </c>
      <c r="E199" s="0" t="s">
        <v>69</v>
      </c>
      <c r="F199" s="0" t="n">
        <f aca="false">HYPERLINK("http://clipc-services.ceda.ac.uk/dreq/u/df96c61c07957da1c4e8212f0553fa98.html","web")</f>
        <v>0</v>
      </c>
      <c r="G199" s="0" t="s">
        <v>65</v>
      </c>
      <c r="H199" s="0" t="s">
        <v>57</v>
      </c>
      <c r="I199" s="0" t="s">
        <v>70</v>
      </c>
      <c r="J199" s="0" t="s">
        <v>411</v>
      </c>
    </row>
    <row r="200" customFormat="false" ht="15" hidden="false" customHeight="false" outlineLevel="0" collapsed="false">
      <c r="A200" s="0" t="s">
        <v>403</v>
      </c>
      <c r="B200" s="0" t="s">
        <v>71</v>
      </c>
      <c r="C200" s="0" t="s">
        <v>12</v>
      </c>
      <c r="D200" s="0" t="s">
        <v>495</v>
      </c>
      <c r="E200" s="0" t="s">
        <v>72</v>
      </c>
      <c r="F200" s="0" t="n">
        <f aca="false">HYPERLINK("http://clipc-services.ceda.ac.uk/dreq/u/edc3d019be9c383abbd82a4d5fad43ca.html","web")</f>
        <v>0</v>
      </c>
      <c r="G200" s="0" t="s">
        <v>65</v>
      </c>
      <c r="H200" s="0" t="s">
        <v>57</v>
      </c>
      <c r="I200" s="0" t="s">
        <v>73</v>
      </c>
      <c r="J200" s="0" t="s">
        <v>411</v>
      </c>
    </row>
    <row r="201" customFormat="false" ht="15" hidden="false" customHeight="false" outlineLevel="0" collapsed="false">
      <c r="A201" s="0" t="s">
        <v>403</v>
      </c>
      <c r="B201" s="0" t="s">
        <v>74</v>
      </c>
      <c r="C201" s="0" t="s">
        <v>12</v>
      </c>
      <c r="D201" s="0" t="s">
        <v>495</v>
      </c>
      <c r="E201" s="0" t="s">
        <v>75</v>
      </c>
      <c r="F201" s="0" t="n">
        <f aca="false">HYPERLINK("http://clipc-services.ceda.ac.uk/dreq/u/14e5a31ac93e26c50f8c01ed9a032168.html","web")</f>
        <v>0</v>
      </c>
      <c r="G201" s="0" t="s">
        <v>65</v>
      </c>
      <c r="H201" s="0" t="s">
        <v>57</v>
      </c>
      <c r="I201" s="0" t="s">
        <v>76</v>
      </c>
      <c r="J201" s="0" t="s">
        <v>411</v>
      </c>
    </row>
    <row r="202" customFormat="false" ht="15" hidden="false" customHeight="false" outlineLevel="0" collapsed="false">
      <c r="A202" s="0" t="s">
        <v>403</v>
      </c>
      <c r="B202" s="0" t="s">
        <v>77</v>
      </c>
      <c r="C202" s="0" t="s">
        <v>12</v>
      </c>
      <c r="D202" s="0" t="s">
        <v>495</v>
      </c>
      <c r="E202" s="0" t="s">
        <v>78</v>
      </c>
      <c r="F202" s="0" t="n">
        <f aca="false">HYPERLINK("http://clipc-services.ceda.ac.uk/dreq/u/562c99ff069851867df730ed9531c796.html","web")</f>
        <v>0</v>
      </c>
      <c r="G202" s="0" t="s">
        <v>65</v>
      </c>
      <c r="H202" s="0" t="s">
        <v>57</v>
      </c>
      <c r="I202" s="0" t="s">
        <v>79</v>
      </c>
      <c r="J202" s="0" t="s">
        <v>411</v>
      </c>
    </row>
    <row r="203" customFormat="false" ht="15" hidden="false" customHeight="false" outlineLevel="0" collapsed="false">
      <c r="A203" s="0" t="s">
        <v>403</v>
      </c>
      <c r="B203" s="0" t="s">
        <v>80</v>
      </c>
      <c r="C203" s="0" t="s">
        <v>12</v>
      </c>
      <c r="D203" s="0" t="s">
        <v>495</v>
      </c>
      <c r="E203" s="0" t="s">
        <v>81</v>
      </c>
      <c r="F203" s="0" t="n">
        <f aca="false">HYPERLINK("http://clipc-services.ceda.ac.uk/dreq/u/80f337469efdd0d5392ad995a90fd15c.html","web")</f>
        <v>0</v>
      </c>
      <c r="G203" s="0" t="s">
        <v>65</v>
      </c>
      <c r="H203" s="0" t="s">
        <v>57</v>
      </c>
      <c r="I203" s="0" t="s">
        <v>82</v>
      </c>
      <c r="J203" s="0" t="s">
        <v>411</v>
      </c>
    </row>
    <row r="204" customFormat="false" ht="15" hidden="false" customHeight="false" outlineLevel="0" collapsed="false">
      <c r="A204" s="0" t="s">
        <v>403</v>
      </c>
      <c r="B204" s="0" t="s">
        <v>83</v>
      </c>
      <c r="C204" s="0" t="s">
        <v>12</v>
      </c>
      <c r="D204" s="0" t="s">
        <v>495</v>
      </c>
      <c r="E204" s="0" t="s">
        <v>84</v>
      </c>
      <c r="F204" s="0" t="n">
        <f aca="false">HYPERLINK("http://clipc-services.ceda.ac.uk/dreq/u/1ae710e405acc14b368f55d9205be258.html","web")</f>
        <v>0</v>
      </c>
      <c r="G204" s="0" t="s">
        <v>65</v>
      </c>
      <c r="H204" s="0" t="s">
        <v>57</v>
      </c>
      <c r="I204" s="0" t="s">
        <v>85</v>
      </c>
      <c r="J204" s="0" t="s">
        <v>411</v>
      </c>
    </row>
    <row r="206" customFormat="false" ht="15" hidden="false" customHeight="false" outlineLevel="0" collapsed="false">
      <c r="A206" s="0" t="s">
        <v>552</v>
      </c>
      <c r="B206" s="0" t="s">
        <v>553</v>
      </c>
      <c r="C206" s="0" t="s">
        <v>20</v>
      </c>
      <c r="D206" s="0" t="s">
        <v>192</v>
      </c>
      <c r="E206" s="0" t="s">
        <v>554</v>
      </c>
      <c r="F206" s="0" t="n">
        <f aca="false">HYPERLINK("http://clipc-services.ceda.ac.uk/dreq/u/00efa75221917486576896481325ce2f.html","web")</f>
        <v>0</v>
      </c>
      <c r="G206" s="0" t="s">
        <v>555</v>
      </c>
      <c r="H206" s="0" t="s">
        <v>24</v>
      </c>
      <c r="I206" s="0" t="s">
        <v>556</v>
      </c>
      <c r="J206" s="0" t="s">
        <v>557</v>
      </c>
    </row>
    <row r="207" customFormat="false" ht="15" hidden="false" customHeight="false" outlineLevel="0" collapsed="false">
      <c r="A207" s="0" t="s">
        <v>552</v>
      </c>
      <c r="B207" s="0" t="s">
        <v>558</v>
      </c>
      <c r="C207" s="0" t="s">
        <v>20</v>
      </c>
      <c r="D207" s="0" t="s">
        <v>192</v>
      </c>
      <c r="E207" s="0" t="s">
        <v>559</v>
      </c>
      <c r="F207" s="0" t="n">
        <f aca="false">HYPERLINK("http://clipc-services.ceda.ac.uk/dreq/u/59137fd6-9e49-11e5-803c-0d0b866b59f3.html","web")</f>
        <v>0</v>
      </c>
      <c r="G207" s="0" t="s">
        <v>560</v>
      </c>
      <c r="H207" s="0" t="s">
        <v>24</v>
      </c>
      <c r="I207" s="0" t="s">
        <v>561</v>
      </c>
      <c r="J207" s="0" t="s">
        <v>557</v>
      </c>
    </row>
    <row r="208" customFormat="false" ht="15" hidden="false" customHeight="false" outlineLevel="0" collapsed="false">
      <c r="A208" s="0" t="s">
        <v>552</v>
      </c>
      <c r="B208" s="0" t="s">
        <v>562</v>
      </c>
      <c r="C208" s="0" t="s">
        <v>20</v>
      </c>
      <c r="D208" s="0" t="s">
        <v>192</v>
      </c>
      <c r="E208" s="0" t="s">
        <v>563</v>
      </c>
      <c r="F208" s="0" t="n">
        <f aca="false">HYPERLINK("http://clipc-services.ceda.ac.uk/dreq/u/59137d56-9e49-11e5-803c-0d0b866b59f3.html","web")</f>
        <v>0</v>
      </c>
      <c r="G208" s="0" t="s">
        <v>564</v>
      </c>
      <c r="H208" s="0" t="s">
        <v>24</v>
      </c>
      <c r="I208" s="0" t="s">
        <v>565</v>
      </c>
      <c r="J208" s="0" t="s">
        <v>557</v>
      </c>
    </row>
    <row r="209" customFormat="false" ht="15" hidden="false" customHeight="false" outlineLevel="0" collapsed="false">
      <c r="A209" s="0" t="s">
        <v>552</v>
      </c>
      <c r="B209" s="0" t="s">
        <v>566</v>
      </c>
      <c r="C209" s="0" t="s">
        <v>20</v>
      </c>
      <c r="D209" s="0" t="s">
        <v>192</v>
      </c>
      <c r="E209" s="0" t="s">
        <v>567</v>
      </c>
      <c r="F209" s="0" t="n">
        <f aca="false">HYPERLINK("http://clipc-services.ceda.ac.uk/dreq/u/5917ff52-9e49-11e5-803c-0d0b866b59f3.html","web")</f>
        <v>0</v>
      </c>
      <c r="G209" s="0" t="s">
        <v>564</v>
      </c>
      <c r="H209" s="0" t="s">
        <v>24</v>
      </c>
      <c r="I209" s="0" t="s">
        <v>568</v>
      </c>
      <c r="J209" s="0" t="s">
        <v>557</v>
      </c>
    </row>
    <row r="210" customFormat="false" ht="15" hidden="false" customHeight="false" outlineLevel="0" collapsed="false">
      <c r="A210" s="0" t="s">
        <v>552</v>
      </c>
      <c r="B210" s="0" t="s">
        <v>569</v>
      </c>
      <c r="C210" s="0" t="s">
        <v>20</v>
      </c>
      <c r="D210" s="0" t="s">
        <v>192</v>
      </c>
      <c r="E210" s="0" t="s">
        <v>570</v>
      </c>
      <c r="F210" s="0" t="n">
        <f aca="false">HYPERLINK("http://clipc-services.ceda.ac.uk/dreq/u/590db8c6-9e49-11e5-803c-0d0b866b59f3.html","web")</f>
        <v>0</v>
      </c>
      <c r="G210" s="0" t="s">
        <v>564</v>
      </c>
      <c r="H210" s="0" t="s">
        <v>24</v>
      </c>
      <c r="I210" s="0" t="s">
        <v>571</v>
      </c>
      <c r="J210" s="0" t="s">
        <v>557</v>
      </c>
    </row>
    <row r="211" customFormat="false" ht="15" hidden="false" customHeight="false" outlineLevel="0" collapsed="false">
      <c r="A211" s="0" t="s">
        <v>552</v>
      </c>
      <c r="B211" s="0" t="s">
        <v>572</v>
      </c>
      <c r="C211" s="0" t="s">
        <v>20</v>
      </c>
      <c r="D211" s="0" t="s">
        <v>192</v>
      </c>
      <c r="E211" s="0" t="s">
        <v>573</v>
      </c>
      <c r="F211" s="0" t="n">
        <f aca="false">HYPERLINK("http://clipc-services.ceda.ac.uk/dreq/u/e51c1fc2-00a7-11e6-a8a4-5404a60d96b5.html","web")</f>
        <v>0</v>
      </c>
      <c r="G211" s="0" t="s">
        <v>564</v>
      </c>
      <c r="H211" s="0" t="s">
        <v>24</v>
      </c>
      <c r="I211" s="0" t="s">
        <v>574</v>
      </c>
      <c r="J211" s="0" t="s">
        <v>557</v>
      </c>
    </row>
    <row r="212" customFormat="false" ht="15" hidden="false" customHeight="false" outlineLevel="0" collapsed="false">
      <c r="A212" s="0" t="s">
        <v>552</v>
      </c>
      <c r="B212" s="0" t="s">
        <v>259</v>
      </c>
      <c r="C212" s="0" t="s">
        <v>20</v>
      </c>
      <c r="D212" s="0" t="s">
        <v>192</v>
      </c>
      <c r="E212" s="0" t="s">
        <v>260</v>
      </c>
      <c r="F212" s="0" t="n">
        <f aca="false">HYPERLINK("http://clipc-services.ceda.ac.uk/dreq/u/621681bc7c376de66228fdde13b97516.html","web")</f>
        <v>0</v>
      </c>
      <c r="G212" s="0" t="s">
        <v>261</v>
      </c>
      <c r="H212" s="0" t="s">
        <v>24</v>
      </c>
      <c r="I212" s="0" t="s">
        <v>262</v>
      </c>
      <c r="J212" s="0" t="s">
        <v>575</v>
      </c>
    </row>
    <row r="213" customFormat="false" ht="15" hidden="false" customHeight="false" outlineLevel="0" collapsed="false">
      <c r="A213" s="0" t="s">
        <v>552</v>
      </c>
      <c r="B213" s="0" t="s">
        <v>576</v>
      </c>
      <c r="C213" s="0" t="s">
        <v>115</v>
      </c>
      <c r="D213" s="0" t="s">
        <v>192</v>
      </c>
      <c r="E213" s="0" t="s">
        <v>577</v>
      </c>
      <c r="F213" s="0" t="n">
        <f aca="false">HYPERLINK("http://clipc-services.ceda.ac.uk/dreq/u/5917483c-9e49-11e5-803c-0d0b866b59f3.html","web")</f>
        <v>0</v>
      </c>
      <c r="G213" s="0" t="s">
        <v>578</v>
      </c>
      <c r="H213" s="0" t="s">
        <v>24</v>
      </c>
      <c r="I213" s="0" t="s">
        <v>579</v>
      </c>
      <c r="J213" s="0" t="s">
        <v>575</v>
      </c>
    </row>
    <row r="214" customFormat="false" ht="15" hidden="false" customHeight="false" outlineLevel="0" collapsed="false">
      <c r="A214" s="0" t="s">
        <v>552</v>
      </c>
      <c r="B214" s="0" t="s">
        <v>580</v>
      </c>
      <c r="C214" s="0" t="s">
        <v>115</v>
      </c>
      <c r="D214" s="0" t="s">
        <v>192</v>
      </c>
      <c r="E214" s="0" t="s">
        <v>581</v>
      </c>
      <c r="F214" s="0" t="n">
        <f aca="false">HYPERLINK("http://clipc-services.ceda.ac.uk/dreq/u/59173c0c-9e49-11e5-803c-0d0b866b59f3.html","web")</f>
        <v>0</v>
      </c>
      <c r="G214" s="0" t="s">
        <v>578</v>
      </c>
      <c r="H214" s="0" t="s">
        <v>24</v>
      </c>
      <c r="I214" s="0" t="s">
        <v>582</v>
      </c>
      <c r="J214" s="0" t="s">
        <v>575</v>
      </c>
    </row>
    <row r="215" customFormat="false" ht="15" hidden="false" customHeight="false" outlineLevel="0" collapsed="false">
      <c r="A215" s="0" t="s">
        <v>552</v>
      </c>
      <c r="B215" s="0" t="s">
        <v>583</v>
      </c>
      <c r="C215" s="0" t="s">
        <v>20</v>
      </c>
      <c r="D215" s="0" t="s">
        <v>192</v>
      </c>
      <c r="E215" s="0" t="s">
        <v>584</v>
      </c>
      <c r="F215" s="0" t="n">
        <f aca="false">HYPERLINK("http://clipc-services.ceda.ac.uk/dreq/u/59170a02-9e49-11e5-803c-0d0b866b59f3.html","web")</f>
        <v>0</v>
      </c>
      <c r="G215" s="0" t="s">
        <v>194</v>
      </c>
      <c r="H215" s="0" t="s">
        <v>173</v>
      </c>
      <c r="I215" s="0" t="s">
        <v>584</v>
      </c>
      <c r="J215" s="0" t="s">
        <v>575</v>
      </c>
    </row>
    <row r="216" customFormat="false" ht="15" hidden="false" customHeight="false" outlineLevel="0" collapsed="false">
      <c r="A216" s="0" t="s">
        <v>552</v>
      </c>
      <c r="B216" s="0" t="s">
        <v>585</v>
      </c>
      <c r="C216" s="0" t="s">
        <v>20</v>
      </c>
      <c r="D216" s="0" t="s">
        <v>192</v>
      </c>
      <c r="E216" s="0" t="s">
        <v>586</v>
      </c>
      <c r="F216" s="0" t="n">
        <f aca="false">HYPERLINK("http://clipc-services.ceda.ac.uk/dreq/u/5913d86e-9e49-11e5-803c-0d0b866b59f3.html","web")</f>
        <v>0</v>
      </c>
      <c r="G216" s="0" t="s">
        <v>194</v>
      </c>
      <c r="H216" s="0" t="s">
        <v>173</v>
      </c>
      <c r="I216" s="0" t="s">
        <v>586</v>
      </c>
      <c r="J216" s="0" t="s">
        <v>575</v>
      </c>
    </row>
    <row r="217" customFormat="false" ht="15" hidden="false" customHeight="false" outlineLevel="0" collapsed="false">
      <c r="A217" s="0" t="s">
        <v>552</v>
      </c>
      <c r="B217" s="0" t="s">
        <v>587</v>
      </c>
      <c r="C217" s="0" t="s">
        <v>20</v>
      </c>
      <c r="D217" s="0" t="s">
        <v>192</v>
      </c>
      <c r="E217" s="0" t="s">
        <v>588</v>
      </c>
      <c r="F217" s="0" t="n">
        <f aca="false">HYPERLINK("http://clipc-services.ceda.ac.uk/dreq/u/5913d602-9e49-11e5-803c-0d0b866b59f3.html","web")</f>
        <v>0</v>
      </c>
      <c r="G217" s="0" t="s">
        <v>194</v>
      </c>
      <c r="H217" s="0" t="s">
        <v>173</v>
      </c>
      <c r="J217" s="0" t="s">
        <v>575</v>
      </c>
    </row>
    <row r="218" customFormat="false" ht="15" hidden="false" customHeight="false" outlineLevel="0" collapsed="false">
      <c r="A218" s="0" t="s">
        <v>552</v>
      </c>
      <c r="B218" s="0" t="s">
        <v>203</v>
      </c>
      <c r="C218" s="0" t="s">
        <v>20</v>
      </c>
      <c r="D218" s="0" t="s">
        <v>192</v>
      </c>
      <c r="E218" s="0" t="s">
        <v>204</v>
      </c>
      <c r="F218" s="0" t="n">
        <f aca="false">HYPERLINK("http://clipc-services.ceda.ac.uk/dreq/u/85631e0f7a8fdcb10737a525f4134181.html","web")</f>
        <v>0</v>
      </c>
      <c r="G218" s="0" t="s">
        <v>194</v>
      </c>
      <c r="H218" s="0" t="s">
        <v>24</v>
      </c>
      <c r="I218" s="0" t="s">
        <v>205</v>
      </c>
      <c r="J218" s="0" t="s">
        <v>589</v>
      </c>
    </row>
    <row r="219" customFormat="false" ht="15" hidden="false" customHeight="false" outlineLevel="0" collapsed="false">
      <c r="A219" s="0" t="s">
        <v>552</v>
      </c>
      <c r="B219" s="0" t="s">
        <v>200</v>
      </c>
      <c r="C219" s="0" t="s">
        <v>12</v>
      </c>
      <c r="D219" s="0" t="s">
        <v>192</v>
      </c>
      <c r="E219" s="0" t="s">
        <v>201</v>
      </c>
      <c r="F219" s="0" t="n">
        <f aca="false">HYPERLINK("http://clipc-services.ceda.ac.uk/dreq/u/9522ca96d0b066ebe8defd5541de0582.html","web")</f>
        <v>0</v>
      </c>
      <c r="G219" s="0" t="s">
        <v>194</v>
      </c>
      <c r="H219" s="0" t="s">
        <v>24</v>
      </c>
      <c r="I219" s="0" t="s">
        <v>202</v>
      </c>
      <c r="J219" s="0" t="s">
        <v>589</v>
      </c>
    </row>
    <row r="220" customFormat="false" ht="15" hidden="false" customHeight="false" outlineLevel="0" collapsed="false">
      <c r="A220" s="0" t="s">
        <v>552</v>
      </c>
      <c r="B220" s="0" t="s">
        <v>206</v>
      </c>
      <c r="C220" s="0" t="s">
        <v>12</v>
      </c>
      <c r="D220" s="0" t="s">
        <v>192</v>
      </c>
      <c r="E220" s="0" t="s">
        <v>207</v>
      </c>
      <c r="F220" s="0" t="n">
        <f aca="false">HYPERLINK("http://clipc-services.ceda.ac.uk/dreq/u/590fa2bc-9e49-11e5-803c-0d0b866b59f3.html","web")</f>
        <v>0</v>
      </c>
      <c r="G220" s="0" t="s">
        <v>194</v>
      </c>
      <c r="H220" s="0" t="s">
        <v>24</v>
      </c>
      <c r="I220" s="0" t="s">
        <v>208</v>
      </c>
      <c r="J220" s="0" t="s">
        <v>589</v>
      </c>
    </row>
    <row r="221" customFormat="false" ht="15" hidden="false" customHeight="false" outlineLevel="0" collapsed="false">
      <c r="A221" s="0" t="s">
        <v>552</v>
      </c>
      <c r="B221" s="0" t="s">
        <v>191</v>
      </c>
      <c r="C221" s="0" t="s">
        <v>12</v>
      </c>
      <c r="D221" s="0" t="s">
        <v>192</v>
      </c>
      <c r="E221" s="0" t="s">
        <v>193</v>
      </c>
      <c r="F221" s="0" t="n">
        <f aca="false">HYPERLINK("http://clipc-services.ceda.ac.uk/dreq/u/ba7be4134a9cf4838434bf204d80b903.html","web")</f>
        <v>0</v>
      </c>
      <c r="G221" s="0" t="s">
        <v>194</v>
      </c>
      <c r="H221" s="0" t="s">
        <v>24</v>
      </c>
      <c r="I221" s="0" t="s">
        <v>195</v>
      </c>
      <c r="J221" s="0" t="s">
        <v>589</v>
      </c>
    </row>
    <row r="222" customFormat="false" ht="15" hidden="false" customHeight="false" outlineLevel="0" collapsed="false">
      <c r="A222" s="0" t="s">
        <v>552</v>
      </c>
      <c r="B222" s="0" t="s">
        <v>197</v>
      </c>
      <c r="C222" s="0" t="s">
        <v>12</v>
      </c>
      <c r="D222" s="0" t="s">
        <v>192</v>
      </c>
      <c r="E222" s="0" t="s">
        <v>198</v>
      </c>
      <c r="F222" s="0" t="n">
        <f aca="false">HYPERLINK("http://clipc-services.ceda.ac.uk/dreq/u/c64364df884a3cebaa7aebb664260776.html","web")</f>
        <v>0</v>
      </c>
      <c r="G222" s="0" t="s">
        <v>194</v>
      </c>
      <c r="H222" s="0" t="s">
        <v>24</v>
      </c>
      <c r="I222" s="0" t="s">
        <v>199</v>
      </c>
      <c r="J222" s="0" t="s">
        <v>589</v>
      </c>
    </row>
    <row r="223" customFormat="false" ht="15" hidden="false" customHeight="false" outlineLevel="0" collapsed="false">
      <c r="A223" s="0" t="s">
        <v>552</v>
      </c>
      <c r="B223" s="0" t="s">
        <v>213</v>
      </c>
      <c r="C223" s="0" t="s">
        <v>12</v>
      </c>
      <c r="D223" s="0" t="s">
        <v>192</v>
      </c>
      <c r="E223" s="0" t="s">
        <v>214</v>
      </c>
      <c r="F223" s="0" t="n">
        <f aca="false">HYPERLINK("http://clipc-services.ceda.ac.uk/dreq/u/590e85a8-9e49-11e5-803c-0d0b866b59f3.html","web")</f>
        <v>0</v>
      </c>
      <c r="G223" s="0" t="s">
        <v>211</v>
      </c>
      <c r="H223" s="0" t="s">
        <v>24</v>
      </c>
      <c r="I223" s="0" t="s">
        <v>215</v>
      </c>
      <c r="J223" s="0" t="s">
        <v>590</v>
      </c>
    </row>
    <row r="225" customFormat="false" ht="15" hidden="false" customHeight="false" outlineLevel="0" collapsed="false">
      <c r="A225" s="0" t="s">
        <v>591</v>
      </c>
      <c r="B225" s="0" t="s">
        <v>165</v>
      </c>
      <c r="C225" s="0" t="s">
        <v>20</v>
      </c>
      <c r="D225" s="0" t="s">
        <v>152</v>
      </c>
      <c r="E225" s="0" t="s">
        <v>166</v>
      </c>
      <c r="F225" s="0" t="n">
        <f aca="false">HYPERLINK("http://clipc-services.ceda.ac.uk/dreq/u/13484743dd3369c69df93379e6dafbb5.html","web")</f>
        <v>0</v>
      </c>
      <c r="G225" s="0" t="s">
        <v>167</v>
      </c>
      <c r="I225" s="0" t="s">
        <v>168</v>
      </c>
      <c r="J225" s="0" t="s">
        <v>592</v>
      </c>
    </row>
    <row r="226" customFormat="false" ht="15" hidden="false" customHeight="false" outlineLevel="0" collapsed="false">
      <c r="A226" s="0" t="s">
        <v>591</v>
      </c>
      <c r="B226" s="0" t="s">
        <v>170</v>
      </c>
      <c r="C226" s="0" t="s">
        <v>20</v>
      </c>
      <c r="D226" s="0" t="s">
        <v>152</v>
      </c>
      <c r="E226" s="0" t="s">
        <v>171</v>
      </c>
      <c r="F226" s="0" t="n">
        <f aca="false">HYPERLINK("http://clipc-services.ceda.ac.uk/dreq/u/0062272a6a4176b8c32af87642b062c5.html","web")</f>
        <v>0</v>
      </c>
      <c r="G226" s="0" t="s">
        <v>172</v>
      </c>
      <c r="H226" s="0" t="s">
        <v>173</v>
      </c>
      <c r="I226" s="0" t="s">
        <v>174</v>
      </c>
      <c r="J226" s="0" t="s">
        <v>592</v>
      </c>
    </row>
    <row r="227" customFormat="false" ht="15" hidden="false" customHeight="false" outlineLevel="0" collapsed="false">
      <c r="A227" s="0" t="s">
        <v>591</v>
      </c>
      <c r="B227" s="0" t="s">
        <v>284</v>
      </c>
      <c r="C227" s="0" t="s">
        <v>20</v>
      </c>
      <c r="D227" s="0" t="s">
        <v>152</v>
      </c>
      <c r="E227" s="0" t="s">
        <v>285</v>
      </c>
      <c r="F227" s="0" t="n">
        <f aca="false">HYPERLINK("http://clipc-services.ceda.ac.uk/dreq/u/29fae9ea0f236a3eb144026e1bafde28.html","web")</f>
        <v>0</v>
      </c>
      <c r="G227" s="0" t="s">
        <v>286</v>
      </c>
      <c r="H227" s="0" t="s">
        <v>287</v>
      </c>
      <c r="I227" s="0" t="s">
        <v>288</v>
      </c>
      <c r="J227" s="0" t="s">
        <v>593</v>
      </c>
    </row>
    <row r="228" customFormat="false" ht="15" hidden="false" customHeight="false" outlineLevel="0" collapsed="false">
      <c r="A228" s="0" t="s">
        <v>591</v>
      </c>
      <c r="B228" s="0" t="s">
        <v>289</v>
      </c>
      <c r="C228" s="0" t="s">
        <v>20</v>
      </c>
      <c r="D228" s="0" t="s">
        <v>152</v>
      </c>
      <c r="E228" s="0" t="s">
        <v>290</v>
      </c>
      <c r="F228" s="0" t="n">
        <f aca="false">HYPERLINK("http://clipc-services.ceda.ac.uk/dreq/u/8de0f30b91b15720398fc10fd712a182.html","web")</f>
        <v>0</v>
      </c>
      <c r="G228" s="0" t="s">
        <v>286</v>
      </c>
      <c r="H228" s="0" t="s">
        <v>173</v>
      </c>
      <c r="I228" s="0" t="s">
        <v>291</v>
      </c>
      <c r="J228" s="0" t="s">
        <v>594</v>
      </c>
    </row>
    <row r="229" customFormat="false" ht="15" hidden="false" customHeight="false" outlineLevel="0" collapsed="false">
      <c r="A229" s="0" t="s">
        <v>591</v>
      </c>
      <c r="B229" s="0" t="s">
        <v>175</v>
      </c>
      <c r="C229" s="0" t="s">
        <v>20</v>
      </c>
      <c r="D229" s="0" t="s">
        <v>176</v>
      </c>
      <c r="E229" s="0" t="s">
        <v>177</v>
      </c>
      <c r="F229" s="0" t="n">
        <f aca="false">HYPERLINK("http://clipc-services.ceda.ac.uk/dreq/u/6d790fe4caa7feff46a41ae7b3811e52.html","web")</f>
        <v>0</v>
      </c>
      <c r="G229" s="0" t="s">
        <v>178</v>
      </c>
      <c r="I229" s="0" t="s">
        <v>179</v>
      </c>
      <c r="J229" s="0" t="s">
        <v>595</v>
      </c>
    </row>
    <row r="230" customFormat="false" ht="15" hidden="false" customHeight="false" outlineLevel="0" collapsed="false">
      <c r="A230" s="0" t="s">
        <v>591</v>
      </c>
      <c r="B230" s="0" t="s">
        <v>596</v>
      </c>
      <c r="C230" s="0" t="s">
        <v>20</v>
      </c>
      <c r="D230" s="0" t="s">
        <v>597</v>
      </c>
      <c r="E230" s="0" t="s">
        <v>598</v>
      </c>
      <c r="F230" s="0" t="n">
        <f aca="false">HYPERLINK("http://clipc-services.ceda.ac.uk/dreq/u/942125e5a461fef57b1477b9a2bd5fa0.html","web")</f>
        <v>0</v>
      </c>
      <c r="G230" s="0" t="s">
        <v>599</v>
      </c>
      <c r="H230" s="0" t="s">
        <v>600</v>
      </c>
      <c r="I230" s="0" t="s">
        <v>601</v>
      </c>
      <c r="J230" s="0" t="s">
        <v>602</v>
      </c>
    </row>
    <row r="231" customFormat="false" ht="15" hidden="false" customHeight="false" outlineLevel="0" collapsed="false">
      <c r="A231" s="0" t="s">
        <v>591</v>
      </c>
      <c r="B231" s="0" t="s">
        <v>603</v>
      </c>
      <c r="C231" s="0" t="s">
        <v>20</v>
      </c>
      <c r="D231" s="0" t="s">
        <v>604</v>
      </c>
      <c r="E231" s="0" t="s">
        <v>598</v>
      </c>
      <c r="F231" s="0" t="n">
        <f aca="false">HYPERLINK("http://clipc-services.ceda.ac.uk/dreq/u/942125e5a461fef57b1477b9a2bd5fa0.html","web")</f>
        <v>0</v>
      </c>
      <c r="G231" s="0" t="s">
        <v>605</v>
      </c>
      <c r="H231" s="0" t="s">
        <v>606</v>
      </c>
      <c r="I231" s="0" t="s">
        <v>601</v>
      </c>
      <c r="J231" s="0" t="s">
        <v>602</v>
      </c>
    </row>
    <row r="232" customFormat="false" ht="15" hidden="false" customHeight="false" outlineLevel="0" collapsed="false">
      <c r="A232" s="0" t="s">
        <v>591</v>
      </c>
      <c r="B232" s="0" t="s">
        <v>607</v>
      </c>
      <c r="C232" s="0" t="s">
        <v>20</v>
      </c>
      <c r="D232" s="0" t="s">
        <v>608</v>
      </c>
      <c r="E232" s="0" t="s">
        <v>609</v>
      </c>
      <c r="F232" s="0" t="n">
        <f aca="false">HYPERLINK("http://clipc-services.ceda.ac.uk/dreq/u/09c328529f2fac58c1b016da33ba394c.html","web")</f>
        <v>0</v>
      </c>
      <c r="G232" s="0" t="s">
        <v>605</v>
      </c>
      <c r="H232" s="0" t="s">
        <v>606</v>
      </c>
      <c r="I232" s="0" t="s">
        <v>610</v>
      </c>
      <c r="J232" s="0" t="s">
        <v>602</v>
      </c>
    </row>
    <row r="233" customFormat="false" ht="15" hidden="false" customHeight="false" outlineLevel="0" collapsed="false">
      <c r="A233" s="0" t="s">
        <v>591</v>
      </c>
      <c r="B233" s="0" t="s">
        <v>611</v>
      </c>
      <c r="C233" s="0" t="s">
        <v>20</v>
      </c>
      <c r="D233" s="0" t="s">
        <v>612</v>
      </c>
      <c r="E233" s="0" t="s">
        <v>609</v>
      </c>
      <c r="F233" s="0" t="n">
        <f aca="false">HYPERLINK("http://clipc-services.ceda.ac.uk/dreq/u/09c328529f2fac58c1b016da33ba394c.html","web")</f>
        <v>0</v>
      </c>
      <c r="G233" s="0" t="s">
        <v>605</v>
      </c>
      <c r="H233" s="0" t="s">
        <v>606</v>
      </c>
      <c r="I233" s="0" t="s">
        <v>610</v>
      </c>
      <c r="J233" s="0" t="s">
        <v>602</v>
      </c>
    </row>
    <row r="235" customFormat="false" ht="15" hidden="false" customHeight="false" outlineLevel="0" collapsed="false">
      <c r="A235" s="0" t="s">
        <v>613</v>
      </c>
      <c r="B235" s="0" t="s">
        <v>614</v>
      </c>
      <c r="C235" s="0" t="s">
        <v>115</v>
      </c>
      <c r="D235" s="0" t="s">
        <v>152</v>
      </c>
      <c r="E235" s="0" t="s">
        <v>615</v>
      </c>
      <c r="F235" s="0" t="n">
        <f aca="false">HYPERLINK("http://clipc-services.ceda.ac.uk/dreq/u/7553003ead183dd3276108b6311a337f.html","web")</f>
        <v>0</v>
      </c>
      <c r="G235" s="0" t="s">
        <v>194</v>
      </c>
      <c r="H235" s="0" t="s">
        <v>173</v>
      </c>
      <c r="I235" s="0" t="s">
        <v>616</v>
      </c>
      <c r="J235" s="0" t="s">
        <v>617</v>
      </c>
    </row>
    <row r="236" customFormat="false" ht="15" hidden="false" customHeight="false" outlineLevel="0" collapsed="false">
      <c r="A236" s="0" t="s">
        <v>613</v>
      </c>
      <c r="B236" s="0" t="s">
        <v>618</v>
      </c>
      <c r="C236" s="0" t="s">
        <v>20</v>
      </c>
      <c r="D236" s="0" t="s">
        <v>619</v>
      </c>
      <c r="E236" s="0" t="s">
        <v>620</v>
      </c>
      <c r="F236" s="0" t="n">
        <f aca="false">HYPERLINK("http://clipc-services.ceda.ac.uk/dreq/u/e4b039da-b621-11e6-bbe2-ac72891c3257.html","web")</f>
        <v>0</v>
      </c>
      <c r="G236" s="0" t="s">
        <v>194</v>
      </c>
      <c r="H236" s="0" t="s">
        <v>173</v>
      </c>
      <c r="I236" s="0" t="s">
        <v>621</v>
      </c>
      <c r="J236" s="0" t="s">
        <v>622</v>
      </c>
    </row>
    <row r="238" customFormat="false" ht="15" hidden="false" customHeight="false" outlineLevel="0" collapsed="false">
      <c r="A238" s="0" t="s">
        <v>623</v>
      </c>
      <c r="B238" s="0" t="s">
        <v>624</v>
      </c>
      <c r="C238" s="0" t="s">
        <v>20</v>
      </c>
      <c r="D238" s="0" t="s">
        <v>346</v>
      </c>
      <c r="E238" s="0" t="s">
        <v>625</v>
      </c>
      <c r="F238" s="0" t="n">
        <f aca="false">HYPERLINK("http://clipc-services.ceda.ac.uk/dreq/u/98114e26-b896-11e6-a189-5404a60d96b5.html","web")</f>
        <v>0</v>
      </c>
      <c r="G238" s="0" t="s">
        <v>626</v>
      </c>
      <c r="H238" s="0" t="s">
        <v>600</v>
      </c>
      <c r="I238" s="0" t="s">
        <v>627</v>
      </c>
      <c r="J238" s="0" t="s">
        <v>628</v>
      </c>
    </row>
    <row r="239" customFormat="false" ht="15" hidden="false" customHeight="false" outlineLevel="0" collapsed="false">
      <c r="A239" s="0" t="s">
        <v>623</v>
      </c>
      <c r="B239" s="0" t="s">
        <v>629</v>
      </c>
      <c r="C239" s="0" t="s">
        <v>20</v>
      </c>
      <c r="D239" s="0" t="s">
        <v>346</v>
      </c>
      <c r="E239" s="0" t="s">
        <v>630</v>
      </c>
      <c r="F239" s="0" t="n">
        <f aca="false">HYPERLINK("http://clipc-services.ceda.ac.uk/dreq/u/e8d5bdfd24b275f0530646361967483d.html","web")</f>
        <v>0</v>
      </c>
      <c r="G239" s="0" t="s">
        <v>626</v>
      </c>
      <c r="H239" s="0" t="s">
        <v>600</v>
      </c>
      <c r="I239" s="0" t="s">
        <v>631</v>
      </c>
      <c r="J239" s="0" t="s">
        <v>628</v>
      </c>
    </row>
    <row r="240" customFormat="false" ht="15" hidden="false" customHeight="false" outlineLevel="0" collapsed="false">
      <c r="A240" s="0" t="s">
        <v>623</v>
      </c>
      <c r="B240" s="0" t="s">
        <v>632</v>
      </c>
      <c r="C240" s="0" t="s">
        <v>20</v>
      </c>
      <c r="D240" s="0" t="s">
        <v>152</v>
      </c>
      <c r="E240" s="0" t="s">
        <v>633</v>
      </c>
      <c r="F240" s="0" t="n">
        <f aca="false">HYPERLINK("http://clipc-services.ceda.ac.uk/dreq/u/5fb2c6633cdd98673b7b12d257575460.html","web")</f>
        <v>0</v>
      </c>
      <c r="G240" s="0" t="s">
        <v>634</v>
      </c>
      <c r="H240" s="0" t="s">
        <v>635</v>
      </c>
      <c r="I240" s="0" t="s">
        <v>636</v>
      </c>
      <c r="J240" s="0" t="s">
        <v>637</v>
      </c>
    </row>
    <row r="241" customFormat="false" ht="15" hidden="false" customHeight="false" outlineLevel="0" collapsed="false">
      <c r="A241" s="0" t="s">
        <v>623</v>
      </c>
      <c r="B241" s="0" t="s">
        <v>638</v>
      </c>
      <c r="C241" s="0" t="s">
        <v>20</v>
      </c>
      <c r="D241" s="0" t="s">
        <v>152</v>
      </c>
      <c r="E241" s="0" t="s">
        <v>639</v>
      </c>
      <c r="F241" s="0" t="n">
        <f aca="false">HYPERLINK("http://clipc-services.ceda.ac.uk/dreq/u/4ffc1f50b844980dbbae006dbcfca869.html","web")</f>
        <v>0</v>
      </c>
      <c r="G241" s="0" t="s">
        <v>626</v>
      </c>
      <c r="H241" s="0" t="s">
        <v>600</v>
      </c>
      <c r="I241" s="0" t="s">
        <v>640</v>
      </c>
      <c r="J241" s="0" t="s">
        <v>637</v>
      </c>
    </row>
    <row r="242" customFormat="false" ht="15" hidden="false" customHeight="false" outlineLevel="0" collapsed="false">
      <c r="A242" s="0" t="s">
        <v>623</v>
      </c>
      <c r="B242" s="0" t="s">
        <v>641</v>
      </c>
      <c r="C242" s="0" t="s">
        <v>20</v>
      </c>
      <c r="D242" s="0" t="s">
        <v>152</v>
      </c>
      <c r="E242" s="0" t="s">
        <v>642</v>
      </c>
      <c r="F242" s="0" t="n">
        <f aca="false">HYPERLINK("http://clipc-services.ceda.ac.uk/dreq/u/db3d77eebc6dc2fbcab4e0f894e46037.html","web")</f>
        <v>0</v>
      </c>
      <c r="G242" s="0" t="s">
        <v>194</v>
      </c>
      <c r="H242" s="0" t="s">
        <v>643</v>
      </c>
      <c r="I242" s="0" t="s">
        <v>644</v>
      </c>
      <c r="J242" s="0" t="s">
        <v>637</v>
      </c>
    </row>
    <row r="243" customFormat="false" ht="15" hidden="false" customHeight="false" outlineLevel="0" collapsed="false">
      <c r="A243" s="0" t="s">
        <v>623</v>
      </c>
      <c r="B243" s="0" t="s">
        <v>645</v>
      </c>
      <c r="C243" s="0" t="s">
        <v>20</v>
      </c>
      <c r="D243" s="0" t="s">
        <v>152</v>
      </c>
      <c r="E243" s="0" t="s">
        <v>646</v>
      </c>
      <c r="F243" s="0" t="n">
        <f aca="false">HYPERLINK("http://clipc-services.ceda.ac.uk/dreq/u/ea546e38aa8fc0e021f03e746e1adb10.html","web")</f>
        <v>0</v>
      </c>
      <c r="G243" s="0" t="s">
        <v>626</v>
      </c>
      <c r="H243" s="0" t="s">
        <v>600</v>
      </c>
      <c r="I243" s="0" t="s">
        <v>647</v>
      </c>
      <c r="J243" s="0" t="s">
        <v>637</v>
      </c>
    </row>
    <row r="244" customFormat="false" ht="15" hidden="false" customHeight="false" outlineLevel="0" collapsed="false">
      <c r="A244" s="0" t="s">
        <v>623</v>
      </c>
      <c r="B244" s="0" t="s">
        <v>648</v>
      </c>
      <c r="C244" s="0" t="s">
        <v>20</v>
      </c>
      <c r="D244" s="0" t="s">
        <v>152</v>
      </c>
      <c r="E244" s="0" t="s">
        <v>649</v>
      </c>
      <c r="F244" s="0" t="n">
        <f aca="false">HYPERLINK("http://clipc-services.ceda.ac.uk/dreq/u/691673a210102ac652eed2b784dd2ab4.html","web")</f>
        <v>0</v>
      </c>
      <c r="G244" s="0" t="s">
        <v>626</v>
      </c>
      <c r="H244" s="0" t="s">
        <v>600</v>
      </c>
      <c r="I244" s="0" t="s">
        <v>650</v>
      </c>
      <c r="J244" s="0" t="s">
        <v>637</v>
      </c>
    </row>
    <row r="245" customFormat="false" ht="15" hidden="false" customHeight="false" outlineLevel="0" collapsed="false">
      <c r="A245" s="0" t="s">
        <v>623</v>
      </c>
      <c r="B245" s="0" t="s">
        <v>651</v>
      </c>
      <c r="C245" s="0" t="s">
        <v>20</v>
      </c>
      <c r="D245" s="0" t="s">
        <v>152</v>
      </c>
      <c r="E245" s="0" t="s">
        <v>652</v>
      </c>
      <c r="F245" s="0" t="n">
        <f aca="false">HYPERLINK("http://clipc-services.ceda.ac.uk/dreq/u/a4e52f0f3833b395c09c73f1b6f3f748.html","web")</f>
        <v>0</v>
      </c>
      <c r="G245" s="0" t="s">
        <v>626</v>
      </c>
      <c r="H245" s="0" t="s">
        <v>600</v>
      </c>
      <c r="I245" s="0" t="s">
        <v>653</v>
      </c>
      <c r="J245" s="0" t="s">
        <v>637</v>
      </c>
    </row>
    <row r="246" customFormat="false" ht="15" hidden="false" customHeight="false" outlineLevel="0" collapsed="false">
      <c r="A246" s="0" t="s">
        <v>623</v>
      </c>
      <c r="B246" s="0" t="s">
        <v>654</v>
      </c>
      <c r="C246" s="0" t="s">
        <v>20</v>
      </c>
      <c r="D246" s="0" t="s">
        <v>346</v>
      </c>
      <c r="E246" s="0" t="s">
        <v>655</v>
      </c>
      <c r="F246" s="0" t="n">
        <f aca="false">HYPERLINK("http://clipc-services.ceda.ac.uk/dreq/u/cc8f92a2635774d636748ec8007c4bab.html","web")</f>
        <v>0</v>
      </c>
      <c r="G246" s="0" t="s">
        <v>626</v>
      </c>
      <c r="H246" s="0" t="s">
        <v>600</v>
      </c>
      <c r="I246" s="0" t="s">
        <v>656</v>
      </c>
      <c r="J246" s="0" t="s">
        <v>628</v>
      </c>
    </row>
    <row r="247" customFormat="false" ht="15" hidden="false" customHeight="false" outlineLevel="0" collapsed="false">
      <c r="A247" s="0" t="s">
        <v>623</v>
      </c>
      <c r="B247" s="0" t="s">
        <v>657</v>
      </c>
      <c r="C247" s="0" t="s">
        <v>20</v>
      </c>
      <c r="D247" s="0" t="s">
        <v>346</v>
      </c>
      <c r="E247" s="0" t="s">
        <v>658</v>
      </c>
      <c r="F247" s="0" t="n">
        <f aca="false">HYPERLINK("http://clipc-services.ceda.ac.uk/dreq/u/2b133ea2-1b42-11e6-a696-35cd2d8034df.html","web")</f>
        <v>0</v>
      </c>
      <c r="G247" s="0" t="s">
        <v>626</v>
      </c>
      <c r="H247" s="0" t="s">
        <v>600</v>
      </c>
      <c r="I247" s="0" t="s">
        <v>659</v>
      </c>
      <c r="J247" s="0" t="s">
        <v>628</v>
      </c>
    </row>
    <row r="248" customFormat="false" ht="15" hidden="false" customHeight="false" outlineLevel="0" collapsed="false">
      <c r="A248" s="0" t="s">
        <v>623</v>
      </c>
      <c r="B248" s="0" t="s">
        <v>596</v>
      </c>
      <c r="C248" s="0" t="s">
        <v>20</v>
      </c>
      <c r="D248" s="0" t="s">
        <v>346</v>
      </c>
      <c r="E248" s="0" t="s">
        <v>660</v>
      </c>
      <c r="F248" s="0" t="n">
        <f aca="false">HYPERLINK("http://clipc-services.ceda.ac.uk/dreq/u/942125e5a461fef57b1477b9a2bd5fa0.html","web")</f>
        <v>0</v>
      </c>
      <c r="G248" s="0" t="s">
        <v>599</v>
      </c>
      <c r="H248" s="0" t="s">
        <v>600</v>
      </c>
      <c r="I248" s="0" t="s">
        <v>601</v>
      </c>
      <c r="J248" s="0" t="s">
        <v>628</v>
      </c>
    </row>
    <row r="249" customFormat="false" ht="15" hidden="false" customHeight="false" outlineLevel="0" collapsed="false">
      <c r="A249" s="0" t="s">
        <v>623</v>
      </c>
      <c r="B249" s="0" t="s">
        <v>661</v>
      </c>
      <c r="C249" s="0" t="s">
        <v>20</v>
      </c>
      <c r="D249" s="0" t="s">
        <v>38</v>
      </c>
      <c r="E249" s="0" t="s">
        <v>662</v>
      </c>
      <c r="F249" s="0" t="n">
        <f aca="false">HYPERLINK("http://clipc-services.ceda.ac.uk/dreq/u/a0c10a4b65d3b79db581a649058a08b1.html","web")</f>
        <v>0</v>
      </c>
      <c r="G249" s="0" t="s">
        <v>626</v>
      </c>
      <c r="H249" s="0" t="s">
        <v>600</v>
      </c>
      <c r="I249" s="0" t="s">
        <v>663</v>
      </c>
      <c r="J249" s="0" t="s">
        <v>664</v>
      </c>
    </row>
    <row r="250" customFormat="false" ht="15" hidden="false" customHeight="false" outlineLevel="0" collapsed="false">
      <c r="A250" s="0" t="s">
        <v>623</v>
      </c>
      <c r="B250" s="0" t="s">
        <v>665</v>
      </c>
      <c r="C250" s="0" t="s">
        <v>20</v>
      </c>
      <c r="D250" s="0" t="s">
        <v>346</v>
      </c>
      <c r="E250" s="0" t="s">
        <v>666</v>
      </c>
      <c r="F250" s="0" t="n">
        <f aca="false">HYPERLINK("http://clipc-services.ceda.ac.uk/dreq/u/a2609abee6ecd5d535a48e29ae70e852.html","web")</f>
        <v>0</v>
      </c>
      <c r="G250" s="0" t="s">
        <v>626</v>
      </c>
      <c r="H250" s="0" t="s">
        <v>600</v>
      </c>
      <c r="I250" s="0" t="s">
        <v>667</v>
      </c>
      <c r="J250" s="0" t="s">
        <v>628</v>
      </c>
    </row>
    <row r="251" customFormat="false" ht="15" hidden="false" customHeight="false" outlineLevel="0" collapsed="false">
      <c r="A251" s="0" t="s">
        <v>623</v>
      </c>
      <c r="B251" s="0" t="s">
        <v>668</v>
      </c>
      <c r="C251" s="0" t="s">
        <v>20</v>
      </c>
      <c r="D251" s="0" t="s">
        <v>152</v>
      </c>
      <c r="E251" s="0" t="s">
        <v>669</v>
      </c>
      <c r="F251" s="0" t="n">
        <f aca="false">HYPERLINK("http://clipc-services.ceda.ac.uk/dreq/u/c9a5b6b8-c5f0-11e6-ac20-5404a60d96b5.html","web")</f>
        <v>0</v>
      </c>
      <c r="G251" s="0" t="s">
        <v>670</v>
      </c>
      <c r="H251" s="0" t="s">
        <v>671</v>
      </c>
      <c r="I251" s="0" t="s">
        <v>672</v>
      </c>
      <c r="J251" s="0" t="s">
        <v>637</v>
      </c>
    </row>
    <row r="252" customFormat="false" ht="15" hidden="false" customHeight="false" outlineLevel="0" collapsed="false">
      <c r="A252" s="0" t="s">
        <v>623</v>
      </c>
      <c r="B252" s="0" t="s">
        <v>673</v>
      </c>
      <c r="C252" s="0" t="s">
        <v>20</v>
      </c>
      <c r="D252" s="0" t="s">
        <v>152</v>
      </c>
      <c r="E252" s="0" t="s">
        <v>674</v>
      </c>
      <c r="F252" s="0" t="n">
        <f aca="false">HYPERLINK("http://clipc-services.ceda.ac.uk/dreq/u/83d1d066c3325c7402b6265eee068056.html","web")</f>
        <v>0</v>
      </c>
      <c r="G252" s="0" t="s">
        <v>675</v>
      </c>
      <c r="H252" s="0" t="s">
        <v>635</v>
      </c>
      <c r="I252" s="0" t="s">
        <v>676</v>
      </c>
      <c r="J252" s="0" t="s">
        <v>677</v>
      </c>
    </row>
    <row r="253" customFormat="false" ht="15" hidden="false" customHeight="false" outlineLevel="0" collapsed="false">
      <c r="A253" s="0" t="s">
        <v>623</v>
      </c>
      <c r="B253" s="0" t="s">
        <v>576</v>
      </c>
      <c r="C253" s="0" t="s">
        <v>20</v>
      </c>
      <c r="D253" s="0" t="s">
        <v>346</v>
      </c>
      <c r="E253" s="0" t="s">
        <v>577</v>
      </c>
      <c r="F253" s="0" t="n">
        <f aca="false">HYPERLINK("http://clipc-services.ceda.ac.uk/dreq/u/5917483c-9e49-11e5-803c-0d0b866b59f3.html","web")</f>
        <v>0</v>
      </c>
      <c r="G253" s="0" t="s">
        <v>578</v>
      </c>
      <c r="H253" s="0" t="s">
        <v>24</v>
      </c>
      <c r="I253" s="0" t="s">
        <v>579</v>
      </c>
      <c r="J253" s="0" t="s">
        <v>678</v>
      </c>
    </row>
    <row r="254" customFormat="false" ht="15" hidden="false" customHeight="false" outlineLevel="0" collapsed="false">
      <c r="A254" s="0" t="s">
        <v>623</v>
      </c>
      <c r="B254" s="0" t="s">
        <v>580</v>
      </c>
      <c r="C254" s="0" t="s">
        <v>20</v>
      </c>
      <c r="D254" s="0" t="s">
        <v>346</v>
      </c>
      <c r="E254" s="0" t="s">
        <v>581</v>
      </c>
      <c r="F254" s="0" t="n">
        <f aca="false">HYPERLINK("http://clipc-services.ceda.ac.uk/dreq/u/59173c0c-9e49-11e5-803c-0d0b866b59f3.html","web")</f>
        <v>0</v>
      </c>
      <c r="G254" s="0" t="s">
        <v>578</v>
      </c>
      <c r="H254" s="0" t="s">
        <v>24</v>
      </c>
      <c r="I254" s="0" t="s">
        <v>582</v>
      </c>
      <c r="J254" s="0" t="s">
        <v>679</v>
      </c>
    </row>
    <row r="255" customFormat="false" ht="15" hidden="false" customHeight="false" outlineLevel="0" collapsed="false">
      <c r="A255" s="0" t="s">
        <v>623</v>
      </c>
      <c r="B255" s="0" t="s">
        <v>680</v>
      </c>
      <c r="C255" s="0" t="s">
        <v>20</v>
      </c>
      <c r="D255" s="0" t="s">
        <v>152</v>
      </c>
      <c r="E255" s="0" t="s">
        <v>681</v>
      </c>
      <c r="F255" s="0" t="n">
        <f aca="false">HYPERLINK("http://clipc-services.ceda.ac.uk/dreq/u/c26eed24b27782de78cfab86e3d3b2d2.html","web")</f>
        <v>0</v>
      </c>
      <c r="G255" s="0" t="s">
        <v>682</v>
      </c>
      <c r="H255" s="0" t="s">
        <v>683</v>
      </c>
      <c r="I255" s="0" t="s">
        <v>684</v>
      </c>
      <c r="J255" s="0" t="s">
        <v>637</v>
      </c>
    </row>
    <row r="257" customFormat="false" ht="15" hidden="false" customHeight="false" outlineLevel="0" collapsed="false">
      <c r="A257" s="0" t="s">
        <v>685</v>
      </c>
      <c r="B257" s="0" t="s">
        <v>180</v>
      </c>
      <c r="C257" s="0" t="s">
        <v>20</v>
      </c>
      <c r="D257" s="0" t="s">
        <v>686</v>
      </c>
      <c r="E257" s="0" t="s">
        <v>182</v>
      </c>
      <c r="F257" s="0" t="n">
        <f aca="false">HYPERLINK("http://clipc-services.ceda.ac.uk/dreq/u/400e5707b65c01e31f2ec6a59dd3983b.html","web")</f>
        <v>0</v>
      </c>
      <c r="G257" s="0" t="s">
        <v>183</v>
      </c>
      <c r="H257" s="0" t="s">
        <v>184</v>
      </c>
      <c r="I257" s="0" t="s">
        <v>185</v>
      </c>
      <c r="J257" s="0" t="s">
        <v>687</v>
      </c>
    </row>
    <row r="258" customFormat="false" ht="15" hidden="false" customHeight="false" outlineLevel="0" collapsed="false">
      <c r="A258" s="0" t="s">
        <v>685</v>
      </c>
      <c r="B258" s="0" t="s">
        <v>688</v>
      </c>
      <c r="C258" s="0" t="s">
        <v>20</v>
      </c>
      <c r="D258" s="0" t="s">
        <v>689</v>
      </c>
      <c r="E258" s="0" t="s">
        <v>690</v>
      </c>
      <c r="F258" s="0" t="n">
        <f aca="false">HYPERLINK("http://clipc-services.ceda.ac.uk/dreq/u/a06b8e83250b870d9f39dc1f6534efcb.html","web")</f>
        <v>0</v>
      </c>
      <c r="G258" s="0" t="s">
        <v>691</v>
      </c>
      <c r="H258" s="0" t="s">
        <v>184</v>
      </c>
      <c r="I258" s="0" t="s">
        <v>692</v>
      </c>
      <c r="J258" s="0" t="s">
        <v>687</v>
      </c>
    </row>
    <row r="259" customFormat="false" ht="15" hidden="false" customHeight="false" outlineLevel="0" collapsed="false">
      <c r="A259" s="0" t="s">
        <v>685</v>
      </c>
      <c r="B259" s="0" t="s">
        <v>186</v>
      </c>
      <c r="C259" s="0" t="s">
        <v>12</v>
      </c>
      <c r="D259" s="0" t="s">
        <v>693</v>
      </c>
      <c r="E259" s="0" t="s">
        <v>399</v>
      </c>
      <c r="F259" s="0" t="n">
        <f aca="false">HYPERLINK("http://clipc-services.ceda.ac.uk/dreq/u/fa7666d61b92de5bad1ad76561b8b850.html","web")</f>
        <v>0</v>
      </c>
      <c r="G259" s="0" t="s">
        <v>183</v>
      </c>
      <c r="H259" s="0" t="s">
        <v>184</v>
      </c>
      <c r="I259" s="0" t="s">
        <v>189</v>
      </c>
      <c r="J259" s="0" t="s">
        <v>169</v>
      </c>
    </row>
    <row r="260" customFormat="false" ht="15" hidden="false" customHeight="false" outlineLevel="0" collapsed="false">
      <c r="A260" s="0" t="s">
        <v>685</v>
      </c>
      <c r="B260" s="0" t="s">
        <v>694</v>
      </c>
      <c r="C260" s="0" t="s">
        <v>20</v>
      </c>
      <c r="D260" s="0" t="s">
        <v>695</v>
      </c>
      <c r="E260" s="0" t="s">
        <v>696</v>
      </c>
      <c r="F260" s="0" t="n">
        <f aca="false">HYPERLINK("http://clipc-services.ceda.ac.uk/dreq/u/59139cfa-9e49-11e5-803c-0d0b866b59f3.html","web")</f>
        <v>0</v>
      </c>
      <c r="G260" s="0" t="s">
        <v>697</v>
      </c>
      <c r="H260" s="0" t="s">
        <v>24</v>
      </c>
      <c r="J260" s="0" t="s">
        <v>26</v>
      </c>
    </row>
    <row r="261" customFormat="false" ht="15" hidden="false" customHeight="false" outlineLevel="0" collapsed="false">
      <c r="A261" s="0" t="s">
        <v>685</v>
      </c>
      <c r="B261" s="0" t="s">
        <v>698</v>
      </c>
      <c r="C261" s="0" t="s">
        <v>20</v>
      </c>
      <c r="D261" s="0" t="s">
        <v>695</v>
      </c>
      <c r="E261" s="0" t="s">
        <v>699</v>
      </c>
      <c r="F261" s="0" t="n">
        <f aca="false">HYPERLINK("http://clipc-services.ceda.ac.uk/dreq/u/590f3f16-9e49-11e5-803c-0d0b866b59f3.html","web")</f>
        <v>0</v>
      </c>
      <c r="G261" s="0" t="s">
        <v>697</v>
      </c>
      <c r="H261" s="0" t="s">
        <v>24</v>
      </c>
      <c r="J261" s="0" t="s">
        <v>26</v>
      </c>
    </row>
    <row r="262" customFormat="false" ht="15" hidden="false" customHeight="false" outlineLevel="0" collapsed="false">
      <c r="A262" s="0" t="s">
        <v>685</v>
      </c>
      <c r="B262" s="0" t="s">
        <v>700</v>
      </c>
      <c r="C262" s="0" t="s">
        <v>20</v>
      </c>
      <c r="D262" s="0" t="s">
        <v>695</v>
      </c>
      <c r="E262" s="0" t="s">
        <v>701</v>
      </c>
      <c r="F262" s="0" t="n">
        <f aca="false">HYPERLINK("http://clipc-services.ceda.ac.uk/dreq/u/af7306dc-a0da-11e6-bc63-ac72891c3257.html","web")</f>
        <v>0</v>
      </c>
      <c r="G262" s="0" t="s">
        <v>697</v>
      </c>
      <c r="H262" s="0" t="s">
        <v>24</v>
      </c>
      <c r="I262" s="0" t="s">
        <v>702</v>
      </c>
      <c r="J262" s="0" t="s">
        <v>26</v>
      </c>
    </row>
    <row r="263" customFormat="false" ht="15" hidden="false" customHeight="false" outlineLevel="0" collapsed="false">
      <c r="A263" s="0" t="s">
        <v>685</v>
      </c>
      <c r="B263" s="0" t="s">
        <v>703</v>
      </c>
      <c r="C263" s="0" t="s">
        <v>20</v>
      </c>
      <c r="D263" s="0" t="s">
        <v>704</v>
      </c>
      <c r="E263" s="0" t="s">
        <v>705</v>
      </c>
      <c r="F263" s="0" t="n">
        <f aca="false">HYPERLINK("http://clipc-services.ceda.ac.uk/dreq/u/afd8ba4a-a0da-11e6-bc63-ac72891c3257.html","web")</f>
        <v>0</v>
      </c>
      <c r="G263" s="0" t="s">
        <v>697</v>
      </c>
      <c r="H263" s="0" t="s">
        <v>24</v>
      </c>
      <c r="I263" s="0" t="s">
        <v>706</v>
      </c>
      <c r="J263" s="0" t="s">
        <v>26</v>
      </c>
    </row>
    <row r="264" customFormat="false" ht="15" hidden="false" customHeight="false" outlineLevel="0" collapsed="false">
      <c r="A264" s="0" t="s">
        <v>685</v>
      </c>
      <c r="B264" s="0" t="s">
        <v>707</v>
      </c>
      <c r="C264" s="0" t="s">
        <v>20</v>
      </c>
      <c r="D264" s="0" t="s">
        <v>704</v>
      </c>
      <c r="E264" s="0" t="s">
        <v>708</v>
      </c>
      <c r="F264" s="0" t="n">
        <f aca="false">HYPERLINK("http://clipc-services.ceda.ac.uk/dreq/u/b02eb8b4-a0da-11e6-bc63-ac72891c3257.html","web")</f>
        <v>0</v>
      </c>
      <c r="G264" s="0" t="s">
        <v>697</v>
      </c>
      <c r="H264" s="0" t="s">
        <v>24</v>
      </c>
      <c r="I264" s="0" t="s">
        <v>709</v>
      </c>
      <c r="J264" s="0" t="s">
        <v>26</v>
      </c>
    </row>
    <row r="265" customFormat="false" ht="15" hidden="false" customHeight="false" outlineLevel="0" collapsed="false">
      <c r="A265" s="0" t="s">
        <v>685</v>
      </c>
      <c r="B265" s="0" t="s">
        <v>710</v>
      </c>
      <c r="C265" s="0" t="s">
        <v>20</v>
      </c>
      <c r="D265" s="0" t="s">
        <v>704</v>
      </c>
      <c r="E265" s="0" t="s">
        <v>711</v>
      </c>
      <c r="F265" s="0" t="n">
        <f aca="false">HYPERLINK("http://clipc-services.ceda.ac.uk/dreq/u/b089240c-a0da-11e6-bc63-ac72891c3257.html","web")</f>
        <v>0</v>
      </c>
      <c r="G265" s="0" t="s">
        <v>697</v>
      </c>
      <c r="H265" s="0" t="s">
        <v>24</v>
      </c>
      <c r="J265" s="0" t="s">
        <v>26</v>
      </c>
    </row>
    <row r="266" customFormat="false" ht="15" hidden="false" customHeight="false" outlineLevel="0" collapsed="false">
      <c r="A266" s="0" t="s">
        <v>685</v>
      </c>
      <c r="B266" s="0" t="s">
        <v>712</v>
      </c>
      <c r="C266" s="0" t="s">
        <v>20</v>
      </c>
      <c r="D266" s="0" t="s">
        <v>695</v>
      </c>
      <c r="E266" s="0" t="s">
        <v>713</v>
      </c>
      <c r="F266" s="0" t="n">
        <f aca="false">HYPERLINK("http://clipc-services.ceda.ac.uk/dreq/u/3819950e-a0dc-11e6-bc63-ac72891c3257.html","web")</f>
        <v>0</v>
      </c>
      <c r="G266" s="0" t="s">
        <v>697</v>
      </c>
      <c r="H266" s="0" t="s">
        <v>24</v>
      </c>
      <c r="I266" s="0" t="s">
        <v>714</v>
      </c>
      <c r="J266" s="0" t="s">
        <v>26</v>
      </c>
    </row>
    <row r="267" customFormat="false" ht="15" hidden="false" customHeight="false" outlineLevel="0" collapsed="false">
      <c r="A267" s="0" t="s">
        <v>685</v>
      </c>
      <c r="B267" s="0" t="s">
        <v>715</v>
      </c>
      <c r="C267" s="0" t="s">
        <v>20</v>
      </c>
      <c r="D267" s="0" t="s">
        <v>695</v>
      </c>
      <c r="E267" s="0" t="s">
        <v>716</v>
      </c>
      <c r="F267" s="0" t="n">
        <f aca="false">HYPERLINK("http://clipc-services.ceda.ac.uk/dreq/u/386fb33a-a0dc-11e6-bc63-ac72891c3257.html","web")</f>
        <v>0</v>
      </c>
      <c r="G267" s="0" t="s">
        <v>697</v>
      </c>
      <c r="H267" s="0" t="s">
        <v>24</v>
      </c>
      <c r="I267" s="0" t="s">
        <v>714</v>
      </c>
      <c r="J267" s="0" t="s">
        <v>26</v>
      </c>
    </row>
    <row r="268" customFormat="false" ht="15" hidden="false" customHeight="false" outlineLevel="0" collapsed="false">
      <c r="A268" s="0" t="s">
        <v>685</v>
      </c>
      <c r="B268" s="0" t="s">
        <v>717</v>
      </c>
      <c r="C268" s="0" t="s">
        <v>20</v>
      </c>
      <c r="D268" s="0" t="s">
        <v>695</v>
      </c>
      <c r="E268" s="0" t="s">
        <v>718</v>
      </c>
      <c r="F268" s="0" t="n">
        <f aca="false">HYPERLINK("http://clipc-services.ceda.ac.uk/dreq/u/38bd2912-a0dc-11e6-bc63-ac72891c3257.html","web")</f>
        <v>0</v>
      </c>
      <c r="G268" s="0" t="s">
        <v>697</v>
      </c>
      <c r="H268" s="0" t="s">
        <v>24</v>
      </c>
      <c r="I268" s="0" t="s">
        <v>719</v>
      </c>
      <c r="J268" s="0" t="s">
        <v>26</v>
      </c>
    </row>
    <row r="269" customFormat="false" ht="15" hidden="false" customHeight="false" outlineLevel="0" collapsed="false">
      <c r="A269" s="0" t="s">
        <v>685</v>
      </c>
      <c r="B269" s="0" t="s">
        <v>720</v>
      </c>
      <c r="C269" s="0" t="s">
        <v>20</v>
      </c>
      <c r="D269" s="0" t="s">
        <v>695</v>
      </c>
      <c r="E269" s="0" t="s">
        <v>721</v>
      </c>
      <c r="F269" s="0" t="n">
        <f aca="false">HYPERLINK("http://clipc-services.ceda.ac.uk/dreq/u/3912bdc8-a0dc-11e6-bc63-ac72891c3257.html","web")</f>
        <v>0</v>
      </c>
      <c r="G269" s="0" t="s">
        <v>697</v>
      </c>
      <c r="H269" s="0" t="s">
        <v>24</v>
      </c>
      <c r="I269" s="0" t="s">
        <v>722</v>
      </c>
      <c r="J269" s="0" t="s">
        <v>26</v>
      </c>
    </row>
    <row r="270" customFormat="false" ht="15" hidden="false" customHeight="false" outlineLevel="0" collapsed="false">
      <c r="A270" s="0" t="s">
        <v>685</v>
      </c>
      <c r="B270" s="0" t="s">
        <v>723</v>
      </c>
      <c r="C270" s="0" t="s">
        <v>20</v>
      </c>
      <c r="D270" s="0" t="s">
        <v>695</v>
      </c>
      <c r="E270" s="0" t="s">
        <v>724</v>
      </c>
      <c r="F270" s="0" t="n">
        <f aca="false">HYPERLINK("http://clipc-services.ceda.ac.uk/dreq/u/398683d4-a0dc-11e6-bc63-ac72891c3257.html","web")</f>
        <v>0</v>
      </c>
      <c r="G270" s="0" t="s">
        <v>697</v>
      </c>
      <c r="H270" s="0" t="s">
        <v>24</v>
      </c>
      <c r="I270" s="0" t="s">
        <v>722</v>
      </c>
      <c r="J270" s="0" t="s">
        <v>26</v>
      </c>
    </row>
    <row r="271" customFormat="false" ht="15" hidden="false" customHeight="false" outlineLevel="0" collapsed="false">
      <c r="A271" s="0" t="s">
        <v>685</v>
      </c>
      <c r="B271" s="0" t="s">
        <v>725</v>
      </c>
      <c r="C271" s="0" t="s">
        <v>20</v>
      </c>
      <c r="D271" s="0" t="s">
        <v>695</v>
      </c>
      <c r="E271" s="0" t="s">
        <v>726</v>
      </c>
      <c r="F271" s="0" t="n">
        <f aca="false">HYPERLINK("http://clipc-services.ceda.ac.uk/dreq/u/39d8c78e-a0dc-11e6-bc63-ac72891c3257.html","web")</f>
        <v>0</v>
      </c>
      <c r="G271" s="0" t="s">
        <v>697</v>
      </c>
      <c r="H271" s="0" t="s">
        <v>24</v>
      </c>
      <c r="I271" s="0" t="s">
        <v>722</v>
      </c>
      <c r="J271" s="0" t="s">
        <v>26</v>
      </c>
    </row>
    <row r="272" customFormat="false" ht="15" hidden="false" customHeight="false" outlineLevel="0" collapsed="false">
      <c r="A272" s="0" t="s">
        <v>685</v>
      </c>
      <c r="B272" s="0" t="s">
        <v>727</v>
      </c>
      <c r="C272" s="0" t="s">
        <v>20</v>
      </c>
      <c r="D272" s="0" t="s">
        <v>728</v>
      </c>
      <c r="E272" s="0" t="s">
        <v>729</v>
      </c>
      <c r="F272" s="0" t="n">
        <f aca="false">HYPERLINK("http://clipc-services.ceda.ac.uk/dreq/u/ea313ee8-a0de-11e6-bc63-ac72891c3257.html","web")</f>
        <v>0</v>
      </c>
      <c r="G272" s="0" t="s">
        <v>246</v>
      </c>
      <c r="H272" s="0" t="s">
        <v>24</v>
      </c>
      <c r="I272" s="0" t="s">
        <v>730</v>
      </c>
      <c r="J272" s="0" t="s">
        <v>26</v>
      </c>
    </row>
    <row r="273" customFormat="false" ht="15" hidden="false" customHeight="false" outlineLevel="0" collapsed="false">
      <c r="A273" s="0" t="s">
        <v>685</v>
      </c>
      <c r="B273" s="0" t="s">
        <v>731</v>
      </c>
      <c r="C273" s="0" t="s">
        <v>20</v>
      </c>
      <c r="D273" s="0" t="s">
        <v>728</v>
      </c>
      <c r="E273" s="0" t="s">
        <v>732</v>
      </c>
      <c r="F273" s="0" t="n">
        <f aca="false">HYPERLINK("http://clipc-services.ceda.ac.uk/dreq/u/ea83846e-a0de-11e6-bc63-ac72891c3257.html","web")</f>
        <v>0</v>
      </c>
      <c r="G273" s="0" t="s">
        <v>246</v>
      </c>
      <c r="H273" s="0" t="s">
        <v>24</v>
      </c>
      <c r="I273" s="0" t="s">
        <v>730</v>
      </c>
      <c r="J273" s="0" t="s">
        <v>26</v>
      </c>
    </row>
    <row r="274" customFormat="false" ht="15" hidden="false" customHeight="false" outlineLevel="0" collapsed="false">
      <c r="A274" s="0" t="s">
        <v>685</v>
      </c>
      <c r="B274" s="0" t="s">
        <v>733</v>
      </c>
      <c r="C274" s="0" t="s">
        <v>20</v>
      </c>
      <c r="D274" s="0" t="s">
        <v>704</v>
      </c>
      <c r="E274" s="0" t="s">
        <v>734</v>
      </c>
      <c r="F274" s="0" t="n">
        <f aca="false">HYPERLINK("http://clipc-services.ceda.ac.uk/dreq/u/ead5a730-a0de-11e6-bc63-ac72891c3257.html","web")</f>
        <v>0</v>
      </c>
      <c r="G274" s="0" t="s">
        <v>697</v>
      </c>
      <c r="H274" s="0" t="s">
        <v>24</v>
      </c>
      <c r="I274" s="0" t="s">
        <v>730</v>
      </c>
      <c r="J274" s="0" t="s">
        <v>26</v>
      </c>
    </row>
    <row r="275" customFormat="false" ht="15" hidden="false" customHeight="false" outlineLevel="0" collapsed="false">
      <c r="A275" s="0" t="s">
        <v>685</v>
      </c>
      <c r="B275" s="0" t="s">
        <v>735</v>
      </c>
      <c r="C275" s="0" t="s">
        <v>20</v>
      </c>
      <c r="D275" s="0" t="s">
        <v>704</v>
      </c>
      <c r="E275" s="0" t="s">
        <v>736</v>
      </c>
      <c r="F275" s="0" t="n">
        <f aca="false">HYPERLINK("http://clipc-services.ceda.ac.uk/dreq/u/eb28c564-a0de-11e6-bc63-ac72891c3257.html","web")</f>
        <v>0</v>
      </c>
      <c r="G275" s="0" t="s">
        <v>697</v>
      </c>
      <c r="H275" s="0" t="s">
        <v>24</v>
      </c>
      <c r="I275" s="0" t="s">
        <v>730</v>
      </c>
      <c r="J275" s="0" t="s">
        <v>26</v>
      </c>
    </row>
    <row r="276" customFormat="false" ht="15" hidden="false" customHeight="false" outlineLevel="0" collapsed="false">
      <c r="A276" s="0" t="s">
        <v>685</v>
      </c>
      <c r="B276" s="0" t="s">
        <v>737</v>
      </c>
      <c r="C276" s="0" t="s">
        <v>20</v>
      </c>
      <c r="D276" s="0" t="s">
        <v>704</v>
      </c>
      <c r="E276" s="0" t="s">
        <v>738</v>
      </c>
      <c r="F276" s="0" t="n">
        <f aca="false">HYPERLINK("http://clipc-services.ceda.ac.uk/dreq/u/eb85339e-a0de-11e6-bc63-ac72891c3257.html","web")</f>
        <v>0</v>
      </c>
      <c r="G276" s="0" t="s">
        <v>697</v>
      </c>
      <c r="H276" s="0" t="s">
        <v>24</v>
      </c>
      <c r="I276" s="0" t="s">
        <v>722</v>
      </c>
      <c r="J276" s="0" t="s">
        <v>26</v>
      </c>
    </row>
    <row r="277" customFormat="false" ht="15" hidden="false" customHeight="false" outlineLevel="0" collapsed="false">
      <c r="A277" s="0" t="s">
        <v>685</v>
      </c>
      <c r="B277" s="0" t="s">
        <v>739</v>
      </c>
      <c r="C277" s="0" t="s">
        <v>20</v>
      </c>
      <c r="D277" s="0" t="s">
        <v>704</v>
      </c>
      <c r="E277" s="0" t="s">
        <v>740</v>
      </c>
      <c r="F277" s="0" t="n">
        <f aca="false">HYPERLINK("http://clipc-services.ceda.ac.uk/dreq/u/ebd63780-a0de-11e6-bc63-ac72891c3257.html","web")</f>
        <v>0</v>
      </c>
      <c r="G277" s="0" t="s">
        <v>697</v>
      </c>
      <c r="H277" s="0" t="s">
        <v>24</v>
      </c>
      <c r="I277" s="0" t="s">
        <v>722</v>
      </c>
      <c r="J277" s="0" t="s">
        <v>26</v>
      </c>
    </row>
    <row r="278" customFormat="false" ht="15" hidden="false" customHeight="false" outlineLevel="0" collapsed="false">
      <c r="A278" s="0" t="s">
        <v>685</v>
      </c>
      <c r="B278" s="0" t="s">
        <v>244</v>
      </c>
      <c r="C278" s="0" t="s">
        <v>20</v>
      </c>
      <c r="D278" s="0" t="s">
        <v>741</v>
      </c>
      <c r="E278" s="0" t="s">
        <v>245</v>
      </c>
      <c r="F278" s="0" t="n">
        <f aca="false">HYPERLINK("http://clipc-services.ceda.ac.uk/dreq/u/eb72b66b6365daed79aefeda9d3d30b5.html","web")</f>
        <v>0</v>
      </c>
      <c r="G278" s="0" t="s">
        <v>246</v>
      </c>
      <c r="H278" s="0" t="s">
        <v>24</v>
      </c>
      <c r="I278" s="0" t="s">
        <v>247</v>
      </c>
      <c r="J278" s="0" t="s">
        <v>26</v>
      </c>
    </row>
    <row r="279" customFormat="false" ht="15" hidden="false" customHeight="false" outlineLevel="0" collapsed="false">
      <c r="A279" s="0" t="s">
        <v>685</v>
      </c>
      <c r="B279" s="0" t="s">
        <v>251</v>
      </c>
      <c r="C279" s="0" t="s">
        <v>20</v>
      </c>
      <c r="D279" s="0" t="s">
        <v>741</v>
      </c>
      <c r="E279" s="0" t="s">
        <v>252</v>
      </c>
      <c r="F279" s="0" t="n">
        <f aca="false">HYPERLINK("http://clipc-services.ceda.ac.uk/dreq/u/38806cec3ba894d7745fada80c9f6fe6.html","web")</f>
        <v>0</v>
      </c>
      <c r="G279" s="0" t="s">
        <v>246</v>
      </c>
      <c r="H279" s="0" t="s">
        <v>24</v>
      </c>
      <c r="I279" s="0" t="s">
        <v>253</v>
      </c>
      <c r="J279" s="0" t="s">
        <v>26</v>
      </c>
    </row>
    <row r="280" customFormat="false" ht="15" hidden="false" customHeight="false" outlineLevel="0" collapsed="false">
      <c r="A280" s="0" t="s">
        <v>685</v>
      </c>
      <c r="B280" s="0" t="s">
        <v>596</v>
      </c>
      <c r="C280" s="0" t="s">
        <v>20</v>
      </c>
      <c r="D280" s="0" t="s">
        <v>728</v>
      </c>
      <c r="E280" s="0" t="s">
        <v>660</v>
      </c>
      <c r="F280" s="0" t="n">
        <f aca="false">HYPERLINK("http://clipc-services.ceda.ac.uk/dreq/u/942125e5a461fef57b1477b9a2bd5fa0.html","web")</f>
        <v>0</v>
      </c>
      <c r="G280" s="0" t="s">
        <v>599</v>
      </c>
      <c r="H280" s="0" t="s">
        <v>600</v>
      </c>
      <c r="I280" s="0" t="s">
        <v>601</v>
      </c>
      <c r="J280" s="0" t="s">
        <v>26</v>
      </c>
    </row>
    <row r="282" customFormat="false" ht="15" hidden="false" customHeight="false" outlineLevel="0" collapsed="false">
      <c r="A282" s="0" t="s">
        <v>742</v>
      </c>
      <c r="B282" s="0" t="s">
        <v>576</v>
      </c>
      <c r="C282" s="0" t="s">
        <v>115</v>
      </c>
      <c r="D282" s="0" t="s">
        <v>255</v>
      </c>
      <c r="E282" s="0" t="s">
        <v>577</v>
      </c>
      <c r="F282" s="0" t="n">
        <f aca="false">HYPERLINK("http://clipc-services.ceda.ac.uk/dreq/u/5917483c-9e49-11e5-803c-0d0b866b59f3.html","web")</f>
        <v>0</v>
      </c>
      <c r="G282" s="0" t="s">
        <v>578</v>
      </c>
      <c r="H282" s="0" t="s">
        <v>24</v>
      </c>
      <c r="I282" s="0" t="s">
        <v>579</v>
      </c>
      <c r="J282" s="0" t="s">
        <v>687</v>
      </c>
    </row>
    <row r="283" customFormat="false" ht="15" hidden="false" customHeight="false" outlineLevel="0" collapsed="false">
      <c r="A283" s="0" t="s">
        <v>742</v>
      </c>
      <c r="B283" s="0" t="s">
        <v>580</v>
      </c>
      <c r="C283" s="0" t="s">
        <v>115</v>
      </c>
      <c r="D283" s="0" t="s">
        <v>255</v>
      </c>
      <c r="E283" s="0" t="s">
        <v>581</v>
      </c>
      <c r="F283" s="0" t="n">
        <f aca="false">HYPERLINK("http://clipc-services.ceda.ac.uk/dreq/u/59173c0c-9e49-11e5-803c-0d0b866b59f3.html","web")</f>
        <v>0</v>
      </c>
      <c r="G283" s="0" t="s">
        <v>578</v>
      </c>
      <c r="H283" s="0" t="s">
        <v>24</v>
      </c>
      <c r="I283" s="0" t="s">
        <v>582</v>
      </c>
      <c r="J283" s="0" t="s">
        <v>687</v>
      </c>
    </row>
    <row r="284" customFormat="false" ht="15" hidden="false" customHeight="false" outlineLevel="0" collapsed="false">
      <c r="A284" s="0" t="s">
        <v>742</v>
      </c>
      <c r="B284" s="0" t="s">
        <v>583</v>
      </c>
      <c r="C284" s="0" t="s">
        <v>20</v>
      </c>
      <c r="D284" s="0" t="s">
        <v>255</v>
      </c>
      <c r="E284" s="0" t="s">
        <v>584</v>
      </c>
      <c r="F284" s="0" t="n">
        <f aca="false">HYPERLINK("http://clipc-services.ceda.ac.uk/dreq/u/59170a02-9e49-11e5-803c-0d0b866b59f3.html","web")</f>
        <v>0</v>
      </c>
      <c r="G284" s="0" t="s">
        <v>194</v>
      </c>
      <c r="H284" s="0" t="s">
        <v>173</v>
      </c>
      <c r="I284" s="0" t="s">
        <v>584</v>
      </c>
      <c r="J284" s="0" t="s">
        <v>687</v>
      </c>
    </row>
    <row r="285" customFormat="false" ht="15" hidden="false" customHeight="false" outlineLevel="0" collapsed="false">
      <c r="A285" s="0" t="s">
        <v>742</v>
      </c>
      <c r="B285" s="0" t="s">
        <v>585</v>
      </c>
      <c r="C285" s="0" t="s">
        <v>20</v>
      </c>
      <c r="D285" s="0" t="s">
        <v>255</v>
      </c>
      <c r="E285" s="0" t="s">
        <v>586</v>
      </c>
      <c r="F285" s="0" t="n">
        <f aca="false">HYPERLINK("http://clipc-services.ceda.ac.uk/dreq/u/5913d86e-9e49-11e5-803c-0d0b866b59f3.html","web")</f>
        <v>0</v>
      </c>
      <c r="G285" s="0" t="s">
        <v>194</v>
      </c>
      <c r="H285" s="0" t="s">
        <v>173</v>
      </c>
      <c r="I285" s="0" t="s">
        <v>586</v>
      </c>
      <c r="J285" s="0" t="s">
        <v>687</v>
      </c>
    </row>
    <row r="286" customFormat="false" ht="15" hidden="false" customHeight="false" outlineLevel="0" collapsed="false">
      <c r="A286" s="0" t="s">
        <v>742</v>
      </c>
      <c r="B286" s="0" t="s">
        <v>587</v>
      </c>
      <c r="C286" s="0" t="s">
        <v>20</v>
      </c>
      <c r="D286" s="0" t="s">
        <v>255</v>
      </c>
      <c r="E286" s="0" t="s">
        <v>588</v>
      </c>
      <c r="F286" s="0" t="n">
        <f aca="false">HYPERLINK("http://clipc-services.ceda.ac.uk/dreq/u/5913d602-9e49-11e5-803c-0d0b866b59f3.html","web")</f>
        <v>0</v>
      </c>
      <c r="G286" s="0" t="s">
        <v>194</v>
      </c>
      <c r="H286" s="0" t="s">
        <v>173</v>
      </c>
      <c r="J286" s="0" t="s">
        <v>687</v>
      </c>
    </row>
    <row r="287" customFormat="false" ht="15" hidden="false" customHeight="false" outlineLevel="0" collapsed="false">
      <c r="A287" s="0" t="s">
        <v>742</v>
      </c>
      <c r="B287" s="0" t="s">
        <v>175</v>
      </c>
      <c r="C287" s="0" t="s">
        <v>115</v>
      </c>
      <c r="D287" s="0" t="s">
        <v>728</v>
      </c>
      <c r="E287" s="0" t="s">
        <v>177</v>
      </c>
      <c r="F287" s="0" t="n">
        <f aca="false">HYPERLINK("http://clipc-services.ceda.ac.uk/dreq/u/6d790fe4caa7feff46a41ae7b3811e52.html","web")</f>
        <v>0</v>
      </c>
      <c r="G287" s="0" t="s">
        <v>178</v>
      </c>
      <c r="I287" s="0" t="s">
        <v>179</v>
      </c>
      <c r="J287" s="0" t="s">
        <v>590</v>
      </c>
    </row>
    <row r="289" customFormat="false" ht="15" hidden="false" customHeight="false" outlineLevel="0" collapsed="false">
      <c r="A289" s="0" t="s">
        <v>743</v>
      </c>
      <c r="B289" s="0" t="s">
        <v>641</v>
      </c>
      <c r="C289" s="0" t="s">
        <v>20</v>
      </c>
      <c r="D289" s="0" t="s">
        <v>152</v>
      </c>
      <c r="E289" s="0" t="s">
        <v>642</v>
      </c>
      <c r="F289" s="0" t="n">
        <f aca="false">HYPERLINK("http://clipc-services.ceda.ac.uk/dreq/u/db3d77eebc6dc2fbcab4e0f894e46037.html","web")</f>
        <v>0</v>
      </c>
      <c r="G289" s="0" t="s">
        <v>194</v>
      </c>
      <c r="H289" s="0" t="s">
        <v>643</v>
      </c>
      <c r="I289" s="0" t="s">
        <v>644</v>
      </c>
      <c r="J289" s="0" t="s">
        <v>42</v>
      </c>
    </row>
    <row r="290" customFormat="false" ht="15" hidden="false" customHeight="false" outlineLevel="0" collapsed="false">
      <c r="A290" s="0" t="s">
        <v>743</v>
      </c>
      <c r="B290" s="0" t="s">
        <v>744</v>
      </c>
      <c r="C290" s="0" t="s">
        <v>20</v>
      </c>
      <c r="D290" s="0" t="s">
        <v>745</v>
      </c>
      <c r="E290" s="0" t="s">
        <v>746</v>
      </c>
      <c r="F290" s="0" t="n">
        <f aca="false">HYPERLINK("http://clipc-services.ceda.ac.uk/dreq/u/0cde14f7745a201d47b856579bf6e759.html","web")</f>
        <v>0</v>
      </c>
      <c r="G290" s="0" t="s">
        <v>747</v>
      </c>
      <c r="H290" s="0" t="s">
        <v>24</v>
      </c>
      <c r="I290" s="0" t="s">
        <v>748</v>
      </c>
      <c r="J290" s="0" t="s">
        <v>42</v>
      </c>
    </row>
    <row r="291" customFormat="false" ht="15" hidden="false" customHeight="false" outlineLevel="0" collapsed="false">
      <c r="A291" s="0" t="s">
        <v>743</v>
      </c>
      <c r="B291" s="0" t="s">
        <v>749</v>
      </c>
      <c r="C291" s="0" t="s">
        <v>20</v>
      </c>
      <c r="D291" s="0" t="s">
        <v>745</v>
      </c>
      <c r="E291" s="0" t="s">
        <v>750</v>
      </c>
      <c r="F291" s="0" t="n">
        <f aca="false">HYPERLINK("http://clipc-services.ceda.ac.uk/dreq/u/fc0bedbaf6d676fb85fe189310c871a8.html","web")</f>
        <v>0</v>
      </c>
      <c r="G291" s="0" t="s">
        <v>751</v>
      </c>
      <c r="H291" s="0" t="s">
        <v>24</v>
      </c>
      <c r="I291" s="0" t="s">
        <v>752</v>
      </c>
      <c r="J291" s="0" t="s">
        <v>42</v>
      </c>
    </row>
    <row r="292" customFormat="false" ht="15" hidden="false" customHeight="false" outlineLevel="0" collapsed="false">
      <c r="A292" s="0" t="s">
        <v>743</v>
      </c>
      <c r="B292" s="0" t="s">
        <v>753</v>
      </c>
      <c r="C292" s="0" t="s">
        <v>20</v>
      </c>
      <c r="D292" s="0" t="s">
        <v>754</v>
      </c>
      <c r="E292" s="0" t="s">
        <v>755</v>
      </c>
      <c r="F292" s="0" t="n">
        <f aca="false">HYPERLINK("http://clipc-services.ceda.ac.uk/dreq/u/b1644981b0abd369ad35fac3fc930873.html","web")</f>
        <v>0</v>
      </c>
      <c r="G292" s="0" t="s">
        <v>756</v>
      </c>
      <c r="H292" s="0" t="s">
        <v>24</v>
      </c>
      <c r="I292" s="0" t="s">
        <v>757</v>
      </c>
      <c r="J292" s="0" t="s">
        <v>42</v>
      </c>
    </row>
    <row r="294" customFormat="false" ht="15" hidden="false" customHeight="false" outlineLevel="0" collapsed="false">
      <c r="A294" s="0" t="s">
        <v>758</v>
      </c>
      <c r="B294" s="0" t="s">
        <v>759</v>
      </c>
      <c r="C294" s="0" t="s">
        <v>115</v>
      </c>
      <c r="D294" s="0" t="s">
        <v>760</v>
      </c>
      <c r="E294" s="0" t="s">
        <v>761</v>
      </c>
      <c r="F294" s="0" t="n">
        <f aca="false">HYPERLINK("http://clipc-services.ceda.ac.uk/dreq/u/4fb426293126d528f2bbf902b6ede847.html","web")</f>
        <v>0</v>
      </c>
      <c r="G294" s="0" t="s">
        <v>56</v>
      </c>
      <c r="H294" s="0" t="s">
        <v>57</v>
      </c>
      <c r="J294" s="0" t="s">
        <v>762</v>
      </c>
    </row>
    <row r="295" customFormat="false" ht="15" hidden="false" customHeight="false" outlineLevel="0" collapsed="false">
      <c r="A295" s="0" t="s">
        <v>758</v>
      </c>
      <c r="B295" s="0" t="s">
        <v>763</v>
      </c>
      <c r="C295" s="0" t="s">
        <v>115</v>
      </c>
      <c r="D295" s="0" t="s">
        <v>760</v>
      </c>
      <c r="E295" s="0" t="s">
        <v>764</v>
      </c>
      <c r="F295" s="0" t="n">
        <f aca="false">HYPERLINK("http://clipc-services.ceda.ac.uk/dreq/u/1763f47c438dc252b1317c9861792f50.html","web")</f>
        <v>0</v>
      </c>
      <c r="G295" s="0" t="s">
        <v>56</v>
      </c>
      <c r="H295" s="0" t="s">
        <v>57</v>
      </c>
      <c r="J295" s="0" t="s">
        <v>762</v>
      </c>
    </row>
    <row r="296" customFormat="false" ht="15" hidden="false" customHeight="false" outlineLevel="0" collapsed="false">
      <c r="A296" s="0" t="s">
        <v>758</v>
      </c>
      <c r="B296" s="0" t="s">
        <v>765</v>
      </c>
      <c r="C296" s="0" t="s">
        <v>115</v>
      </c>
      <c r="D296" s="0" t="s">
        <v>760</v>
      </c>
      <c r="E296" s="0" t="s">
        <v>766</v>
      </c>
      <c r="F296" s="0" t="n">
        <f aca="false">HYPERLINK("http://clipc-services.ceda.ac.uk/dreq/u/d00cab8104f1a9e853ebfa511d725462.html","web")</f>
        <v>0</v>
      </c>
      <c r="G296" s="0" t="s">
        <v>56</v>
      </c>
      <c r="H296" s="0" t="s">
        <v>57</v>
      </c>
      <c r="J296" s="0" t="s">
        <v>762</v>
      </c>
    </row>
    <row r="297" customFormat="false" ht="15" hidden="false" customHeight="false" outlineLevel="0" collapsed="false">
      <c r="A297" s="0" t="s">
        <v>758</v>
      </c>
      <c r="B297" s="0" t="s">
        <v>767</v>
      </c>
      <c r="C297" s="0" t="s">
        <v>115</v>
      </c>
      <c r="D297" s="0" t="s">
        <v>760</v>
      </c>
      <c r="E297" s="0" t="s">
        <v>768</v>
      </c>
      <c r="F297" s="0" t="n">
        <f aca="false">HYPERLINK("http://clipc-services.ceda.ac.uk/dreq/u/f94930c327a257dddea9ef9d0e260ed3.html","web")</f>
        <v>0</v>
      </c>
      <c r="G297" s="0" t="s">
        <v>56</v>
      </c>
      <c r="H297" s="0" t="s">
        <v>57</v>
      </c>
      <c r="J297" s="0" t="s">
        <v>762</v>
      </c>
    </row>
    <row r="298" customFormat="false" ht="15" hidden="false" customHeight="false" outlineLevel="0" collapsed="false">
      <c r="A298" s="0" t="s">
        <v>758</v>
      </c>
      <c r="B298" s="0" t="s">
        <v>769</v>
      </c>
      <c r="C298" s="0" t="s">
        <v>115</v>
      </c>
      <c r="D298" s="0" t="s">
        <v>760</v>
      </c>
      <c r="E298" s="0" t="s">
        <v>770</v>
      </c>
      <c r="F298" s="0" t="n">
        <f aca="false">HYPERLINK("http://clipc-services.ceda.ac.uk/dreq/u/62cb333ec6550e64596f563d114977af.html","web")</f>
        <v>0</v>
      </c>
      <c r="G298" s="0" t="s">
        <v>56</v>
      </c>
      <c r="H298" s="0" t="s">
        <v>57</v>
      </c>
      <c r="J298" s="0" t="s">
        <v>762</v>
      </c>
    </row>
    <row r="300" customFormat="false" ht="15" hidden="false" customHeight="false" outlineLevel="0" collapsed="false">
      <c r="A300" s="0" t="s">
        <v>771</v>
      </c>
      <c r="B300" s="0" t="s">
        <v>772</v>
      </c>
      <c r="C300" s="0" t="s">
        <v>20</v>
      </c>
      <c r="D300" s="0" t="s">
        <v>773</v>
      </c>
      <c r="E300" s="0" t="s">
        <v>774</v>
      </c>
      <c r="F300" s="0" t="n">
        <f aca="false">HYPERLINK("http://clipc-services.ceda.ac.uk/dreq/u/4c69515bfc84c5cb5624e94228f58351.html","web")</f>
        <v>0</v>
      </c>
      <c r="G300" s="0" t="s">
        <v>476</v>
      </c>
      <c r="H300" s="0" t="s">
        <v>48</v>
      </c>
      <c r="I300" s="0" t="s">
        <v>775</v>
      </c>
      <c r="J300" s="0" t="s">
        <v>776</v>
      </c>
    </row>
    <row r="302" customFormat="false" ht="15" hidden="false" customHeight="false" outlineLevel="0" collapsed="false">
      <c r="A302" s="0" t="s">
        <v>777</v>
      </c>
      <c r="B302" s="0" t="s">
        <v>778</v>
      </c>
      <c r="C302" s="0" t="s">
        <v>20</v>
      </c>
      <c r="D302" s="0" t="s">
        <v>779</v>
      </c>
      <c r="E302" s="0" t="s">
        <v>780</v>
      </c>
      <c r="F302" s="0" t="n">
        <f aca="false">HYPERLINK("http://clipc-services.ceda.ac.uk/dreq/u/5917b704-9e49-11e5-803c-0d0b866b59f3.html","web")</f>
        <v>0</v>
      </c>
      <c r="G302" s="0" t="s">
        <v>781</v>
      </c>
      <c r="H302" s="0" t="s">
        <v>173</v>
      </c>
      <c r="I302" s="0" t="s">
        <v>782</v>
      </c>
      <c r="J302" s="0" t="s">
        <v>590</v>
      </c>
    </row>
    <row r="304" customFormat="false" ht="15" hidden="false" customHeight="false" outlineLevel="0" collapsed="false">
      <c r="A304" s="0" t="s">
        <v>783</v>
      </c>
      <c r="B304" s="0" t="s">
        <v>784</v>
      </c>
      <c r="C304" s="0" t="s">
        <v>20</v>
      </c>
      <c r="D304" s="0" t="s">
        <v>785</v>
      </c>
      <c r="E304" s="0" t="s">
        <v>786</v>
      </c>
      <c r="F304" s="0" t="n">
        <f aca="false">HYPERLINK("http://clipc-services.ceda.ac.uk/dreq/u/590d17f4-9e49-11e5-803c-0d0b866b59f3.html","web")</f>
        <v>0</v>
      </c>
      <c r="G304" s="0" t="s">
        <v>787</v>
      </c>
      <c r="H304" s="0" t="s">
        <v>16</v>
      </c>
      <c r="I304" s="0" t="s">
        <v>788</v>
      </c>
      <c r="J304" s="0" t="s">
        <v>789</v>
      </c>
    </row>
    <row r="305" customFormat="false" ht="15" hidden="false" customHeight="false" outlineLevel="0" collapsed="false">
      <c r="A305" s="0" t="s">
        <v>783</v>
      </c>
      <c r="B305" s="0" t="s">
        <v>688</v>
      </c>
      <c r="C305" s="0" t="s">
        <v>20</v>
      </c>
      <c r="D305" s="0" t="s">
        <v>790</v>
      </c>
      <c r="E305" s="0" t="s">
        <v>690</v>
      </c>
      <c r="F305" s="0" t="n">
        <f aca="false">HYPERLINK("http://clipc-services.ceda.ac.uk/dreq/u/a06b8e83250b870d9f39dc1f6534efcb.html","web")</f>
        <v>0</v>
      </c>
      <c r="G305" s="0" t="s">
        <v>691</v>
      </c>
      <c r="H305" s="0" t="s">
        <v>184</v>
      </c>
      <c r="I305" s="0" t="s">
        <v>692</v>
      </c>
      <c r="J305" s="0" t="s">
        <v>687</v>
      </c>
    </row>
    <row r="306" customFormat="false" ht="15" hidden="false" customHeight="false" outlineLevel="0" collapsed="false">
      <c r="A306" s="0" t="s">
        <v>783</v>
      </c>
      <c r="B306" s="0" t="s">
        <v>791</v>
      </c>
      <c r="C306" s="0" t="s">
        <v>20</v>
      </c>
      <c r="D306" s="0" t="s">
        <v>152</v>
      </c>
      <c r="E306" s="0" t="s">
        <v>792</v>
      </c>
      <c r="F306" s="0" t="n">
        <f aca="false">HYPERLINK("http://clipc-services.ceda.ac.uk/dreq/u/590ef7b8-9e49-11e5-803c-0d0b866b59f3.html","web")</f>
        <v>0</v>
      </c>
      <c r="G306" s="0" t="s">
        <v>793</v>
      </c>
      <c r="H306" s="0" t="s">
        <v>24</v>
      </c>
      <c r="I306" s="0" t="s">
        <v>794</v>
      </c>
      <c r="J306" s="0" t="s">
        <v>687</v>
      </c>
    </row>
    <row r="307" customFormat="false" ht="15" hidden="false" customHeight="false" outlineLevel="0" collapsed="false">
      <c r="A307" s="0" t="s">
        <v>783</v>
      </c>
      <c r="B307" s="0" t="s">
        <v>308</v>
      </c>
      <c r="C307" s="0" t="s">
        <v>20</v>
      </c>
      <c r="D307" s="0" t="s">
        <v>152</v>
      </c>
      <c r="E307" s="0" t="s">
        <v>309</v>
      </c>
      <c r="F307" s="0" t="n">
        <f aca="false">HYPERLINK("http://clipc-services.ceda.ac.uk/dreq/u/f27656eeae247192e82aa1032c911399.html","web")</f>
        <v>0</v>
      </c>
      <c r="G307" s="0" t="s">
        <v>310</v>
      </c>
      <c r="H307" s="0" t="s">
        <v>311</v>
      </c>
      <c r="J307" s="0" t="s">
        <v>687</v>
      </c>
    </row>
    <row r="308" customFormat="false" ht="15" hidden="false" customHeight="false" outlineLevel="0" collapsed="false">
      <c r="A308" s="0" t="s">
        <v>783</v>
      </c>
      <c r="B308" s="0" t="s">
        <v>614</v>
      </c>
      <c r="C308" s="0" t="s">
        <v>20</v>
      </c>
      <c r="D308" s="0" t="s">
        <v>152</v>
      </c>
      <c r="E308" s="0" t="s">
        <v>615</v>
      </c>
      <c r="F308" s="0" t="n">
        <f aca="false">HYPERLINK("http://clipc-services.ceda.ac.uk/dreq/u/7553003ead183dd3276108b6311a337f.html","web")</f>
        <v>0</v>
      </c>
      <c r="G308" s="0" t="s">
        <v>194</v>
      </c>
      <c r="H308" s="0" t="s">
        <v>173</v>
      </c>
      <c r="I308" s="0" t="s">
        <v>616</v>
      </c>
      <c r="J308" s="0" t="s">
        <v>795</v>
      </c>
    </row>
    <row r="309" customFormat="false" ht="15" hidden="false" customHeight="false" outlineLevel="0" collapsed="false">
      <c r="A309" s="0" t="s">
        <v>783</v>
      </c>
      <c r="B309" s="0" t="s">
        <v>796</v>
      </c>
      <c r="C309" s="0" t="s">
        <v>20</v>
      </c>
      <c r="D309" s="0" t="s">
        <v>797</v>
      </c>
      <c r="E309" s="0" t="s">
        <v>798</v>
      </c>
      <c r="F309" s="0" t="n">
        <f aca="false">HYPERLINK("http://clipc-services.ceda.ac.uk/dreq/u/170ff384-b622-11e6-bbe2-ac72891c3257.html","web")</f>
        <v>0</v>
      </c>
      <c r="G309" s="0" t="s">
        <v>799</v>
      </c>
      <c r="H309" s="0" t="s">
        <v>800</v>
      </c>
      <c r="I309" s="0" t="s">
        <v>801</v>
      </c>
      <c r="J309" s="0" t="s">
        <v>622</v>
      </c>
    </row>
    <row r="310" customFormat="false" ht="15" hidden="false" customHeight="false" outlineLevel="0" collapsed="false">
      <c r="A310" s="0" t="s">
        <v>783</v>
      </c>
      <c r="B310" s="0" t="s">
        <v>802</v>
      </c>
      <c r="C310" s="0" t="s">
        <v>20</v>
      </c>
      <c r="D310" s="0" t="s">
        <v>797</v>
      </c>
      <c r="E310" s="0" t="s">
        <v>803</v>
      </c>
      <c r="F310" s="0" t="n">
        <f aca="false">HYPERLINK("http://clipc-services.ceda.ac.uk/dreq/u/1758307c-b622-11e6-bbe2-ac72891c3257.html","web")</f>
        <v>0</v>
      </c>
      <c r="G310" s="0" t="s">
        <v>799</v>
      </c>
      <c r="H310" s="0" t="s">
        <v>800</v>
      </c>
      <c r="I310" s="0" t="s">
        <v>804</v>
      </c>
      <c r="J310" s="0" t="s">
        <v>622</v>
      </c>
    </row>
    <row r="311" customFormat="false" ht="15" hidden="false" customHeight="false" outlineLevel="0" collapsed="false">
      <c r="A311" s="0" t="s">
        <v>783</v>
      </c>
      <c r="B311" s="0" t="s">
        <v>805</v>
      </c>
      <c r="C311" s="0" t="s">
        <v>20</v>
      </c>
      <c r="D311" s="0" t="s">
        <v>797</v>
      </c>
      <c r="E311" s="0" t="s">
        <v>806</v>
      </c>
      <c r="F311" s="0" t="n">
        <f aca="false">HYPERLINK("http://clipc-services.ceda.ac.uk/dreq/u/bf56baca-c14c-11e6-bb6a-ac72891c3257.html","web")</f>
        <v>0</v>
      </c>
      <c r="G311" s="0" t="s">
        <v>799</v>
      </c>
      <c r="H311" s="0" t="s">
        <v>800</v>
      </c>
      <c r="I311" s="0" t="s">
        <v>807</v>
      </c>
      <c r="J311" s="0" t="s">
        <v>622</v>
      </c>
    </row>
    <row r="313" customFormat="false" ht="15" hidden="false" customHeight="false" outlineLevel="0" collapsed="false">
      <c r="A313" s="0" t="s">
        <v>808</v>
      </c>
      <c r="B313" s="0" t="s">
        <v>809</v>
      </c>
      <c r="C313" s="0" t="s">
        <v>20</v>
      </c>
      <c r="D313" s="0" t="s">
        <v>192</v>
      </c>
      <c r="E313" s="0" t="s">
        <v>810</v>
      </c>
      <c r="F313" s="0" t="n">
        <f aca="false">HYPERLINK("http://clipc-services.ceda.ac.uk/dreq/u/96a44ea6-b096-11e6-aab6-ac72891c3257.html","web")</f>
        <v>0</v>
      </c>
      <c r="G313" s="0" t="s">
        <v>626</v>
      </c>
      <c r="H313" s="0" t="s">
        <v>600</v>
      </c>
      <c r="I313" s="0" t="s">
        <v>811</v>
      </c>
      <c r="J313" s="0" t="s">
        <v>42</v>
      </c>
    </row>
    <row r="314" customFormat="false" ht="15" hidden="false" customHeight="false" outlineLevel="0" collapsed="false">
      <c r="A314" s="0" t="s">
        <v>808</v>
      </c>
      <c r="B314" s="0" t="s">
        <v>812</v>
      </c>
      <c r="C314" s="0" t="s">
        <v>20</v>
      </c>
      <c r="D314" s="0" t="s">
        <v>192</v>
      </c>
      <c r="E314" s="0" t="s">
        <v>813</v>
      </c>
      <c r="F314" s="0" t="n">
        <f aca="false">HYPERLINK("http://clipc-services.ceda.ac.uk/dreq/u/afef6490-b096-11e6-aab6-ac72891c3257.html","web")</f>
        <v>0</v>
      </c>
      <c r="G314" s="0" t="s">
        <v>626</v>
      </c>
      <c r="H314" s="0" t="s">
        <v>600</v>
      </c>
      <c r="I314" s="0" t="s">
        <v>814</v>
      </c>
      <c r="J314" s="0" t="s">
        <v>42</v>
      </c>
    </row>
    <row r="315" customFormat="false" ht="15" hidden="false" customHeight="false" outlineLevel="0" collapsed="false">
      <c r="A315" s="0" t="s">
        <v>808</v>
      </c>
      <c r="B315" s="0" t="s">
        <v>654</v>
      </c>
      <c r="C315" s="0" t="s">
        <v>20</v>
      </c>
      <c r="D315" s="0" t="s">
        <v>192</v>
      </c>
      <c r="E315" s="0" t="s">
        <v>655</v>
      </c>
      <c r="F315" s="0" t="n">
        <f aca="false">HYPERLINK("http://clipc-services.ceda.ac.uk/dreq/u/cc8f92a2635774d636748ec8007c4bab.html","web")</f>
        <v>0</v>
      </c>
      <c r="G315" s="0" t="s">
        <v>626</v>
      </c>
      <c r="H315" s="0" t="s">
        <v>600</v>
      </c>
      <c r="I315" s="0" t="s">
        <v>656</v>
      </c>
      <c r="J315" s="0" t="s">
        <v>42</v>
      </c>
    </row>
    <row r="316" customFormat="false" ht="15" hidden="false" customHeight="false" outlineLevel="0" collapsed="false">
      <c r="A316" s="0" t="s">
        <v>808</v>
      </c>
      <c r="B316" s="0" t="s">
        <v>815</v>
      </c>
      <c r="C316" s="0" t="s">
        <v>20</v>
      </c>
      <c r="D316" s="0" t="s">
        <v>192</v>
      </c>
      <c r="E316" s="0" t="s">
        <v>816</v>
      </c>
      <c r="F316" s="0" t="n">
        <f aca="false">HYPERLINK("http://clipc-services.ceda.ac.uk/dreq/u/e703d0fcbdd5f975485b3404a331ed91.html","web")</f>
        <v>0</v>
      </c>
      <c r="G316" s="0" t="s">
        <v>817</v>
      </c>
      <c r="H316" s="0" t="s">
        <v>24</v>
      </c>
      <c r="I316" s="0" t="s">
        <v>818</v>
      </c>
      <c r="J316" s="0" t="s">
        <v>819</v>
      </c>
    </row>
    <row r="317" customFormat="false" ht="15" hidden="false" customHeight="false" outlineLevel="0" collapsed="false">
      <c r="A317" s="0" t="s">
        <v>808</v>
      </c>
      <c r="B317" s="0" t="s">
        <v>596</v>
      </c>
      <c r="C317" s="0" t="s">
        <v>20</v>
      </c>
      <c r="D317" s="0" t="s">
        <v>192</v>
      </c>
      <c r="E317" s="0" t="s">
        <v>660</v>
      </c>
      <c r="F317" s="0" t="n">
        <f aca="false">HYPERLINK("http://clipc-services.ceda.ac.uk/dreq/u/942125e5a461fef57b1477b9a2bd5fa0.html","web")</f>
        <v>0</v>
      </c>
      <c r="G317" s="0" t="s">
        <v>599</v>
      </c>
      <c r="H317" s="0" t="s">
        <v>600</v>
      </c>
      <c r="I317" s="0" t="s">
        <v>601</v>
      </c>
      <c r="J317" s="0" t="s">
        <v>42</v>
      </c>
    </row>
    <row r="318" customFormat="false" ht="15" hidden="false" customHeight="false" outlineLevel="0" collapsed="false">
      <c r="A318" s="0" t="s">
        <v>808</v>
      </c>
      <c r="B318" s="0" t="s">
        <v>820</v>
      </c>
      <c r="C318" s="0" t="s">
        <v>20</v>
      </c>
      <c r="D318" s="0" t="s">
        <v>821</v>
      </c>
      <c r="E318" s="0" t="s">
        <v>822</v>
      </c>
      <c r="F318" s="0" t="n">
        <f aca="false">HYPERLINK("http://clipc-services.ceda.ac.uk/dreq/u/76248ae1d72c976495be67161d5a8d7d.html","web")</f>
        <v>0</v>
      </c>
      <c r="G318" s="0" t="s">
        <v>756</v>
      </c>
      <c r="H318" s="0" t="s">
        <v>24</v>
      </c>
      <c r="I318" s="0" t="s">
        <v>823</v>
      </c>
      <c r="J318" s="0" t="s">
        <v>42</v>
      </c>
    </row>
    <row r="320" customFormat="false" ht="15" hidden="false" customHeight="false" outlineLevel="0" collapsed="false">
      <c r="A320" s="0" t="s">
        <v>824</v>
      </c>
      <c r="B320" s="0" t="s">
        <v>350</v>
      </c>
      <c r="C320" s="0" t="s">
        <v>12</v>
      </c>
      <c r="D320" s="0" t="s">
        <v>728</v>
      </c>
      <c r="E320" s="0" t="s">
        <v>351</v>
      </c>
      <c r="F320" s="0" t="n">
        <f aca="false">HYPERLINK("http://clipc-services.ceda.ac.uk/dreq/u/1aefc13bd27020244fe1cfd706ce1041.html","web")</f>
        <v>0</v>
      </c>
      <c r="G320" s="0" t="s">
        <v>194</v>
      </c>
      <c r="H320" s="0" t="s">
        <v>173</v>
      </c>
      <c r="I320" s="0" t="s">
        <v>352</v>
      </c>
      <c r="J320" s="0" t="s">
        <v>687</v>
      </c>
    </row>
    <row r="321" customFormat="false" ht="15" hidden="false" customHeight="false" outlineLevel="0" collapsed="false">
      <c r="A321" s="0" t="s">
        <v>824</v>
      </c>
      <c r="B321" s="0" t="s">
        <v>353</v>
      </c>
      <c r="C321" s="0" t="s">
        <v>12</v>
      </c>
      <c r="D321" s="0" t="s">
        <v>728</v>
      </c>
      <c r="E321" s="0" t="s">
        <v>354</v>
      </c>
      <c r="F321" s="0" t="n">
        <f aca="false">HYPERLINK("http://clipc-services.ceda.ac.uk/dreq/u/2cd1940e7201d5adb02ba157a74fc33e.html","web")</f>
        <v>0</v>
      </c>
      <c r="G321" s="0" t="s">
        <v>355</v>
      </c>
      <c r="H321" s="0" t="s">
        <v>287</v>
      </c>
      <c r="J321" s="0" t="s">
        <v>687</v>
      </c>
    </row>
    <row r="322" customFormat="false" ht="15" hidden="false" customHeight="false" outlineLevel="0" collapsed="false">
      <c r="A322" s="0" t="s">
        <v>824</v>
      </c>
      <c r="B322" s="0" t="s">
        <v>284</v>
      </c>
      <c r="C322" s="0" t="s">
        <v>20</v>
      </c>
      <c r="D322" s="0" t="s">
        <v>825</v>
      </c>
      <c r="E322" s="0" t="s">
        <v>285</v>
      </c>
      <c r="F322" s="0" t="n">
        <f aca="false">HYPERLINK("http://clipc-services.ceda.ac.uk/dreq/u/29fae9ea0f236a3eb144026e1bafde28.html","web")</f>
        <v>0</v>
      </c>
      <c r="G322" s="0" t="s">
        <v>286</v>
      </c>
      <c r="H322" s="0" t="s">
        <v>287</v>
      </c>
      <c r="I322" s="0" t="s">
        <v>288</v>
      </c>
      <c r="J322" s="0" t="s">
        <v>687</v>
      </c>
    </row>
    <row r="323" customFormat="false" ht="15" hidden="false" customHeight="false" outlineLevel="0" collapsed="false">
      <c r="A323" s="0" t="s">
        <v>824</v>
      </c>
      <c r="B323" s="0" t="s">
        <v>289</v>
      </c>
      <c r="C323" s="0" t="s">
        <v>20</v>
      </c>
      <c r="D323" s="0" t="s">
        <v>825</v>
      </c>
      <c r="E323" s="0" t="s">
        <v>290</v>
      </c>
      <c r="F323" s="0" t="n">
        <f aca="false">HYPERLINK("http://clipc-services.ceda.ac.uk/dreq/u/8de0f30b91b15720398fc10fd712a182.html","web")</f>
        <v>0</v>
      </c>
      <c r="G323" s="0" t="s">
        <v>286</v>
      </c>
      <c r="H323" s="0" t="s">
        <v>173</v>
      </c>
      <c r="I323" s="0" t="s">
        <v>291</v>
      </c>
      <c r="J323" s="0" t="s">
        <v>687</v>
      </c>
    </row>
    <row r="325" customFormat="false" ht="15" hidden="false" customHeight="false" outlineLevel="0" collapsed="false">
      <c r="A325" s="0" t="s">
        <v>826</v>
      </c>
      <c r="B325" s="0" t="s">
        <v>827</v>
      </c>
      <c r="C325" s="0" t="s">
        <v>20</v>
      </c>
      <c r="D325" s="0" t="s">
        <v>152</v>
      </c>
      <c r="E325" s="0" t="s">
        <v>828</v>
      </c>
      <c r="F325" s="0" t="n">
        <f aca="false">HYPERLINK("http://clipc-services.ceda.ac.uk/dreq/u/89c4bb4f45a0182fc00a1b86b13241a5.html","web")</f>
        <v>0</v>
      </c>
      <c r="G325" s="0" t="s">
        <v>829</v>
      </c>
      <c r="H325" s="0" t="s">
        <v>16</v>
      </c>
      <c r="J325" s="0" t="s">
        <v>789</v>
      </c>
    </row>
    <row r="326" customFormat="false" ht="15" hidden="false" customHeight="false" outlineLevel="0" collapsed="false">
      <c r="A326" s="0" t="s">
        <v>826</v>
      </c>
      <c r="B326" s="0" t="s">
        <v>830</v>
      </c>
      <c r="C326" s="0" t="s">
        <v>20</v>
      </c>
      <c r="D326" s="0" t="s">
        <v>152</v>
      </c>
      <c r="E326" s="0" t="s">
        <v>831</v>
      </c>
      <c r="F326" s="0" t="n">
        <f aca="false">HYPERLINK("http://clipc-services.ceda.ac.uk/dreq/u/2d38bda3114d03f7543b8af88aadd03a.html","web")</f>
        <v>0</v>
      </c>
      <c r="G326" s="0" t="s">
        <v>832</v>
      </c>
      <c r="H326" s="0" t="s">
        <v>16</v>
      </c>
      <c r="I326" s="0" t="s">
        <v>833</v>
      </c>
      <c r="J326" s="0" t="s">
        <v>789</v>
      </c>
    </row>
    <row r="327" customFormat="false" ht="15" hidden="false" customHeight="false" outlineLevel="0" collapsed="false">
      <c r="A327" s="0" t="s">
        <v>826</v>
      </c>
      <c r="B327" s="0" t="s">
        <v>834</v>
      </c>
      <c r="C327" s="0" t="s">
        <v>20</v>
      </c>
      <c r="D327" s="0" t="s">
        <v>152</v>
      </c>
      <c r="E327" s="0" t="s">
        <v>835</v>
      </c>
      <c r="F327" s="0" t="n">
        <f aca="false">HYPERLINK("http://clipc-services.ceda.ac.uk/dreq/u/93723bb54a2c43450d75403102e618ac.html","web")</f>
        <v>0</v>
      </c>
      <c r="G327" s="0" t="s">
        <v>836</v>
      </c>
      <c r="H327" s="0" t="s">
        <v>16</v>
      </c>
      <c r="I327" s="0" t="s">
        <v>837</v>
      </c>
      <c r="J327" s="0" t="s">
        <v>789</v>
      </c>
    </row>
    <row r="328" customFormat="false" ht="15" hidden="false" customHeight="false" outlineLevel="0" collapsed="false">
      <c r="A328" s="0" t="s">
        <v>826</v>
      </c>
      <c r="B328" s="0" t="s">
        <v>838</v>
      </c>
      <c r="C328" s="0" t="s">
        <v>20</v>
      </c>
      <c r="D328" s="0" t="s">
        <v>152</v>
      </c>
      <c r="E328" s="0" t="s">
        <v>839</v>
      </c>
      <c r="F328" s="0" t="n">
        <f aca="false">HYPERLINK("http://clipc-services.ceda.ac.uk/dreq/u/590d6e02-9e49-11e5-803c-0d0b866b59f3.html","web")</f>
        <v>0</v>
      </c>
      <c r="G328" s="0" t="s">
        <v>840</v>
      </c>
      <c r="H328" s="0" t="s">
        <v>24</v>
      </c>
      <c r="I328" s="0" t="s">
        <v>841</v>
      </c>
      <c r="J328" s="0" t="s">
        <v>590</v>
      </c>
    </row>
    <row r="330" customFormat="false" ht="15" hidden="false" customHeight="false" outlineLevel="0" collapsed="false">
      <c r="A330" s="0" t="s">
        <v>842</v>
      </c>
      <c r="B330" s="0" t="s">
        <v>843</v>
      </c>
      <c r="C330" s="0" t="s">
        <v>12</v>
      </c>
      <c r="D330" s="0" t="s">
        <v>346</v>
      </c>
      <c r="E330" s="0" t="s">
        <v>844</v>
      </c>
      <c r="F330" s="0" t="n">
        <f aca="false">HYPERLINK("http://clipc-services.ceda.ac.uk/dreq/u/712473d6-c7b6-11e6-bb2a-ac72891c3257.html","web")</f>
        <v>0</v>
      </c>
      <c r="H330" s="0" t="s">
        <v>16</v>
      </c>
      <c r="I330" s="0" t="s">
        <v>845</v>
      </c>
      <c r="J330" s="0" t="s">
        <v>789</v>
      </c>
    </row>
    <row r="331" customFormat="false" ht="15" hidden="false" customHeight="false" outlineLevel="0" collapsed="false">
      <c r="A331" s="0" t="s">
        <v>842</v>
      </c>
      <c r="B331" s="0" t="s">
        <v>846</v>
      </c>
      <c r="C331" s="0" t="s">
        <v>20</v>
      </c>
      <c r="D331" s="0" t="s">
        <v>847</v>
      </c>
      <c r="E331" s="0" t="s">
        <v>848</v>
      </c>
      <c r="F331" s="0" t="n">
        <f aca="false">HYPERLINK("http://clipc-services.ceda.ac.uk/dreq/u/84f0f91c-acb7-11e6-b5ee-ac72891c3257.html","web")</f>
        <v>0</v>
      </c>
      <c r="G331" s="0" t="s">
        <v>849</v>
      </c>
      <c r="H331" s="0" t="s">
        <v>16</v>
      </c>
      <c r="I331" s="0" t="s">
        <v>850</v>
      </c>
      <c r="J331" s="0" t="s">
        <v>851</v>
      </c>
    </row>
    <row r="332" customFormat="false" ht="15" hidden="false" customHeight="false" outlineLevel="0" collapsed="false">
      <c r="A332" s="0" t="s">
        <v>842</v>
      </c>
      <c r="B332" s="0" t="s">
        <v>852</v>
      </c>
      <c r="C332" s="0" t="s">
        <v>12</v>
      </c>
      <c r="D332" s="0" t="s">
        <v>152</v>
      </c>
      <c r="E332" s="0" t="s">
        <v>853</v>
      </c>
      <c r="F332" s="0" t="n">
        <f aca="false">HYPERLINK("http://clipc-services.ceda.ac.uk/dreq/u/59149524-9e49-11e5-803c-0d0b866b59f3.html","web")</f>
        <v>0</v>
      </c>
      <c r="G332" s="0" t="s">
        <v>854</v>
      </c>
      <c r="H332" s="0" t="s">
        <v>16</v>
      </c>
      <c r="I332" s="0" t="s">
        <v>855</v>
      </c>
      <c r="J332" s="0" t="s">
        <v>856</v>
      </c>
    </row>
    <row r="333" customFormat="false" ht="15" hidden="false" customHeight="false" outlineLevel="0" collapsed="false">
      <c r="A333" s="0" t="s">
        <v>842</v>
      </c>
      <c r="B333" s="0" t="s">
        <v>857</v>
      </c>
      <c r="C333" s="0" t="s">
        <v>12</v>
      </c>
      <c r="D333" s="0" t="s">
        <v>152</v>
      </c>
      <c r="E333" s="0" t="s">
        <v>858</v>
      </c>
      <c r="F333" s="0" t="n">
        <f aca="false">HYPERLINK("http://clipc-services.ceda.ac.uk/dreq/u/590e29c8-9e49-11e5-803c-0d0b866b59f3.html","web")</f>
        <v>0</v>
      </c>
      <c r="G333" s="0" t="s">
        <v>854</v>
      </c>
      <c r="H333" s="0" t="s">
        <v>16</v>
      </c>
      <c r="I333" s="0" t="s">
        <v>859</v>
      </c>
      <c r="J333" s="0" t="s">
        <v>856</v>
      </c>
    </row>
    <row r="334" customFormat="false" ht="15" hidden="false" customHeight="false" outlineLevel="0" collapsed="false">
      <c r="A334" s="0" t="s">
        <v>842</v>
      </c>
      <c r="B334" s="0" t="s">
        <v>860</v>
      </c>
      <c r="C334" s="0" t="s">
        <v>12</v>
      </c>
      <c r="D334" s="0" t="s">
        <v>152</v>
      </c>
      <c r="E334" s="0" t="s">
        <v>861</v>
      </c>
      <c r="F334" s="0" t="n">
        <f aca="false">HYPERLINK("http://clipc-services.ceda.ac.uk/dreq/u/5913d382-9e49-11e5-803c-0d0b866b59f3.html","web")</f>
        <v>0</v>
      </c>
      <c r="G334" s="0" t="s">
        <v>854</v>
      </c>
      <c r="H334" s="0" t="s">
        <v>16</v>
      </c>
      <c r="I334" s="0" t="s">
        <v>862</v>
      </c>
      <c r="J334" s="0" t="s">
        <v>856</v>
      </c>
    </row>
    <row r="335" customFormat="false" ht="15" hidden="false" customHeight="false" outlineLevel="0" collapsed="false">
      <c r="A335" s="0" t="s">
        <v>842</v>
      </c>
      <c r="B335" s="0" t="s">
        <v>863</v>
      </c>
      <c r="C335" s="0" t="s">
        <v>12</v>
      </c>
      <c r="D335" s="0" t="s">
        <v>152</v>
      </c>
      <c r="E335" s="0" t="s">
        <v>864</v>
      </c>
      <c r="F335" s="0" t="n">
        <f aca="false">HYPERLINK("http://clipc-services.ceda.ac.uk/dreq/u/59144c36-9e49-11e5-803c-0d0b866b59f3.html","web")</f>
        <v>0</v>
      </c>
      <c r="G335" s="0" t="s">
        <v>854</v>
      </c>
      <c r="H335" s="0" t="s">
        <v>16</v>
      </c>
      <c r="I335" s="0" t="s">
        <v>865</v>
      </c>
      <c r="J335" s="0" t="s">
        <v>856</v>
      </c>
    </row>
    <row r="336" customFormat="false" ht="15" hidden="false" customHeight="false" outlineLevel="0" collapsed="false">
      <c r="A336" s="0" t="s">
        <v>842</v>
      </c>
      <c r="B336" s="0" t="s">
        <v>866</v>
      </c>
      <c r="C336" s="0" t="s">
        <v>12</v>
      </c>
      <c r="D336" s="0" t="s">
        <v>152</v>
      </c>
      <c r="E336" s="0" t="s">
        <v>867</v>
      </c>
      <c r="F336" s="0" t="n">
        <f aca="false">HYPERLINK("http://clipc-services.ceda.ac.uk/dreq/u/590de850-9e49-11e5-803c-0d0b866b59f3.html","web")</f>
        <v>0</v>
      </c>
      <c r="G336" s="0" t="s">
        <v>854</v>
      </c>
      <c r="H336" s="0" t="s">
        <v>16</v>
      </c>
      <c r="I336" s="0" t="s">
        <v>868</v>
      </c>
      <c r="J336" s="0" t="s">
        <v>856</v>
      </c>
    </row>
    <row r="337" customFormat="false" ht="15" hidden="false" customHeight="false" outlineLevel="0" collapsed="false">
      <c r="A337" s="0" t="s">
        <v>842</v>
      </c>
      <c r="B337" s="0" t="s">
        <v>869</v>
      </c>
      <c r="C337" s="0" t="s">
        <v>12</v>
      </c>
      <c r="D337" s="0" t="s">
        <v>152</v>
      </c>
      <c r="E337" s="0" t="s">
        <v>870</v>
      </c>
      <c r="F337" s="0" t="n">
        <f aca="false">HYPERLINK("http://clipc-services.ceda.ac.uk/dreq/u/590f5e1a-9e49-11e5-803c-0d0b866b59f3.html","web")</f>
        <v>0</v>
      </c>
      <c r="G337" s="0" t="s">
        <v>854</v>
      </c>
      <c r="H337" s="0" t="s">
        <v>16</v>
      </c>
      <c r="I337" s="0" t="s">
        <v>871</v>
      </c>
      <c r="J337" s="0" t="s">
        <v>856</v>
      </c>
    </row>
    <row r="338" customFormat="false" ht="15" hidden="false" customHeight="false" outlineLevel="0" collapsed="false">
      <c r="A338" s="0" t="s">
        <v>842</v>
      </c>
      <c r="B338" s="0" t="s">
        <v>872</v>
      </c>
      <c r="C338" s="0" t="s">
        <v>12</v>
      </c>
      <c r="D338" s="0" t="s">
        <v>152</v>
      </c>
      <c r="E338" s="0" t="s">
        <v>873</v>
      </c>
      <c r="F338" s="0" t="n">
        <f aca="false">HYPERLINK("http://clipc-services.ceda.ac.uk/dreq/u/590f49fc-9e49-11e5-803c-0d0b866b59f3.html","web")</f>
        <v>0</v>
      </c>
      <c r="G338" s="0" t="s">
        <v>854</v>
      </c>
      <c r="H338" s="0" t="s">
        <v>16</v>
      </c>
      <c r="I338" s="0" t="s">
        <v>874</v>
      </c>
      <c r="J338" s="0" t="s">
        <v>856</v>
      </c>
    </row>
    <row r="339" customFormat="false" ht="15" hidden="false" customHeight="false" outlineLevel="0" collapsed="false">
      <c r="A339" s="0" t="s">
        <v>842</v>
      </c>
      <c r="B339" s="0" t="s">
        <v>875</v>
      </c>
      <c r="C339" s="0" t="s">
        <v>12</v>
      </c>
      <c r="D339" s="0" t="s">
        <v>152</v>
      </c>
      <c r="E339" s="0" t="s">
        <v>876</v>
      </c>
      <c r="F339" s="0" t="n">
        <f aca="false">HYPERLINK("http://clipc-services.ceda.ac.uk/dreq/u/5914517c-9e49-11e5-803c-0d0b866b59f3.html","web")</f>
        <v>0</v>
      </c>
      <c r="G339" s="0" t="s">
        <v>854</v>
      </c>
      <c r="H339" s="0" t="s">
        <v>16</v>
      </c>
      <c r="J339" s="0" t="s">
        <v>856</v>
      </c>
    </row>
    <row r="340" customFormat="false" ht="15" hidden="false" customHeight="false" outlineLevel="0" collapsed="false">
      <c r="A340" s="0" t="s">
        <v>842</v>
      </c>
      <c r="B340" s="0" t="s">
        <v>877</v>
      </c>
      <c r="C340" s="0" t="s">
        <v>12</v>
      </c>
      <c r="D340" s="0" t="s">
        <v>152</v>
      </c>
      <c r="E340" s="0" t="s">
        <v>878</v>
      </c>
      <c r="F340" s="0" t="n">
        <f aca="false">HYPERLINK("http://clipc-services.ceda.ac.uk/dreq/u/590f1f68-9e49-11e5-803c-0d0b866b59f3.html","web")</f>
        <v>0</v>
      </c>
      <c r="G340" s="0" t="s">
        <v>854</v>
      </c>
      <c r="H340" s="0" t="s">
        <v>16</v>
      </c>
      <c r="J340" s="0" t="s">
        <v>856</v>
      </c>
    </row>
    <row r="341" customFormat="false" ht="15" hidden="false" customHeight="false" outlineLevel="0" collapsed="false">
      <c r="A341" s="0" t="s">
        <v>842</v>
      </c>
      <c r="B341" s="0" t="s">
        <v>879</v>
      </c>
      <c r="C341" s="0" t="s">
        <v>12</v>
      </c>
      <c r="D341" s="0" t="s">
        <v>45</v>
      </c>
      <c r="E341" s="0" t="s">
        <v>880</v>
      </c>
      <c r="F341" s="0" t="n">
        <f aca="false">HYPERLINK("http://clipc-services.ceda.ac.uk/dreq/u/59144254-9e49-11e5-803c-0d0b866b59f3.html","web")</f>
        <v>0</v>
      </c>
      <c r="G341" s="0" t="s">
        <v>854</v>
      </c>
      <c r="H341" s="0" t="s">
        <v>16</v>
      </c>
      <c r="I341" s="0" t="s">
        <v>881</v>
      </c>
      <c r="J341" s="0" t="s">
        <v>856</v>
      </c>
    </row>
    <row r="342" customFormat="false" ht="15" hidden="false" customHeight="false" outlineLevel="0" collapsed="false">
      <c r="A342" s="0" t="s">
        <v>842</v>
      </c>
      <c r="B342" s="0" t="s">
        <v>882</v>
      </c>
      <c r="C342" s="0" t="s">
        <v>20</v>
      </c>
      <c r="D342" s="0" t="s">
        <v>152</v>
      </c>
      <c r="E342" s="0" t="s">
        <v>883</v>
      </c>
      <c r="F342" s="0" t="n">
        <f aca="false">HYPERLINK("http://clipc-services.ceda.ac.uk/dreq/u/59130e98-9e49-11e5-803c-0d0b866b59f3.html","web")</f>
        <v>0</v>
      </c>
      <c r="G342" s="0" t="s">
        <v>787</v>
      </c>
      <c r="H342" s="0" t="s">
        <v>16</v>
      </c>
      <c r="I342" s="0" t="s">
        <v>884</v>
      </c>
      <c r="J342" s="0" t="s">
        <v>856</v>
      </c>
    </row>
    <row r="343" customFormat="false" ht="15" hidden="false" customHeight="false" outlineLevel="0" collapsed="false">
      <c r="A343" s="0" t="s">
        <v>842</v>
      </c>
      <c r="B343" s="0" t="s">
        <v>784</v>
      </c>
      <c r="C343" s="0" t="s">
        <v>20</v>
      </c>
      <c r="D343" s="0" t="s">
        <v>785</v>
      </c>
      <c r="E343" s="0" t="s">
        <v>786</v>
      </c>
      <c r="F343" s="0" t="n">
        <f aca="false">HYPERLINK("http://clipc-services.ceda.ac.uk/dreq/u/590d17f4-9e49-11e5-803c-0d0b866b59f3.html","web")</f>
        <v>0</v>
      </c>
      <c r="G343" s="0" t="s">
        <v>787</v>
      </c>
      <c r="H343" s="0" t="s">
        <v>16</v>
      </c>
      <c r="I343" s="0" t="s">
        <v>788</v>
      </c>
      <c r="J343" s="0" t="s">
        <v>856</v>
      </c>
    </row>
    <row r="344" customFormat="false" ht="15" hidden="false" customHeight="false" outlineLevel="0" collapsed="false">
      <c r="A344" s="0" t="s">
        <v>842</v>
      </c>
      <c r="B344" s="0" t="s">
        <v>885</v>
      </c>
      <c r="C344" s="0" t="s">
        <v>20</v>
      </c>
      <c r="D344" s="0" t="s">
        <v>152</v>
      </c>
      <c r="E344" s="0" t="s">
        <v>886</v>
      </c>
      <c r="F344" s="0" t="n">
        <f aca="false">HYPERLINK("http://clipc-services.ceda.ac.uk/dreq/u/5912d5ea-9e49-11e5-803c-0d0b866b59f3.html","web")</f>
        <v>0</v>
      </c>
      <c r="G344" s="0" t="s">
        <v>887</v>
      </c>
      <c r="H344" s="0" t="s">
        <v>16</v>
      </c>
      <c r="I344" s="0" t="s">
        <v>888</v>
      </c>
      <c r="J344" s="0" t="s">
        <v>851</v>
      </c>
    </row>
    <row r="345" customFormat="false" ht="15" hidden="false" customHeight="false" outlineLevel="0" collapsed="false">
      <c r="A345" s="0" t="s">
        <v>842</v>
      </c>
      <c r="B345" s="0" t="s">
        <v>889</v>
      </c>
      <c r="C345" s="0" t="s">
        <v>12</v>
      </c>
      <c r="D345" s="0" t="s">
        <v>152</v>
      </c>
      <c r="E345" s="0" t="s">
        <v>890</v>
      </c>
      <c r="F345" s="0" t="n">
        <f aca="false">HYPERLINK("http://clipc-services.ceda.ac.uk/dreq/u/5913c4dc-9e49-11e5-803c-0d0b866b59f3.html","web")</f>
        <v>0</v>
      </c>
      <c r="G345" s="0" t="s">
        <v>891</v>
      </c>
      <c r="H345" s="0" t="s">
        <v>16</v>
      </c>
      <c r="I345" s="0" t="s">
        <v>892</v>
      </c>
      <c r="J345" s="0" t="s">
        <v>851</v>
      </c>
    </row>
    <row r="346" customFormat="false" ht="15" hidden="false" customHeight="false" outlineLevel="0" collapsed="false">
      <c r="A346" s="0" t="s">
        <v>842</v>
      </c>
      <c r="B346" s="0" t="s">
        <v>893</v>
      </c>
      <c r="C346" s="0" t="s">
        <v>12</v>
      </c>
      <c r="D346" s="0" t="s">
        <v>152</v>
      </c>
      <c r="E346" s="0" t="s">
        <v>894</v>
      </c>
      <c r="F346" s="0" t="n">
        <f aca="false">HYPERLINK("http://clipc-services.ceda.ac.uk/dreq/u/590d24c4-9e49-11e5-803c-0d0b866b59f3.html","web")</f>
        <v>0</v>
      </c>
      <c r="G346" s="0" t="s">
        <v>895</v>
      </c>
      <c r="H346" s="0" t="s">
        <v>16</v>
      </c>
      <c r="I346" s="0" t="s">
        <v>896</v>
      </c>
      <c r="J346" s="0" t="s">
        <v>856</v>
      </c>
    </row>
    <row r="347" customFormat="false" ht="15" hidden="false" customHeight="false" outlineLevel="0" collapsed="false">
      <c r="A347" s="0" t="s">
        <v>842</v>
      </c>
      <c r="B347" s="0" t="s">
        <v>897</v>
      </c>
      <c r="C347" s="0" t="s">
        <v>12</v>
      </c>
      <c r="D347" s="0" t="s">
        <v>152</v>
      </c>
      <c r="E347" s="0" t="s">
        <v>898</v>
      </c>
      <c r="F347" s="0" t="n">
        <f aca="false">HYPERLINK("http://clipc-services.ceda.ac.uk/dreq/u/84f0ff48-acb7-11e6-b5ee-ac72891c3257.html","web")</f>
        <v>0</v>
      </c>
      <c r="G347" s="0" t="s">
        <v>899</v>
      </c>
      <c r="H347" s="0" t="s">
        <v>16</v>
      </c>
      <c r="I347" s="0" t="s">
        <v>900</v>
      </c>
      <c r="J347" s="0" t="s">
        <v>851</v>
      </c>
    </row>
    <row r="348" customFormat="false" ht="15" hidden="false" customHeight="false" outlineLevel="0" collapsed="false">
      <c r="A348" s="0" t="s">
        <v>842</v>
      </c>
      <c r="B348" s="0" t="s">
        <v>901</v>
      </c>
      <c r="C348" s="0" t="s">
        <v>12</v>
      </c>
      <c r="D348" s="0" t="s">
        <v>152</v>
      </c>
      <c r="E348" s="0" t="s">
        <v>902</v>
      </c>
      <c r="F348" s="0" t="n">
        <f aca="false">HYPERLINK("http://clipc-services.ceda.ac.uk/dreq/u/84f0c19a-acb7-11e6-b5ee-ac72891c3257.html","web")</f>
        <v>0</v>
      </c>
      <c r="G348" s="0" t="s">
        <v>899</v>
      </c>
      <c r="H348" s="0" t="s">
        <v>16</v>
      </c>
      <c r="I348" s="0" t="s">
        <v>900</v>
      </c>
      <c r="J348" s="0" t="s">
        <v>851</v>
      </c>
    </row>
    <row r="349" customFormat="false" ht="15" hidden="false" customHeight="false" outlineLevel="0" collapsed="false">
      <c r="A349" s="0" t="s">
        <v>842</v>
      </c>
      <c r="B349" s="0" t="s">
        <v>903</v>
      </c>
      <c r="C349" s="0" t="s">
        <v>12</v>
      </c>
      <c r="D349" s="0" t="s">
        <v>152</v>
      </c>
      <c r="E349" s="0" t="s">
        <v>904</v>
      </c>
      <c r="F349" s="0" t="n">
        <f aca="false">HYPERLINK("http://clipc-services.ceda.ac.uk/dreq/u/84f0ac28-acb7-11e6-b5ee-ac72891c3257.html","web")</f>
        <v>0</v>
      </c>
      <c r="G349" s="0" t="s">
        <v>899</v>
      </c>
      <c r="H349" s="0" t="s">
        <v>16</v>
      </c>
      <c r="I349" s="0" t="s">
        <v>900</v>
      </c>
      <c r="J349" s="0" t="s">
        <v>851</v>
      </c>
    </row>
    <row r="350" customFormat="false" ht="15" hidden="false" customHeight="false" outlineLevel="0" collapsed="false">
      <c r="A350" s="0" t="s">
        <v>842</v>
      </c>
      <c r="B350" s="0" t="s">
        <v>905</v>
      </c>
      <c r="C350" s="0" t="s">
        <v>12</v>
      </c>
      <c r="D350" s="0" t="s">
        <v>152</v>
      </c>
      <c r="E350" s="0" t="s">
        <v>906</v>
      </c>
      <c r="F350" s="0" t="n">
        <f aca="false">HYPERLINK("http://clipc-services.ceda.ac.uk/dreq/u/84f0a5d4-acb7-11e6-b5ee-ac72891c3257.html","web")</f>
        <v>0</v>
      </c>
      <c r="G350" s="0" t="s">
        <v>899</v>
      </c>
      <c r="H350" s="0" t="s">
        <v>16</v>
      </c>
      <c r="I350" s="0" t="s">
        <v>907</v>
      </c>
      <c r="J350" s="0" t="s">
        <v>851</v>
      </c>
    </row>
    <row r="351" customFormat="false" ht="15" hidden="false" customHeight="false" outlineLevel="0" collapsed="false">
      <c r="A351" s="0" t="s">
        <v>842</v>
      </c>
      <c r="B351" s="0" t="s">
        <v>908</v>
      </c>
      <c r="C351" s="0" t="s">
        <v>12</v>
      </c>
      <c r="D351" s="0" t="s">
        <v>152</v>
      </c>
      <c r="E351" s="0" t="s">
        <v>909</v>
      </c>
      <c r="F351" s="0" t="n">
        <f aca="false">HYPERLINK("http://clipc-services.ceda.ac.uk/dreq/u/84efa3fa-acb7-11e6-b5ee-ac72891c3257.html","web")</f>
        <v>0</v>
      </c>
      <c r="G351" s="0" t="s">
        <v>899</v>
      </c>
      <c r="H351" s="0" t="s">
        <v>16</v>
      </c>
      <c r="I351" s="0" t="s">
        <v>907</v>
      </c>
      <c r="J351" s="0" t="s">
        <v>851</v>
      </c>
    </row>
    <row r="352" customFormat="false" ht="15" hidden="false" customHeight="false" outlineLevel="0" collapsed="false">
      <c r="A352" s="0" t="s">
        <v>842</v>
      </c>
      <c r="B352" s="0" t="s">
        <v>910</v>
      </c>
      <c r="C352" s="0" t="s">
        <v>12</v>
      </c>
      <c r="D352" s="0" t="s">
        <v>152</v>
      </c>
      <c r="E352" s="0" t="s">
        <v>911</v>
      </c>
      <c r="F352" s="0" t="n">
        <f aca="false">HYPERLINK("http://clipc-services.ceda.ac.uk/dreq/u/84f0f62e-acb7-11e6-b5ee-ac72891c3257.html","web")</f>
        <v>0</v>
      </c>
      <c r="G352" s="0" t="s">
        <v>899</v>
      </c>
      <c r="H352" s="0" t="s">
        <v>16</v>
      </c>
      <c r="I352" s="0" t="s">
        <v>907</v>
      </c>
      <c r="J352" s="0" t="s">
        <v>851</v>
      </c>
    </row>
    <row r="353" customFormat="false" ht="15" hidden="false" customHeight="false" outlineLevel="0" collapsed="false">
      <c r="A353" s="0" t="s">
        <v>842</v>
      </c>
      <c r="B353" s="0" t="s">
        <v>912</v>
      </c>
      <c r="C353" s="0" t="s">
        <v>12</v>
      </c>
      <c r="D353" s="0" t="s">
        <v>152</v>
      </c>
      <c r="E353" s="0" t="s">
        <v>913</v>
      </c>
      <c r="F353" s="0" t="n">
        <f aca="false">HYPERLINK("http://clipc-services.ceda.ac.uk/dreq/u/84f0e418-acb7-11e6-b5ee-ac72891c3257.html","web")</f>
        <v>0</v>
      </c>
      <c r="G353" s="0" t="s">
        <v>899</v>
      </c>
      <c r="H353" s="0" t="s">
        <v>16</v>
      </c>
      <c r="I353" s="0" t="s">
        <v>914</v>
      </c>
      <c r="J353" s="0" t="s">
        <v>851</v>
      </c>
    </row>
    <row r="354" customFormat="false" ht="15" hidden="false" customHeight="false" outlineLevel="0" collapsed="false">
      <c r="A354" s="0" t="s">
        <v>842</v>
      </c>
      <c r="B354" s="0" t="s">
        <v>915</v>
      </c>
      <c r="C354" s="0" t="s">
        <v>12</v>
      </c>
      <c r="D354" s="0" t="s">
        <v>152</v>
      </c>
      <c r="E354" s="0" t="s">
        <v>916</v>
      </c>
      <c r="F354" s="0" t="n">
        <f aca="false">HYPERLINK("http://clipc-services.ceda.ac.uk/dreq/u/84f10b8c-acb7-11e6-b5ee-ac72891c3257.html","web")</f>
        <v>0</v>
      </c>
      <c r="G354" s="0" t="s">
        <v>899</v>
      </c>
      <c r="H354" s="0" t="s">
        <v>16</v>
      </c>
      <c r="I354" s="0" t="s">
        <v>914</v>
      </c>
      <c r="J354" s="0" t="s">
        <v>851</v>
      </c>
    </row>
    <row r="355" customFormat="false" ht="15" hidden="false" customHeight="false" outlineLevel="0" collapsed="false">
      <c r="A355" s="0" t="s">
        <v>842</v>
      </c>
      <c r="B355" s="0" t="s">
        <v>917</v>
      </c>
      <c r="C355" s="0" t="s">
        <v>12</v>
      </c>
      <c r="D355" s="0" t="s">
        <v>152</v>
      </c>
      <c r="E355" s="0" t="s">
        <v>918</v>
      </c>
      <c r="F355" s="0" t="n">
        <f aca="false">HYPERLINK("http://clipc-services.ceda.ac.uk/dreq/u/84f0d158-acb7-11e6-b5ee-ac72891c3257.html","web")</f>
        <v>0</v>
      </c>
      <c r="G355" s="0" t="s">
        <v>899</v>
      </c>
      <c r="H355" s="0" t="s">
        <v>16</v>
      </c>
      <c r="I355" s="0" t="s">
        <v>914</v>
      </c>
      <c r="J355" s="0" t="s">
        <v>851</v>
      </c>
    </row>
    <row r="356" customFormat="false" ht="15" hidden="false" customHeight="false" outlineLevel="0" collapsed="false">
      <c r="A356" s="0" t="s">
        <v>842</v>
      </c>
      <c r="B356" s="0" t="s">
        <v>919</v>
      </c>
      <c r="C356" s="0" t="s">
        <v>12</v>
      </c>
      <c r="D356" s="0" t="s">
        <v>785</v>
      </c>
      <c r="E356" s="0" t="s">
        <v>920</v>
      </c>
      <c r="F356" s="0" t="n">
        <f aca="false">HYPERLINK("http://clipc-services.ceda.ac.uk/dreq/u/84f0a8f4-acb7-11e6-b5ee-ac72891c3257.html","web")</f>
        <v>0</v>
      </c>
      <c r="G356" s="0" t="s">
        <v>849</v>
      </c>
      <c r="H356" s="0" t="s">
        <v>16</v>
      </c>
      <c r="I356" s="0" t="s">
        <v>921</v>
      </c>
      <c r="J356" s="0" t="s">
        <v>851</v>
      </c>
    </row>
    <row r="357" customFormat="false" ht="15" hidden="false" customHeight="false" outlineLevel="0" collapsed="false">
      <c r="A357" s="0" t="s">
        <v>842</v>
      </c>
      <c r="B357" s="0" t="s">
        <v>922</v>
      </c>
      <c r="C357" s="0" t="s">
        <v>12</v>
      </c>
      <c r="D357" s="0" t="s">
        <v>923</v>
      </c>
      <c r="E357" s="0" t="s">
        <v>924</v>
      </c>
      <c r="F357" s="0" t="n">
        <f aca="false">HYPERLINK("http://clipc-services.ceda.ac.uk/dreq/u/84f0fc3c-acb7-11e6-b5ee-ac72891c3257.html","web")</f>
        <v>0</v>
      </c>
      <c r="G357" s="0" t="s">
        <v>925</v>
      </c>
      <c r="H357" s="0" t="s">
        <v>16</v>
      </c>
      <c r="I357" s="0" t="s">
        <v>926</v>
      </c>
      <c r="J357" s="0" t="s">
        <v>851</v>
      </c>
    </row>
    <row r="358" customFormat="false" ht="15" hidden="false" customHeight="false" outlineLevel="0" collapsed="false">
      <c r="A358" s="0" t="s">
        <v>842</v>
      </c>
      <c r="B358" s="0" t="s">
        <v>927</v>
      </c>
      <c r="C358" s="0" t="s">
        <v>12</v>
      </c>
      <c r="D358" s="0" t="s">
        <v>923</v>
      </c>
      <c r="E358" s="0" t="s">
        <v>928</v>
      </c>
      <c r="F358" s="0" t="n">
        <f aca="false">HYPERLINK("http://clipc-services.ceda.ac.uk/dreq/u/84f1146a-acb7-11e6-b5ee-ac72891c3257.html","web")</f>
        <v>0</v>
      </c>
      <c r="G358" s="0" t="s">
        <v>925</v>
      </c>
      <c r="H358" s="0" t="s">
        <v>16</v>
      </c>
      <c r="I358" s="0" t="s">
        <v>929</v>
      </c>
      <c r="J358" s="0" t="s">
        <v>851</v>
      </c>
    </row>
    <row r="359" customFormat="false" ht="15" hidden="false" customHeight="false" outlineLevel="0" collapsed="false">
      <c r="A359" s="0" t="s">
        <v>842</v>
      </c>
      <c r="B359" s="0" t="s">
        <v>930</v>
      </c>
      <c r="C359" s="0" t="s">
        <v>12</v>
      </c>
      <c r="D359" s="0" t="s">
        <v>152</v>
      </c>
      <c r="E359" s="0" t="s">
        <v>931</v>
      </c>
      <c r="F359" s="0" t="n">
        <f aca="false">HYPERLINK("http://clipc-services.ceda.ac.uk/dreq/u/591348fe-9e49-11e5-803c-0d0b866b59f3.html","web")</f>
        <v>0</v>
      </c>
      <c r="G359" s="0" t="s">
        <v>925</v>
      </c>
      <c r="H359" s="0" t="s">
        <v>16</v>
      </c>
      <c r="I359" s="0" t="s">
        <v>932</v>
      </c>
      <c r="J359" s="0" t="s">
        <v>851</v>
      </c>
    </row>
    <row r="360" customFormat="false" ht="15" hidden="false" customHeight="false" outlineLevel="0" collapsed="false">
      <c r="A360" s="0" t="s">
        <v>842</v>
      </c>
      <c r="B360" s="0" t="s">
        <v>933</v>
      </c>
      <c r="C360" s="0" t="s">
        <v>12</v>
      </c>
      <c r="D360" s="0" t="s">
        <v>152</v>
      </c>
      <c r="E360" s="0" t="s">
        <v>934</v>
      </c>
      <c r="F360" s="0" t="n">
        <f aca="false">HYPERLINK("http://clipc-services.ceda.ac.uk/dreq/u/5913a696-9e49-11e5-803c-0d0b866b59f3.html","web")</f>
        <v>0</v>
      </c>
      <c r="G360" s="0" t="s">
        <v>925</v>
      </c>
      <c r="H360" s="0" t="s">
        <v>16</v>
      </c>
      <c r="I360" s="0" t="s">
        <v>932</v>
      </c>
      <c r="J360" s="0" t="s">
        <v>851</v>
      </c>
    </row>
    <row r="361" customFormat="false" ht="15" hidden="false" customHeight="false" outlineLevel="0" collapsed="false">
      <c r="A361" s="0" t="s">
        <v>842</v>
      </c>
      <c r="B361" s="0" t="s">
        <v>935</v>
      </c>
      <c r="C361" s="0" t="s">
        <v>12</v>
      </c>
      <c r="D361" s="0" t="s">
        <v>152</v>
      </c>
      <c r="E361" s="0" t="s">
        <v>936</v>
      </c>
      <c r="F361" s="0" t="n">
        <f aca="false">HYPERLINK("http://clipc-services.ceda.ac.uk/dreq/u/84f0ddec-acb7-11e6-b5ee-ac72891c3257.html","web")</f>
        <v>0</v>
      </c>
      <c r="G361" s="0" t="s">
        <v>925</v>
      </c>
      <c r="H361" s="0" t="s">
        <v>16</v>
      </c>
      <c r="I361" s="0" t="s">
        <v>932</v>
      </c>
      <c r="J361" s="0" t="s">
        <v>851</v>
      </c>
    </row>
    <row r="362" customFormat="false" ht="15" hidden="false" customHeight="false" outlineLevel="0" collapsed="false">
      <c r="A362" s="0" t="s">
        <v>842</v>
      </c>
      <c r="B362" s="0" t="s">
        <v>937</v>
      </c>
      <c r="C362" s="0" t="s">
        <v>12</v>
      </c>
      <c r="D362" s="0" t="s">
        <v>152</v>
      </c>
      <c r="E362" s="0" t="s">
        <v>938</v>
      </c>
      <c r="F362" s="0" t="n">
        <f aca="false">HYPERLINK("http://clipc-services.ceda.ac.uk/dreq/u/84ef402c-acb7-11e6-b5ee-ac72891c3257.html","web")</f>
        <v>0</v>
      </c>
      <c r="G362" s="0" t="s">
        <v>925</v>
      </c>
      <c r="H362" s="0" t="s">
        <v>16</v>
      </c>
      <c r="I362" s="0" t="s">
        <v>932</v>
      </c>
      <c r="J362" s="0" t="s">
        <v>851</v>
      </c>
    </row>
    <row r="363" customFormat="false" ht="15" hidden="false" customHeight="false" outlineLevel="0" collapsed="false">
      <c r="A363" s="0" t="s">
        <v>842</v>
      </c>
      <c r="B363" s="0" t="s">
        <v>939</v>
      </c>
      <c r="C363" s="0" t="s">
        <v>12</v>
      </c>
      <c r="D363" s="0" t="s">
        <v>152</v>
      </c>
      <c r="E363" s="0" t="s">
        <v>940</v>
      </c>
      <c r="F363" s="0" t="n">
        <f aca="false">HYPERLINK("http://clipc-services.ceda.ac.uk/dreq/u/84f09f30-acb7-11e6-b5ee-ac72891c3257.html","web")</f>
        <v>0</v>
      </c>
      <c r="G363" s="0" t="s">
        <v>941</v>
      </c>
      <c r="H363" s="0" t="s">
        <v>16</v>
      </c>
      <c r="I363" s="0" t="s">
        <v>942</v>
      </c>
      <c r="J363" s="0" t="s">
        <v>851</v>
      </c>
    </row>
    <row r="364" customFormat="false" ht="15" hidden="false" customHeight="false" outlineLevel="0" collapsed="false">
      <c r="A364" s="0" t="s">
        <v>842</v>
      </c>
      <c r="B364" s="0" t="s">
        <v>943</v>
      </c>
      <c r="C364" s="0" t="s">
        <v>12</v>
      </c>
      <c r="D364" s="0" t="s">
        <v>152</v>
      </c>
      <c r="E364" s="0" t="s">
        <v>944</v>
      </c>
      <c r="F364" s="0" t="n">
        <f aca="false">HYPERLINK("http://clipc-services.ceda.ac.uk/dreq/u/84f0bbbe-acb7-11e6-b5ee-ac72891c3257.html","web")</f>
        <v>0</v>
      </c>
      <c r="G364" s="0" t="s">
        <v>941</v>
      </c>
      <c r="H364" s="0" t="s">
        <v>16</v>
      </c>
      <c r="I364" s="0" t="s">
        <v>942</v>
      </c>
      <c r="J364" s="0" t="s">
        <v>851</v>
      </c>
    </row>
    <row r="365" customFormat="false" ht="15" hidden="false" customHeight="false" outlineLevel="0" collapsed="false">
      <c r="A365" s="0" t="s">
        <v>842</v>
      </c>
      <c r="B365" s="0" t="s">
        <v>945</v>
      </c>
      <c r="C365" s="0" t="s">
        <v>12</v>
      </c>
      <c r="D365" s="0" t="s">
        <v>152</v>
      </c>
      <c r="E365" s="0" t="s">
        <v>946</v>
      </c>
      <c r="F365" s="0" t="n">
        <f aca="false">HYPERLINK("http://clipc-services.ceda.ac.uk/dreq/u/84f0c47e-acb7-11e6-b5ee-ac72891c3257.html","web")</f>
        <v>0</v>
      </c>
      <c r="G365" s="0" t="s">
        <v>947</v>
      </c>
      <c r="H365" s="0" t="s">
        <v>16</v>
      </c>
      <c r="I365" s="0" t="s">
        <v>948</v>
      </c>
      <c r="J365" s="0" t="s">
        <v>851</v>
      </c>
    </row>
    <row r="366" customFormat="false" ht="15" hidden="false" customHeight="false" outlineLevel="0" collapsed="false">
      <c r="A366" s="0" t="s">
        <v>842</v>
      </c>
      <c r="B366" s="0" t="s">
        <v>949</v>
      </c>
      <c r="C366" s="0" t="s">
        <v>12</v>
      </c>
      <c r="D366" s="0" t="s">
        <v>152</v>
      </c>
      <c r="E366" s="0" t="s">
        <v>950</v>
      </c>
      <c r="F366" s="0" t="n">
        <f aca="false">HYPERLINK("http://clipc-services.ceda.ac.uk/dreq/u/84f0f052-acb7-11e6-b5ee-ac72891c3257.html","web")</f>
        <v>0</v>
      </c>
      <c r="G366" s="0" t="s">
        <v>947</v>
      </c>
      <c r="H366" s="0" t="s">
        <v>16</v>
      </c>
      <c r="I366" s="0" t="s">
        <v>951</v>
      </c>
      <c r="J366" s="0" t="s">
        <v>851</v>
      </c>
    </row>
    <row r="367" customFormat="false" ht="15" hidden="false" customHeight="false" outlineLevel="0" collapsed="false">
      <c r="A367" s="0" t="s">
        <v>842</v>
      </c>
      <c r="B367" s="0" t="s">
        <v>952</v>
      </c>
      <c r="C367" s="0" t="s">
        <v>12</v>
      </c>
      <c r="D367" s="0" t="s">
        <v>152</v>
      </c>
      <c r="E367" s="0" t="s">
        <v>953</v>
      </c>
      <c r="F367" s="0" t="n">
        <f aca="false">HYPERLINK("http://clipc-services.ceda.ac.uk/dreq/u/84f108a8-acb7-11e6-b5ee-ac72891c3257.html","web")</f>
        <v>0</v>
      </c>
      <c r="G367" s="0" t="s">
        <v>947</v>
      </c>
      <c r="H367" s="0" t="s">
        <v>16</v>
      </c>
      <c r="I367" s="0" t="s">
        <v>954</v>
      </c>
      <c r="J367" s="0" t="s">
        <v>851</v>
      </c>
    </row>
    <row r="368" customFormat="false" ht="15" hidden="false" customHeight="false" outlineLevel="0" collapsed="false">
      <c r="A368" s="0" t="s">
        <v>842</v>
      </c>
      <c r="B368" s="0" t="s">
        <v>955</v>
      </c>
      <c r="C368" s="0" t="s">
        <v>12</v>
      </c>
      <c r="D368" s="0" t="s">
        <v>152</v>
      </c>
      <c r="E368" s="0" t="s">
        <v>956</v>
      </c>
      <c r="F368" s="0" t="n">
        <f aca="false">HYPERLINK("http://clipc-services.ceda.ac.uk/dreq/u/84f1117c-acb7-11e6-b5ee-ac72891c3257.html","web")</f>
        <v>0</v>
      </c>
      <c r="G368" s="0" t="s">
        <v>957</v>
      </c>
      <c r="H368" s="0" t="s">
        <v>16</v>
      </c>
      <c r="I368" s="0" t="s">
        <v>958</v>
      </c>
      <c r="J368" s="0" t="s">
        <v>851</v>
      </c>
    </row>
    <row r="369" customFormat="false" ht="15" hidden="false" customHeight="false" outlineLevel="0" collapsed="false">
      <c r="A369" s="0" t="s">
        <v>842</v>
      </c>
      <c r="B369" s="0" t="s">
        <v>959</v>
      </c>
      <c r="C369" s="0" t="s">
        <v>12</v>
      </c>
      <c r="D369" s="0" t="s">
        <v>152</v>
      </c>
      <c r="E369" s="0" t="s">
        <v>960</v>
      </c>
      <c r="F369" s="0" t="n">
        <f aca="false">HYPERLINK("http://clipc-services.ceda.ac.uk/dreq/u/84f0f354-acb7-11e6-b5ee-ac72891c3257.html","web")</f>
        <v>0</v>
      </c>
      <c r="G369" s="0" t="s">
        <v>957</v>
      </c>
      <c r="H369" s="0" t="s">
        <v>16</v>
      </c>
      <c r="I369" s="0" t="s">
        <v>961</v>
      </c>
      <c r="J369" s="0" t="s">
        <v>851</v>
      </c>
    </row>
    <row r="370" customFormat="false" ht="15" hidden="false" customHeight="false" outlineLevel="0" collapsed="false">
      <c r="A370" s="0" t="s">
        <v>842</v>
      </c>
      <c r="B370" s="0" t="s">
        <v>962</v>
      </c>
      <c r="C370" s="0" t="s">
        <v>12</v>
      </c>
      <c r="D370" s="0" t="s">
        <v>152</v>
      </c>
      <c r="E370" s="0" t="s">
        <v>963</v>
      </c>
      <c r="F370" s="0" t="n">
        <f aca="false">HYPERLINK("http://clipc-services.ceda.ac.uk/dreq/u/84f0beac-acb7-11e6-b5ee-ac72891c3257.html","web")</f>
        <v>0</v>
      </c>
      <c r="G370" s="0" t="s">
        <v>957</v>
      </c>
      <c r="H370" s="0" t="s">
        <v>16</v>
      </c>
      <c r="I370" s="0" t="s">
        <v>964</v>
      </c>
      <c r="J370" s="0" t="s">
        <v>851</v>
      </c>
    </row>
    <row r="371" customFormat="false" ht="15" hidden="false" customHeight="false" outlineLevel="0" collapsed="false">
      <c r="A371" s="0" t="s">
        <v>842</v>
      </c>
      <c r="B371" s="0" t="s">
        <v>965</v>
      </c>
      <c r="C371" s="0" t="s">
        <v>12</v>
      </c>
      <c r="D371" s="0" t="s">
        <v>152</v>
      </c>
      <c r="E371" s="0" t="s">
        <v>966</v>
      </c>
      <c r="F371" s="0" t="n">
        <f aca="false">HYPERLINK("http://clipc-services.ceda.ac.uk/dreq/u/591384a4-9e49-11e5-803c-0d0b866b59f3.html","web")</f>
        <v>0</v>
      </c>
      <c r="G371" s="0" t="s">
        <v>967</v>
      </c>
      <c r="H371" s="0" t="s">
        <v>16</v>
      </c>
      <c r="I371" s="0" t="s">
        <v>17</v>
      </c>
      <c r="J371" s="0" t="s">
        <v>856</v>
      </c>
    </row>
    <row r="372" customFormat="false" ht="15" hidden="false" customHeight="false" outlineLevel="0" collapsed="false">
      <c r="A372" s="0" t="s">
        <v>842</v>
      </c>
      <c r="B372" s="0" t="s">
        <v>968</v>
      </c>
      <c r="C372" s="0" t="s">
        <v>12</v>
      </c>
      <c r="D372" s="0" t="s">
        <v>152</v>
      </c>
      <c r="E372" s="0" t="s">
        <v>969</v>
      </c>
      <c r="F372" s="0" t="n">
        <f aca="false">HYPERLINK("http://clipc-services.ceda.ac.uk/dreq/u/59174aa8-9e49-11e5-803c-0d0b866b59f3.html","web")</f>
        <v>0</v>
      </c>
      <c r="G372" s="0" t="s">
        <v>947</v>
      </c>
      <c r="H372" s="0" t="s">
        <v>16</v>
      </c>
      <c r="I372" s="0" t="s">
        <v>17</v>
      </c>
      <c r="J372" s="0" t="s">
        <v>856</v>
      </c>
    </row>
    <row r="373" customFormat="false" ht="15" hidden="false" customHeight="false" outlineLevel="0" collapsed="false">
      <c r="A373" s="0" t="s">
        <v>842</v>
      </c>
      <c r="B373" s="0" t="s">
        <v>970</v>
      </c>
      <c r="C373" s="0" t="s">
        <v>12</v>
      </c>
      <c r="D373" s="0" t="s">
        <v>152</v>
      </c>
      <c r="E373" s="0" t="s">
        <v>971</v>
      </c>
      <c r="F373" s="0" t="n">
        <f aca="false">HYPERLINK("http://clipc-services.ceda.ac.uk/dreq/u/5917d9fa-9e49-11e5-803c-0d0b866b59f3.html","web")</f>
        <v>0</v>
      </c>
      <c r="G373" s="0" t="s">
        <v>972</v>
      </c>
      <c r="H373" s="0" t="s">
        <v>16</v>
      </c>
      <c r="I373" s="0" t="s">
        <v>17</v>
      </c>
      <c r="J373" s="0" t="s">
        <v>856</v>
      </c>
    </row>
    <row r="374" customFormat="false" ht="15" hidden="false" customHeight="false" outlineLevel="0" collapsed="false">
      <c r="A374" s="0" t="s">
        <v>842</v>
      </c>
      <c r="B374" s="0" t="s">
        <v>973</v>
      </c>
      <c r="C374" s="0" t="s">
        <v>12</v>
      </c>
      <c r="D374" s="0" t="s">
        <v>152</v>
      </c>
      <c r="E374" s="0" t="s">
        <v>974</v>
      </c>
      <c r="F374" s="0" t="n">
        <f aca="false">HYPERLINK("http://clipc-services.ceda.ac.uk/dreq/u/84f0430a-acb7-11e6-b5ee-ac72891c3257.html","web")</f>
        <v>0</v>
      </c>
      <c r="G374" s="0" t="s">
        <v>967</v>
      </c>
      <c r="H374" s="0" t="s">
        <v>16</v>
      </c>
      <c r="I374" s="0" t="s">
        <v>17</v>
      </c>
      <c r="J374" s="0" t="s">
        <v>851</v>
      </c>
    </row>
    <row r="375" customFormat="false" ht="15" hidden="false" customHeight="false" outlineLevel="0" collapsed="false">
      <c r="A375" s="0" t="s">
        <v>842</v>
      </c>
      <c r="B375" s="0" t="s">
        <v>975</v>
      </c>
      <c r="C375" s="0" t="s">
        <v>12</v>
      </c>
      <c r="D375" s="0" t="s">
        <v>152</v>
      </c>
      <c r="E375" s="0" t="s">
        <v>976</v>
      </c>
      <c r="F375" s="0" t="n">
        <f aca="false">HYPERLINK("http://clipc-services.ceda.ac.uk/dreq/u/590f8fca-9e49-11e5-803c-0d0b866b59f3.html","web")</f>
        <v>0</v>
      </c>
      <c r="G375" s="0" t="s">
        <v>977</v>
      </c>
      <c r="H375" s="0" t="s">
        <v>16</v>
      </c>
      <c r="J375" s="0" t="s">
        <v>851</v>
      </c>
    </row>
    <row r="376" customFormat="false" ht="15" hidden="false" customHeight="false" outlineLevel="0" collapsed="false">
      <c r="A376" s="0" t="s">
        <v>842</v>
      </c>
      <c r="B376" s="0" t="s">
        <v>978</v>
      </c>
      <c r="C376" s="0" t="s">
        <v>12</v>
      </c>
      <c r="D376" s="0" t="s">
        <v>152</v>
      </c>
      <c r="E376" s="0" t="s">
        <v>979</v>
      </c>
      <c r="F376" s="0" t="n">
        <f aca="false">HYPERLINK("http://clipc-services.ceda.ac.uk/dreq/u/590ec93c-9e49-11e5-803c-0d0b866b59f3.html","web")</f>
        <v>0</v>
      </c>
      <c r="G376" s="0" t="s">
        <v>977</v>
      </c>
      <c r="H376" s="0" t="s">
        <v>16</v>
      </c>
      <c r="I376" s="0" t="s">
        <v>980</v>
      </c>
      <c r="J376" s="0" t="s">
        <v>851</v>
      </c>
    </row>
    <row r="377" customFormat="false" ht="15" hidden="false" customHeight="false" outlineLevel="0" collapsed="false">
      <c r="A377" s="0" t="s">
        <v>842</v>
      </c>
      <c r="B377" s="0" t="s">
        <v>981</v>
      </c>
      <c r="C377" s="0" t="s">
        <v>20</v>
      </c>
      <c r="D377" s="0" t="s">
        <v>152</v>
      </c>
      <c r="E377" s="0" t="s">
        <v>982</v>
      </c>
      <c r="F377" s="0" t="n">
        <f aca="false">HYPERLINK("http://clipc-services.ceda.ac.uk/dreq/u/5912cf78-9e49-11e5-803c-0d0b866b59f3.html","web")</f>
        <v>0</v>
      </c>
      <c r="G377" s="0" t="s">
        <v>977</v>
      </c>
      <c r="H377" s="0" t="s">
        <v>16</v>
      </c>
      <c r="J377" s="0" t="s">
        <v>856</v>
      </c>
    </row>
    <row r="378" customFormat="false" ht="15" hidden="false" customHeight="false" outlineLevel="0" collapsed="false">
      <c r="A378" s="0" t="s">
        <v>842</v>
      </c>
      <c r="B378" s="0" t="s">
        <v>983</v>
      </c>
      <c r="C378" s="0" t="s">
        <v>12</v>
      </c>
      <c r="D378" s="0" t="s">
        <v>152</v>
      </c>
      <c r="E378" s="0" t="s">
        <v>984</v>
      </c>
      <c r="F378" s="0" t="n">
        <f aca="false">HYPERLINK("http://clipc-services.ceda.ac.uk/dreq/u/590f097e-9e49-11e5-803c-0d0b866b59f3.html","web")</f>
        <v>0</v>
      </c>
      <c r="G378" s="0" t="s">
        <v>977</v>
      </c>
      <c r="H378" s="0" t="s">
        <v>16</v>
      </c>
      <c r="J378" s="0" t="s">
        <v>851</v>
      </c>
    </row>
    <row r="379" customFormat="false" ht="15" hidden="false" customHeight="false" outlineLevel="0" collapsed="false">
      <c r="A379" s="0" t="s">
        <v>842</v>
      </c>
      <c r="B379" s="0" t="s">
        <v>114</v>
      </c>
      <c r="C379" s="0" t="s">
        <v>115</v>
      </c>
      <c r="D379" s="0" t="s">
        <v>45</v>
      </c>
      <c r="E379" s="0" t="s">
        <v>116</v>
      </c>
      <c r="F379" s="0" t="n">
        <f aca="false">HYPERLINK("http://clipc-services.ceda.ac.uk/dreq/u/e525bed4-dd83-11e5-9194-ac72891c3257.html","web")</f>
        <v>0</v>
      </c>
      <c r="G379" s="0" t="s">
        <v>101</v>
      </c>
      <c r="H379" s="0" t="s">
        <v>16</v>
      </c>
      <c r="I379" s="0" t="s">
        <v>117</v>
      </c>
      <c r="J379" s="0" t="s">
        <v>789</v>
      </c>
    </row>
    <row r="380" customFormat="false" ht="15" hidden="false" customHeight="false" outlineLevel="0" collapsed="false">
      <c r="A380" s="0" t="s">
        <v>842</v>
      </c>
      <c r="B380" s="0" t="s">
        <v>118</v>
      </c>
      <c r="C380" s="0" t="s">
        <v>115</v>
      </c>
      <c r="D380" s="0" t="s">
        <v>45</v>
      </c>
      <c r="E380" s="0" t="s">
        <v>119</v>
      </c>
      <c r="F380" s="0" t="n">
        <f aca="false">HYPERLINK("http://clipc-services.ceda.ac.uk/dreq/u/e52644bc-dd83-11e5-9194-ac72891c3257.html","web")</f>
        <v>0</v>
      </c>
      <c r="G380" s="0" t="s">
        <v>94</v>
      </c>
      <c r="H380" s="0" t="s">
        <v>95</v>
      </c>
      <c r="I380" s="0" t="s">
        <v>120</v>
      </c>
      <c r="J380" s="0" t="s">
        <v>789</v>
      </c>
    </row>
    <row r="381" customFormat="false" ht="15" hidden="false" customHeight="false" outlineLevel="0" collapsed="false">
      <c r="A381" s="0" t="s">
        <v>842</v>
      </c>
      <c r="B381" s="0" t="s">
        <v>121</v>
      </c>
      <c r="C381" s="0" t="s">
        <v>115</v>
      </c>
      <c r="D381" s="0" t="s">
        <v>45</v>
      </c>
      <c r="E381" s="0" t="s">
        <v>122</v>
      </c>
      <c r="F381" s="0" t="n">
        <f aca="false">HYPERLINK("http://clipc-services.ceda.ac.uk/dreq/u/e526caea-dd83-11e5-9194-ac72891c3257.html","web")</f>
        <v>0</v>
      </c>
      <c r="G381" s="0" t="s">
        <v>94</v>
      </c>
      <c r="H381" s="0" t="s">
        <v>95</v>
      </c>
      <c r="I381" s="0" t="s">
        <v>123</v>
      </c>
      <c r="J381" s="0" t="s">
        <v>789</v>
      </c>
    </row>
    <row r="382" customFormat="false" ht="15" hidden="false" customHeight="false" outlineLevel="0" collapsed="false">
      <c r="A382" s="0" t="s">
        <v>842</v>
      </c>
      <c r="B382" s="0" t="s">
        <v>124</v>
      </c>
      <c r="C382" s="0" t="s">
        <v>115</v>
      </c>
      <c r="D382" s="0" t="s">
        <v>45</v>
      </c>
      <c r="E382" s="0" t="s">
        <v>125</v>
      </c>
      <c r="F382" s="0" t="n">
        <f aca="false">HYPERLINK("http://clipc-services.ceda.ac.uk/dreq/u/e527532a-dd83-11e5-9194-ac72891c3257.html","web")</f>
        <v>0</v>
      </c>
      <c r="G382" s="0" t="s">
        <v>94</v>
      </c>
      <c r="H382" s="0" t="s">
        <v>95</v>
      </c>
      <c r="I382" s="0" t="s">
        <v>126</v>
      </c>
      <c r="J382" s="0" t="s">
        <v>789</v>
      </c>
    </row>
    <row r="383" customFormat="false" ht="15" hidden="false" customHeight="false" outlineLevel="0" collapsed="false">
      <c r="A383" s="0" t="s">
        <v>842</v>
      </c>
      <c r="B383" s="0" t="s">
        <v>127</v>
      </c>
      <c r="C383" s="0" t="s">
        <v>115</v>
      </c>
      <c r="D383" s="0" t="s">
        <v>45</v>
      </c>
      <c r="E383" s="0" t="s">
        <v>128</v>
      </c>
      <c r="F383" s="0" t="n">
        <f aca="false">HYPERLINK("http://clipc-services.ceda.ac.uk/dreq/u/e5278b06-dd83-11e5-9194-ac72891c3257.html","web")</f>
        <v>0</v>
      </c>
      <c r="G383" s="0" t="s">
        <v>101</v>
      </c>
      <c r="H383" s="0" t="s">
        <v>16</v>
      </c>
      <c r="I383" s="0" t="s">
        <v>129</v>
      </c>
      <c r="J383" s="0" t="s">
        <v>789</v>
      </c>
    </row>
    <row r="384" customFormat="false" ht="15" hidden="false" customHeight="false" outlineLevel="0" collapsed="false">
      <c r="A384" s="0" t="s">
        <v>842</v>
      </c>
      <c r="B384" s="0" t="s">
        <v>92</v>
      </c>
      <c r="C384" s="0" t="s">
        <v>12</v>
      </c>
      <c r="D384" s="0" t="s">
        <v>45</v>
      </c>
      <c r="E384" s="0" t="s">
        <v>93</v>
      </c>
      <c r="F384" s="0" t="n">
        <f aca="false">HYPERLINK("http://clipc-services.ceda.ac.uk/dreq/u/6fc1dd9341ca569ad866695db9878618.html","web")</f>
        <v>0</v>
      </c>
      <c r="G384" s="0" t="s">
        <v>94</v>
      </c>
      <c r="H384" s="0" t="s">
        <v>95</v>
      </c>
      <c r="I384" s="0" t="s">
        <v>96</v>
      </c>
      <c r="J384" s="0" t="s">
        <v>789</v>
      </c>
    </row>
    <row r="385" customFormat="false" ht="15" hidden="false" customHeight="false" outlineLevel="0" collapsed="false">
      <c r="A385" s="0" t="s">
        <v>842</v>
      </c>
      <c r="B385" s="0" t="s">
        <v>97</v>
      </c>
      <c r="C385" s="0" t="s">
        <v>12</v>
      </c>
      <c r="D385" s="0" t="s">
        <v>45</v>
      </c>
      <c r="E385" s="0" t="s">
        <v>98</v>
      </c>
      <c r="F385" s="0" t="n">
        <f aca="false">HYPERLINK("http://clipc-services.ceda.ac.uk/dreq/u/60f0a8f8a0311f9c386e64e0b62cf3bd.html","web")</f>
        <v>0</v>
      </c>
      <c r="G385" s="0" t="s">
        <v>94</v>
      </c>
      <c r="H385" s="0" t="s">
        <v>95</v>
      </c>
      <c r="I385" s="0" t="s">
        <v>96</v>
      </c>
      <c r="J385" s="0" t="s">
        <v>789</v>
      </c>
    </row>
    <row r="386" customFormat="false" ht="15" hidden="false" customHeight="false" outlineLevel="0" collapsed="false">
      <c r="A386" s="0" t="s">
        <v>842</v>
      </c>
      <c r="B386" s="0" t="s">
        <v>99</v>
      </c>
      <c r="C386" s="0" t="s">
        <v>20</v>
      </c>
      <c r="D386" s="0" t="s">
        <v>45</v>
      </c>
      <c r="E386" s="0" t="s">
        <v>100</v>
      </c>
      <c r="F386" s="0" t="n">
        <f aca="false">HYPERLINK("http://clipc-services.ceda.ac.uk/dreq/u/e52528e8-dd83-11e5-9194-ac72891c3257.html","web")</f>
        <v>0</v>
      </c>
      <c r="G386" s="0" t="s">
        <v>101</v>
      </c>
      <c r="H386" s="0" t="s">
        <v>16</v>
      </c>
      <c r="I386" s="0" t="s">
        <v>96</v>
      </c>
      <c r="J386" s="0" t="s">
        <v>789</v>
      </c>
    </row>
    <row r="387" customFormat="false" ht="15" hidden="false" customHeight="false" outlineLevel="0" collapsed="false">
      <c r="A387" s="0" t="s">
        <v>842</v>
      </c>
      <c r="B387" s="0" t="s">
        <v>102</v>
      </c>
      <c r="C387" s="0" t="s">
        <v>12</v>
      </c>
      <c r="D387" s="0" t="s">
        <v>45</v>
      </c>
      <c r="E387" s="0" t="s">
        <v>103</v>
      </c>
      <c r="F387" s="0" t="n">
        <f aca="false">HYPERLINK("http://clipc-services.ceda.ac.uk/dreq/u/236430ceeb7aa3d23577b3a03d13f7fb.html","web")</f>
        <v>0</v>
      </c>
      <c r="G387" s="0" t="s">
        <v>101</v>
      </c>
      <c r="H387" s="0" t="s">
        <v>16</v>
      </c>
      <c r="I387" s="0" t="s">
        <v>96</v>
      </c>
      <c r="J387" s="0" t="s">
        <v>789</v>
      </c>
    </row>
    <row r="388" customFormat="false" ht="15" hidden="false" customHeight="false" outlineLevel="0" collapsed="false">
      <c r="A388" s="0" t="s">
        <v>842</v>
      </c>
      <c r="B388" s="0" t="s">
        <v>105</v>
      </c>
      <c r="C388" s="0" t="s">
        <v>12</v>
      </c>
      <c r="D388" s="0" t="s">
        <v>45</v>
      </c>
      <c r="E388" s="0" t="s">
        <v>106</v>
      </c>
      <c r="F388" s="0" t="n">
        <f aca="false">HYPERLINK("http://clipc-services.ceda.ac.uk/dreq/u/71480abb30ae62d262fcea6cfdd753cf.html","web")</f>
        <v>0</v>
      </c>
      <c r="G388" s="0" t="s">
        <v>101</v>
      </c>
      <c r="H388" s="0" t="s">
        <v>16</v>
      </c>
      <c r="I388" s="0" t="s">
        <v>107</v>
      </c>
      <c r="J388" s="0" t="s">
        <v>789</v>
      </c>
    </row>
    <row r="389" customFormat="false" ht="15" hidden="false" customHeight="false" outlineLevel="0" collapsed="false">
      <c r="A389" s="0" t="s">
        <v>842</v>
      </c>
      <c r="B389" s="0" t="s">
        <v>108</v>
      </c>
      <c r="C389" s="0" t="s">
        <v>12</v>
      </c>
      <c r="D389" s="0" t="s">
        <v>45</v>
      </c>
      <c r="E389" s="0" t="s">
        <v>109</v>
      </c>
      <c r="F389" s="0" t="n">
        <f aca="false">HYPERLINK("http://clipc-services.ceda.ac.uk/dreq/u/684d3f3543045a89ecbb0ca81ba6705f.html","web")</f>
        <v>0</v>
      </c>
      <c r="G389" s="0" t="s">
        <v>94</v>
      </c>
      <c r="H389" s="0" t="s">
        <v>95</v>
      </c>
      <c r="I389" s="0" t="s">
        <v>110</v>
      </c>
      <c r="J389" s="0" t="s">
        <v>789</v>
      </c>
    </row>
    <row r="390" customFormat="false" ht="15" hidden="false" customHeight="false" outlineLevel="0" collapsed="false">
      <c r="A390" s="0" t="s">
        <v>842</v>
      </c>
      <c r="B390" s="0" t="s">
        <v>151</v>
      </c>
      <c r="C390" s="0" t="s">
        <v>20</v>
      </c>
      <c r="D390" s="0" t="s">
        <v>45</v>
      </c>
      <c r="E390" s="0" t="s">
        <v>153</v>
      </c>
      <c r="F390" s="0" t="n">
        <f aca="false">HYPERLINK("http://clipc-services.ceda.ac.uk/dreq/u/97c037c3357f24c4e06c07123224b400.html","web")</f>
        <v>0</v>
      </c>
      <c r="G390" s="0" t="s">
        <v>101</v>
      </c>
      <c r="H390" s="0" t="s">
        <v>16</v>
      </c>
      <c r="I390" s="0" t="s">
        <v>154</v>
      </c>
      <c r="J390" s="0" t="s">
        <v>789</v>
      </c>
    </row>
    <row r="391" customFormat="false" ht="15" hidden="false" customHeight="false" outlineLevel="0" collapsed="false">
      <c r="A391" s="0" t="s">
        <v>842</v>
      </c>
      <c r="B391" s="0" t="s">
        <v>155</v>
      </c>
      <c r="C391" s="0" t="s">
        <v>20</v>
      </c>
      <c r="D391" s="0" t="s">
        <v>45</v>
      </c>
      <c r="E391" s="0" t="s">
        <v>156</v>
      </c>
      <c r="F391" s="0" t="n">
        <f aca="false">HYPERLINK("http://clipc-services.ceda.ac.uk/dreq/u/042e575e61a271e122d317ca7b39dcb4.html","web")</f>
        <v>0</v>
      </c>
      <c r="G391" s="0" t="s">
        <v>94</v>
      </c>
      <c r="H391" s="0" t="s">
        <v>95</v>
      </c>
      <c r="I391" s="0" t="s">
        <v>157</v>
      </c>
      <c r="J391" s="0" t="s">
        <v>789</v>
      </c>
    </row>
    <row r="392" customFormat="false" ht="15" hidden="false" customHeight="false" outlineLevel="0" collapsed="false">
      <c r="A392" s="0" t="s">
        <v>842</v>
      </c>
      <c r="B392" s="0" t="s">
        <v>158</v>
      </c>
      <c r="C392" s="0" t="s">
        <v>20</v>
      </c>
      <c r="D392" s="0" t="s">
        <v>45</v>
      </c>
      <c r="E392" s="0" t="s">
        <v>159</v>
      </c>
      <c r="F392" s="0" t="n">
        <f aca="false">HYPERLINK("http://clipc-services.ceda.ac.uk/dreq/u/f36046ab9a8a24ce4d7431e2defd9cf6.html","web")</f>
        <v>0</v>
      </c>
      <c r="G392" s="0" t="s">
        <v>101</v>
      </c>
      <c r="H392" s="0" t="s">
        <v>16</v>
      </c>
      <c r="I392" s="0" t="s">
        <v>160</v>
      </c>
      <c r="J392" s="0" t="s">
        <v>789</v>
      </c>
    </row>
    <row r="393" customFormat="false" ht="15" hidden="false" customHeight="false" outlineLevel="0" collapsed="false">
      <c r="A393" s="0" t="s">
        <v>842</v>
      </c>
      <c r="B393" s="0" t="s">
        <v>514</v>
      </c>
      <c r="C393" s="0" t="s">
        <v>115</v>
      </c>
      <c r="D393" s="0" t="s">
        <v>45</v>
      </c>
      <c r="E393" s="0" t="s">
        <v>516</v>
      </c>
      <c r="F393" s="0" t="n">
        <f aca="false">HYPERLINK("http://clipc-services.ceda.ac.uk/dreq/u/1333394a296e7f8af6c9bad15cb9778d.html","web")</f>
        <v>0</v>
      </c>
      <c r="G393" s="0" t="s">
        <v>101</v>
      </c>
      <c r="H393" s="0" t="s">
        <v>16</v>
      </c>
      <c r="I393" s="0" t="s">
        <v>517</v>
      </c>
      <c r="J393" s="0" t="s">
        <v>789</v>
      </c>
    </row>
    <row r="394" customFormat="false" ht="15" hidden="false" customHeight="false" outlineLevel="0" collapsed="false">
      <c r="A394" s="0" t="s">
        <v>842</v>
      </c>
      <c r="B394" s="0" t="s">
        <v>518</v>
      </c>
      <c r="C394" s="0" t="s">
        <v>115</v>
      </c>
      <c r="D394" s="0" t="s">
        <v>45</v>
      </c>
      <c r="E394" s="0" t="s">
        <v>519</v>
      </c>
      <c r="F394" s="0" t="n">
        <f aca="false">HYPERLINK("http://clipc-services.ceda.ac.uk/dreq/u/d3e6e20c91db32a83bcf3d8d8d9dafd3.html","web")</f>
        <v>0</v>
      </c>
      <c r="G394" s="0" t="s">
        <v>101</v>
      </c>
      <c r="H394" s="0" t="s">
        <v>16</v>
      </c>
      <c r="I394" s="0" t="s">
        <v>520</v>
      </c>
      <c r="J394" s="0" t="s">
        <v>789</v>
      </c>
    </row>
    <row r="395" customFormat="false" ht="15" hidden="false" customHeight="false" outlineLevel="0" collapsed="false">
      <c r="A395" s="0" t="s">
        <v>842</v>
      </c>
      <c r="B395" s="0" t="s">
        <v>521</v>
      </c>
      <c r="C395" s="0" t="s">
        <v>115</v>
      </c>
      <c r="D395" s="0" t="s">
        <v>45</v>
      </c>
      <c r="E395" s="0" t="s">
        <v>522</v>
      </c>
      <c r="F395" s="0" t="n">
        <f aca="false">HYPERLINK("http://clipc-services.ceda.ac.uk/dreq/u/80a2832b0619764647393e3815ff399b.html","web")</f>
        <v>0</v>
      </c>
      <c r="G395" s="0" t="s">
        <v>101</v>
      </c>
      <c r="H395" s="0" t="s">
        <v>16</v>
      </c>
      <c r="I395" s="0" t="s">
        <v>523</v>
      </c>
      <c r="J395" s="0" t="s">
        <v>789</v>
      </c>
    </row>
    <row r="396" customFormat="false" ht="15" hidden="false" customHeight="false" outlineLevel="0" collapsed="false">
      <c r="A396" s="0" t="s">
        <v>842</v>
      </c>
      <c r="B396" s="0" t="s">
        <v>527</v>
      </c>
      <c r="C396" s="0" t="s">
        <v>115</v>
      </c>
      <c r="D396" s="0" t="s">
        <v>45</v>
      </c>
      <c r="E396" s="0" t="s">
        <v>528</v>
      </c>
      <c r="F396" s="0" t="n">
        <f aca="false">HYPERLINK("http://clipc-services.ceda.ac.uk/dreq/u/ee10c562c1164acf3bf03955dd6fc00d.html","web")</f>
        <v>0</v>
      </c>
      <c r="G396" s="0" t="s">
        <v>101</v>
      </c>
      <c r="H396" s="0" t="s">
        <v>16</v>
      </c>
      <c r="I396" s="0" t="s">
        <v>529</v>
      </c>
      <c r="J396" s="0" t="s">
        <v>789</v>
      </c>
    </row>
    <row r="397" customFormat="false" ht="15" hidden="false" customHeight="false" outlineLevel="0" collapsed="false">
      <c r="A397" s="0" t="s">
        <v>842</v>
      </c>
      <c r="B397" s="0" t="s">
        <v>530</v>
      </c>
      <c r="C397" s="0" t="s">
        <v>115</v>
      </c>
      <c r="D397" s="0" t="s">
        <v>45</v>
      </c>
      <c r="E397" s="0" t="s">
        <v>531</v>
      </c>
      <c r="F397" s="0" t="n">
        <f aca="false">HYPERLINK("http://clipc-services.ceda.ac.uk/dreq/u/3e0c9853afc682db9a950cc5bc3c1c3a.html","web")</f>
        <v>0</v>
      </c>
      <c r="G397" s="0" t="s">
        <v>101</v>
      </c>
      <c r="H397" s="0" t="s">
        <v>16</v>
      </c>
      <c r="I397" s="0" t="s">
        <v>532</v>
      </c>
      <c r="J397" s="0" t="s">
        <v>789</v>
      </c>
    </row>
    <row r="398" customFormat="false" ht="15" hidden="false" customHeight="false" outlineLevel="0" collapsed="false">
      <c r="A398" s="0" t="s">
        <v>842</v>
      </c>
      <c r="B398" s="0" t="s">
        <v>533</v>
      </c>
      <c r="C398" s="0" t="s">
        <v>115</v>
      </c>
      <c r="D398" s="0" t="s">
        <v>45</v>
      </c>
      <c r="E398" s="0" t="s">
        <v>131</v>
      </c>
      <c r="F398" s="0" t="n">
        <f aca="false">HYPERLINK("http://clipc-services.ceda.ac.uk/dreq/u/0f19e65613afd83f8d9b888d2067ced4.html","web")</f>
        <v>0</v>
      </c>
      <c r="G398" s="0" t="s">
        <v>94</v>
      </c>
      <c r="H398" s="0" t="s">
        <v>95</v>
      </c>
      <c r="I398" s="0" t="s">
        <v>534</v>
      </c>
      <c r="J398" s="0" t="s">
        <v>789</v>
      </c>
    </row>
    <row r="399" customFormat="false" ht="15" hidden="false" customHeight="false" outlineLevel="0" collapsed="false">
      <c r="A399" s="0" t="s">
        <v>842</v>
      </c>
      <c r="B399" s="0" t="s">
        <v>535</v>
      </c>
      <c r="C399" s="0" t="s">
        <v>115</v>
      </c>
      <c r="D399" s="0" t="s">
        <v>45</v>
      </c>
      <c r="E399" s="0" t="s">
        <v>536</v>
      </c>
      <c r="F399" s="0" t="n">
        <f aca="false">HYPERLINK("http://clipc-services.ceda.ac.uk/dreq/u/6c19638a0652fcbc6c6ff8455c536445.html","web")</f>
        <v>0</v>
      </c>
      <c r="G399" s="0" t="s">
        <v>94</v>
      </c>
      <c r="H399" s="0" t="s">
        <v>95</v>
      </c>
      <c r="I399" s="0" t="s">
        <v>537</v>
      </c>
      <c r="J399" s="0" t="s">
        <v>789</v>
      </c>
    </row>
    <row r="400" customFormat="false" ht="15" hidden="false" customHeight="false" outlineLevel="0" collapsed="false">
      <c r="A400" s="0" t="s">
        <v>842</v>
      </c>
      <c r="B400" s="0" t="s">
        <v>538</v>
      </c>
      <c r="C400" s="0" t="s">
        <v>115</v>
      </c>
      <c r="D400" s="0" t="s">
        <v>45</v>
      </c>
      <c r="E400" s="0" t="s">
        <v>539</v>
      </c>
      <c r="F400" s="0" t="n">
        <f aca="false">HYPERLINK("http://clipc-services.ceda.ac.uk/dreq/u/2f046f30404d6cfcd5286a2a7f12d8fa.html","web")</f>
        <v>0</v>
      </c>
      <c r="G400" s="0" t="s">
        <v>94</v>
      </c>
      <c r="H400" s="0" t="s">
        <v>95</v>
      </c>
      <c r="I400" s="0" t="s">
        <v>540</v>
      </c>
      <c r="J400" s="0" t="s">
        <v>789</v>
      </c>
    </row>
    <row r="401" customFormat="false" ht="15" hidden="false" customHeight="false" outlineLevel="0" collapsed="false">
      <c r="A401" s="0" t="s">
        <v>842</v>
      </c>
      <c r="B401" s="0" t="s">
        <v>543</v>
      </c>
      <c r="C401" s="0" t="s">
        <v>115</v>
      </c>
      <c r="D401" s="0" t="s">
        <v>45</v>
      </c>
      <c r="E401" s="0" t="s">
        <v>544</v>
      </c>
      <c r="F401" s="0" t="n">
        <f aca="false">HYPERLINK("http://clipc-services.ceda.ac.uk/dreq/u/18060c6741a6b65c90435d19adfbbc98.html","web")</f>
        <v>0</v>
      </c>
      <c r="G401" s="0" t="s">
        <v>94</v>
      </c>
      <c r="H401" s="0" t="s">
        <v>95</v>
      </c>
      <c r="I401" s="0" t="s">
        <v>545</v>
      </c>
      <c r="J401" s="0" t="s">
        <v>789</v>
      </c>
    </row>
    <row r="402" customFormat="false" ht="15" hidden="false" customHeight="false" outlineLevel="0" collapsed="false">
      <c r="A402" s="0" t="s">
        <v>842</v>
      </c>
      <c r="B402" s="0" t="s">
        <v>688</v>
      </c>
      <c r="C402" s="0" t="s">
        <v>20</v>
      </c>
      <c r="D402" s="0" t="s">
        <v>790</v>
      </c>
      <c r="E402" s="0" t="s">
        <v>690</v>
      </c>
      <c r="F402" s="0" t="n">
        <f aca="false">HYPERLINK("http://clipc-services.ceda.ac.uk/dreq/u/a06b8e83250b870d9f39dc1f6534efcb.html","web")</f>
        <v>0</v>
      </c>
      <c r="G402" s="0" t="s">
        <v>691</v>
      </c>
      <c r="H402" s="0" t="s">
        <v>184</v>
      </c>
      <c r="I402" s="0" t="s">
        <v>692</v>
      </c>
      <c r="J402" s="0" t="s">
        <v>169</v>
      </c>
    </row>
    <row r="403" customFormat="false" ht="15" hidden="false" customHeight="false" outlineLevel="0" collapsed="false">
      <c r="A403" s="0" t="s">
        <v>842</v>
      </c>
      <c r="B403" s="0" t="s">
        <v>583</v>
      </c>
      <c r="C403" s="0" t="s">
        <v>20</v>
      </c>
      <c r="D403" s="0" t="s">
        <v>346</v>
      </c>
      <c r="E403" s="0" t="s">
        <v>584</v>
      </c>
      <c r="F403" s="0" t="n">
        <f aca="false">HYPERLINK("http://clipc-services.ceda.ac.uk/dreq/u/59170a02-9e49-11e5-803c-0d0b866b59f3.html","web")</f>
        <v>0</v>
      </c>
      <c r="G403" s="0" t="s">
        <v>194</v>
      </c>
      <c r="H403" s="0" t="s">
        <v>173</v>
      </c>
      <c r="I403" s="0" t="s">
        <v>584</v>
      </c>
      <c r="J403" s="0" t="s">
        <v>687</v>
      </c>
    </row>
    <row r="404" customFormat="false" ht="15" hidden="false" customHeight="false" outlineLevel="0" collapsed="false">
      <c r="A404" s="0" t="s">
        <v>842</v>
      </c>
      <c r="B404" s="0" t="s">
        <v>585</v>
      </c>
      <c r="C404" s="0" t="s">
        <v>20</v>
      </c>
      <c r="D404" s="0" t="s">
        <v>346</v>
      </c>
      <c r="E404" s="0" t="s">
        <v>586</v>
      </c>
      <c r="F404" s="0" t="n">
        <f aca="false">HYPERLINK("http://clipc-services.ceda.ac.uk/dreq/u/5913d86e-9e49-11e5-803c-0d0b866b59f3.html","web")</f>
        <v>0</v>
      </c>
      <c r="G404" s="0" t="s">
        <v>194</v>
      </c>
      <c r="H404" s="0" t="s">
        <v>173</v>
      </c>
      <c r="I404" s="0" t="s">
        <v>586</v>
      </c>
      <c r="J404" s="0" t="s">
        <v>687</v>
      </c>
    </row>
    <row r="405" customFormat="false" ht="15" hidden="false" customHeight="false" outlineLevel="0" collapsed="false">
      <c r="A405" s="0" t="s">
        <v>842</v>
      </c>
      <c r="B405" s="0" t="s">
        <v>587</v>
      </c>
      <c r="C405" s="0" t="s">
        <v>20</v>
      </c>
      <c r="D405" s="0" t="s">
        <v>346</v>
      </c>
      <c r="E405" s="0" t="s">
        <v>588</v>
      </c>
      <c r="F405" s="0" t="n">
        <f aca="false">HYPERLINK("http://clipc-services.ceda.ac.uk/dreq/u/5913d602-9e49-11e5-803c-0d0b866b59f3.html","web")</f>
        <v>0</v>
      </c>
      <c r="G405" s="0" t="s">
        <v>194</v>
      </c>
      <c r="H405" s="0" t="s">
        <v>173</v>
      </c>
      <c r="J405" s="0" t="s">
        <v>687</v>
      </c>
    </row>
    <row r="406" customFormat="false" ht="15" hidden="false" customHeight="false" outlineLevel="0" collapsed="false">
      <c r="A406" s="0" t="s">
        <v>842</v>
      </c>
      <c r="B406" s="0" t="s">
        <v>213</v>
      </c>
      <c r="C406" s="0" t="s">
        <v>20</v>
      </c>
      <c r="D406" s="0" t="s">
        <v>597</v>
      </c>
      <c r="E406" s="0" t="s">
        <v>214</v>
      </c>
      <c r="F406" s="0" t="n">
        <f aca="false">HYPERLINK("http://clipc-services.ceda.ac.uk/dreq/u/590e85a8-9e49-11e5-803c-0d0b866b59f3.html","web")</f>
        <v>0</v>
      </c>
      <c r="G406" s="0" t="s">
        <v>211</v>
      </c>
      <c r="H406" s="0" t="s">
        <v>24</v>
      </c>
      <c r="I406" s="0" t="s">
        <v>215</v>
      </c>
      <c r="J406" s="0" t="s">
        <v>985</v>
      </c>
    </row>
    <row r="407" customFormat="false" ht="15" hidden="false" customHeight="false" outlineLevel="0" collapsed="false">
      <c r="A407" s="0" t="s">
        <v>842</v>
      </c>
      <c r="B407" s="0" t="s">
        <v>986</v>
      </c>
      <c r="C407" s="0" t="s">
        <v>20</v>
      </c>
      <c r="D407" s="0" t="s">
        <v>597</v>
      </c>
      <c r="E407" s="0" t="s">
        <v>987</v>
      </c>
      <c r="F407" s="0" t="n">
        <f aca="false">HYPERLINK("http://clipc-services.ceda.ac.uk/dreq/u/5d432c16b179052a4e94c63af356c67c.html","web")</f>
        <v>0</v>
      </c>
      <c r="G407" s="0" t="s">
        <v>194</v>
      </c>
      <c r="H407" s="0" t="s">
        <v>173</v>
      </c>
      <c r="I407" s="0" t="s">
        <v>988</v>
      </c>
      <c r="J407" s="0" t="s">
        <v>557</v>
      </c>
    </row>
    <row r="408" customFormat="false" ht="15" hidden="false" customHeight="false" outlineLevel="0" collapsed="false">
      <c r="A408" s="0" t="s">
        <v>842</v>
      </c>
      <c r="B408" s="0" t="s">
        <v>614</v>
      </c>
      <c r="C408" s="0" t="s">
        <v>20</v>
      </c>
      <c r="D408" s="0" t="s">
        <v>152</v>
      </c>
      <c r="E408" s="0" t="s">
        <v>615</v>
      </c>
      <c r="F408" s="0" t="n">
        <f aca="false">HYPERLINK("http://clipc-services.ceda.ac.uk/dreq/u/7553003ead183dd3276108b6311a337f.html","web")</f>
        <v>0</v>
      </c>
      <c r="G408" s="0" t="s">
        <v>194</v>
      </c>
      <c r="H408" s="0" t="s">
        <v>173</v>
      </c>
      <c r="I408" s="0" t="s">
        <v>616</v>
      </c>
      <c r="J408" s="0" t="s">
        <v>617</v>
      </c>
    </row>
    <row r="409" customFormat="false" ht="15" hidden="false" customHeight="false" outlineLevel="0" collapsed="false">
      <c r="A409" s="0" t="s">
        <v>842</v>
      </c>
      <c r="B409" s="0" t="s">
        <v>209</v>
      </c>
      <c r="C409" s="0" t="s">
        <v>20</v>
      </c>
      <c r="D409" s="0" t="s">
        <v>597</v>
      </c>
      <c r="E409" s="0" t="s">
        <v>210</v>
      </c>
      <c r="F409" s="0" t="n">
        <f aca="false">HYPERLINK("http://clipc-services.ceda.ac.uk/dreq/u/590ed5a8-9e49-11e5-803c-0d0b866b59f3.html","web")</f>
        <v>0</v>
      </c>
      <c r="G409" s="0" t="s">
        <v>211</v>
      </c>
      <c r="H409" s="0" t="s">
        <v>24</v>
      </c>
      <c r="I409" s="0" t="s">
        <v>212</v>
      </c>
      <c r="J409" s="0" t="s">
        <v>985</v>
      </c>
    </row>
    <row r="410" customFormat="false" ht="15" hidden="false" customHeight="false" outlineLevel="0" collapsed="false">
      <c r="A410" s="0" t="s">
        <v>842</v>
      </c>
      <c r="B410" s="0" t="s">
        <v>308</v>
      </c>
      <c r="C410" s="0" t="s">
        <v>20</v>
      </c>
      <c r="D410" s="0" t="s">
        <v>152</v>
      </c>
      <c r="E410" s="0" t="s">
        <v>309</v>
      </c>
      <c r="F410" s="0" t="n">
        <f aca="false">HYPERLINK("http://clipc-services.ceda.ac.uk/dreq/u/f27656eeae247192e82aa1032c911399.html","web")</f>
        <v>0</v>
      </c>
      <c r="G410" s="0" t="s">
        <v>310</v>
      </c>
      <c r="H410" s="0" t="s">
        <v>311</v>
      </c>
      <c r="J410" s="0" t="s">
        <v>989</v>
      </c>
    </row>
    <row r="411" customFormat="false" ht="15" hidden="false" customHeight="false" outlineLevel="0" collapsed="false">
      <c r="A411" s="0" t="s">
        <v>842</v>
      </c>
      <c r="B411" s="0" t="s">
        <v>791</v>
      </c>
      <c r="C411" s="0" t="s">
        <v>20</v>
      </c>
      <c r="D411" s="0" t="s">
        <v>152</v>
      </c>
      <c r="E411" s="0" t="s">
        <v>792</v>
      </c>
      <c r="F411" s="0" t="n">
        <f aca="false">HYPERLINK("http://clipc-services.ceda.ac.uk/dreq/u/590ef7b8-9e49-11e5-803c-0d0b866b59f3.html","web")</f>
        <v>0</v>
      </c>
      <c r="G411" s="0" t="s">
        <v>793</v>
      </c>
      <c r="H411" s="0" t="s">
        <v>24</v>
      </c>
      <c r="I411" s="0" t="s">
        <v>794</v>
      </c>
      <c r="J411" s="0" t="s">
        <v>590</v>
      </c>
    </row>
    <row r="412" customFormat="false" ht="15" hidden="false" customHeight="false" outlineLevel="0" collapsed="false">
      <c r="A412" s="0" t="s">
        <v>842</v>
      </c>
      <c r="B412" s="0" t="s">
        <v>990</v>
      </c>
      <c r="C412" s="0" t="s">
        <v>12</v>
      </c>
      <c r="D412" s="0" t="s">
        <v>152</v>
      </c>
      <c r="E412" s="0" t="s">
        <v>991</v>
      </c>
      <c r="F412" s="0" t="n">
        <f aca="false">HYPERLINK("http://clipc-services.ceda.ac.uk/dreq/u/f3532407075647328e7da9c24f00193d.html","web")</f>
        <v>0</v>
      </c>
      <c r="G412" s="0" t="s">
        <v>992</v>
      </c>
      <c r="H412" s="0" t="s">
        <v>16</v>
      </c>
      <c r="I412" s="0" t="s">
        <v>993</v>
      </c>
      <c r="J412" s="0" t="s">
        <v>994</v>
      </c>
    </row>
    <row r="413" customFormat="false" ht="15" hidden="false" customHeight="false" outlineLevel="0" collapsed="false">
      <c r="A413" s="0" t="s">
        <v>842</v>
      </c>
      <c r="B413" s="0" t="s">
        <v>995</v>
      </c>
      <c r="C413" s="0" t="s">
        <v>20</v>
      </c>
      <c r="D413" s="0" t="s">
        <v>996</v>
      </c>
      <c r="E413" s="0" t="s">
        <v>997</v>
      </c>
      <c r="F413" s="0" t="n">
        <f aca="false">HYPERLINK("http://clipc-services.ceda.ac.uk/dreq/u/590f1a90-9e49-11e5-803c-0d0b866b59f3.html","web")</f>
        <v>0</v>
      </c>
      <c r="G413" s="0" t="s">
        <v>998</v>
      </c>
      <c r="H413" s="0" t="s">
        <v>999</v>
      </c>
      <c r="I413" s="0" t="s">
        <v>1000</v>
      </c>
      <c r="J413" s="0" t="s">
        <v>1001</v>
      </c>
    </row>
    <row r="414" customFormat="false" ht="15" hidden="false" customHeight="false" outlineLevel="0" collapsed="false">
      <c r="A414" s="0" t="s">
        <v>842</v>
      </c>
      <c r="B414" s="0" t="s">
        <v>1002</v>
      </c>
      <c r="C414" s="0" t="s">
        <v>20</v>
      </c>
      <c r="D414" s="0" t="s">
        <v>1003</v>
      </c>
      <c r="E414" s="0" t="s">
        <v>1004</v>
      </c>
      <c r="F414" s="0" t="n">
        <f aca="false">HYPERLINK("http://clipc-services.ceda.ac.uk/dreq/u/590e417e-9e49-11e5-803c-0d0b866b59f3.html","web")</f>
        <v>0</v>
      </c>
      <c r="G414" s="0" t="s">
        <v>998</v>
      </c>
      <c r="H414" s="0" t="s">
        <v>999</v>
      </c>
      <c r="I414" s="0" t="s">
        <v>1005</v>
      </c>
      <c r="J414" s="0" t="s">
        <v>1001</v>
      </c>
    </row>
    <row r="415" customFormat="false" ht="15" hidden="false" customHeight="false" outlineLevel="0" collapsed="false">
      <c r="A415" s="0" t="s">
        <v>842</v>
      </c>
      <c r="B415" s="0" t="s">
        <v>1006</v>
      </c>
      <c r="C415" s="0" t="s">
        <v>20</v>
      </c>
      <c r="D415" s="0" t="s">
        <v>996</v>
      </c>
      <c r="E415" s="0" t="s">
        <v>1007</v>
      </c>
      <c r="F415" s="0" t="n">
        <f aca="false">HYPERLINK("http://clipc-services.ceda.ac.uk/dreq/u/59178a72-9e49-11e5-803c-0d0b866b59f3.html","web")</f>
        <v>0</v>
      </c>
      <c r="G415" s="0" t="s">
        <v>998</v>
      </c>
      <c r="H415" s="0" t="s">
        <v>999</v>
      </c>
      <c r="I415" s="0" t="s">
        <v>1008</v>
      </c>
      <c r="J415" s="0" t="s">
        <v>1001</v>
      </c>
    </row>
    <row r="416" customFormat="false" ht="15" hidden="false" customHeight="false" outlineLevel="0" collapsed="false">
      <c r="A416" s="0" t="s">
        <v>842</v>
      </c>
      <c r="B416" s="0" t="s">
        <v>1009</v>
      </c>
      <c r="C416" s="0" t="s">
        <v>20</v>
      </c>
      <c r="D416" s="0" t="s">
        <v>1003</v>
      </c>
      <c r="E416" s="0" t="s">
        <v>1010</v>
      </c>
      <c r="F416" s="0" t="n">
        <f aca="false">HYPERLINK("http://clipc-services.ceda.ac.uk/dreq/u/590ee804-9e49-11e5-803c-0d0b866b59f3.html","web")</f>
        <v>0</v>
      </c>
      <c r="G416" s="0" t="s">
        <v>998</v>
      </c>
      <c r="H416" s="0" t="s">
        <v>999</v>
      </c>
      <c r="I416" s="0" t="s">
        <v>1011</v>
      </c>
      <c r="J416" s="0" t="s">
        <v>1001</v>
      </c>
    </row>
    <row r="417" customFormat="false" ht="15" hidden="false" customHeight="false" outlineLevel="0" collapsed="false">
      <c r="A417" s="0" t="s">
        <v>842</v>
      </c>
      <c r="B417" s="0" t="s">
        <v>1012</v>
      </c>
      <c r="C417" s="0" t="s">
        <v>20</v>
      </c>
      <c r="D417" s="0" t="s">
        <v>1003</v>
      </c>
      <c r="E417" s="0" t="s">
        <v>1013</v>
      </c>
      <c r="F417" s="0" t="n">
        <f aca="false">HYPERLINK("http://clipc-services.ceda.ac.uk/dreq/u/590e590c-9e49-11e5-803c-0d0b866b59f3.html","web")</f>
        <v>0</v>
      </c>
      <c r="G417" s="0" t="s">
        <v>998</v>
      </c>
      <c r="H417" s="0" t="s">
        <v>999</v>
      </c>
      <c r="I417" s="0" t="s">
        <v>1014</v>
      </c>
      <c r="J417" s="0" t="s">
        <v>1001</v>
      </c>
    </row>
    <row r="418" customFormat="false" ht="15" hidden="false" customHeight="false" outlineLevel="0" collapsed="false">
      <c r="A418" s="0" t="s">
        <v>842</v>
      </c>
      <c r="B418" s="0" t="s">
        <v>1015</v>
      </c>
      <c r="C418" s="0" t="s">
        <v>20</v>
      </c>
      <c r="D418" s="0" t="s">
        <v>1003</v>
      </c>
      <c r="E418" s="0" t="s">
        <v>1016</v>
      </c>
      <c r="F418" s="0" t="n">
        <f aca="false">HYPERLINK("http://clipc-services.ceda.ac.uk/dreq/u/5912e6d4-9e49-11e5-803c-0d0b866b59f3.html","web")</f>
        <v>0</v>
      </c>
      <c r="G418" s="0" t="s">
        <v>998</v>
      </c>
      <c r="H418" s="0" t="s">
        <v>999</v>
      </c>
      <c r="I418" s="0" t="s">
        <v>1017</v>
      </c>
      <c r="J418" s="0" t="s">
        <v>1001</v>
      </c>
    </row>
    <row r="419" customFormat="false" ht="15" hidden="false" customHeight="false" outlineLevel="0" collapsed="false">
      <c r="A419" s="0" t="s">
        <v>842</v>
      </c>
      <c r="B419" s="0" t="s">
        <v>1018</v>
      </c>
      <c r="C419" s="0" t="s">
        <v>20</v>
      </c>
      <c r="D419" s="0" t="s">
        <v>1003</v>
      </c>
      <c r="E419" s="0" t="s">
        <v>1019</v>
      </c>
      <c r="F419" s="0" t="n">
        <f aca="false">HYPERLINK("http://clipc-services.ceda.ac.uk/dreq/u/5912c3de-9e49-11e5-803c-0d0b866b59f3.html","web")</f>
        <v>0</v>
      </c>
      <c r="G419" s="0" t="s">
        <v>998</v>
      </c>
      <c r="H419" s="0" t="s">
        <v>999</v>
      </c>
      <c r="I419" s="0" t="s">
        <v>1020</v>
      </c>
      <c r="J419" s="0" t="s">
        <v>1001</v>
      </c>
    </row>
    <row r="420" customFormat="false" ht="15" hidden="false" customHeight="false" outlineLevel="0" collapsed="false">
      <c r="A420" s="0" t="s">
        <v>842</v>
      </c>
      <c r="B420" s="0" t="s">
        <v>1021</v>
      </c>
      <c r="C420" s="0" t="s">
        <v>20</v>
      </c>
      <c r="D420" s="0" t="s">
        <v>1003</v>
      </c>
      <c r="E420" s="0" t="s">
        <v>1022</v>
      </c>
      <c r="F420" s="0" t="n">
        <f aca="false">HYPERLINK("http://clipc-services.ceda.ac.uk/dreq/u/590e379c-9e49-11e5-803c-0d0b866b59f3.html","web")</f>
        <v>0</v>
      </c>
      <c r="G420" s="0" t="s">
        <v>998</v>
      </c>
      <c r="H420" s="0" t="s">
        <v>999</v>
      </c>
      <c r="J420" s="0" t="s">
        <v>1001</v>
      </c>
    </row>
    <row r="421" customFormat="false" ht="15" hidden="false" customHeight="false" outlineLevel="0" collapsed="false">
      <c r="A421" s="0" t="s">
        <v>842</v>
      </c>
      <c r="B421" s="0" t="s">
        <v>1023</v>
      </c>
      <c r="C421" s="0" t="s">
        <v>20</v>
      </c>
      <c r="D421" s="0" t="s">
        <v>1003</v>
      </c>
      <c r="E421" s="0" t="s">
        <v>1024</v>
      </c>
      <c r="F421" s="0" t="n">
        <f aca="false">HYPERLINK("http://clipc-services.ceda.ac.uk/dreq/u/3f30557c-b89b-11e6-be04-ac72891c3257.html","web")</f>
        <v>0</v>
      </c>
      <c r="G421" s="0" t="s">
        <v>998</v>
      </c>
      <c r="H421" s="0" t="s">
        <v>999</v>
      </c>
      <c r="I421" s="0" t="s">
        <v>1025</v>
      </c>
      <c r="J421" s="0" t="s">
        <v>1001</v>
      </c>
    </row>
    <row r="422" customFormat="false" ht="15" hidden="false" customHeight="false" outlineLevel="0" collapsed="false">
      <c r="A422" s="0" t="s">
        <v>842</v>
      </c>
      <c r="B422" s="0" t="s">
        <v>1026</v>
      </c>
      <c r="C422" s="0" t="s">
        <v>20</v>
      </c>
      <c r="D422" s="0" t="s">
        <v>152</v>
      </c>
      <c r="E422" s="0" t="s">
        <v>1027</v>
      </c>
      <c r="F422" s="0" t="n">
        <f aca="false">HYPERLINK("http://clipc-services.ceda.ac.uk/dreq/u/590e4408-9e49-11e5-803c-0d0b866b59f3.html","web")</f>
        <v>0</v>
      </c>
      <c r="G422" s="0" t="s">
        <v>817</v>
      </c>
      <c r="H422" s="0" t="s">
        <v>24</v>
      </c>
      <c r="I422" s="0" t="s">
        <v>1028</v>
      </c>
      <c r="J422" s="0" t="s">
        <v>1029</v>
      </c>
    </row>
    <row r="423" customFormat="false" ht="15" hidden="false" customHeight="false" outlineLevel="0" collapsed="false">
      <c r="A423" s="0" t="s">
        <v>842</v>
      </c>
      <c r="B423" s="0" t="s">
        <v>1030</v>
      </c>
      <c r="C423" s="0" t="s">
        <v>20</v>
      </c>
      <c r="D423" s="0" t="s">
        <v>152</v>
      </c>
      <c r="E423" s="0" t="s">
        <v>1031</v>
      </c>
      <c r="F423" s="0" t="n">
        <f aca="false">HYPERLINK("http://clipc-services.ceda.ac.uk/dreq/u/591763b2-9e49-11e5-803c-0d0b866b59f3.html","web")</f>
        <v>0</v>
      </c>
      <c r="G423" s="0" t="s">
        <v>817</v>
      </c>
      <c r="H423" s="0" t="s">
        <v>24</v>
      </c>
      <c r="I423" s="0" t="s">
        <v>1028</v>
      </c>
      <c r="J423" s="0" t="s">
        <v>1029</v>
      </c>
    </row>
    <row r="424" customFormat="false" ht="15" hidden="false" customHeight="false" outlineLevel="0" collapsed="false">
      <c r="A424" s="0" t="s">
        <v>842</v>
      </c>
      <c r="B424" s="0" t="s">
        <v>1032</v>
      </c>
      <c r="C424" s="0" t="s">
        <v>20</v>
      </c>
      <c r="D424" s="0" t="s">
        <v>152</v>
      </c>
      <c r="E424" s="0" t="s">
        <v>1033</v>
      </c>
      <c r="F424" s="0" t="n">
        <f aca="false">HYPERLINK("http://clipc-services.ceda.ac.uk/dreq/u/590e105a-9e49-11e5-803c-0d0b866b59f3.html","web")</f>
        <v>0</v>
      </c>
      <c r="G424" s="0" t="s">
        <v>817</v>
      </c>
      <c r="H424" s="0" t="s">
        <v>24</v>
      </c>
      <c r="I424" s="0" t="s">
        <v>1028</v>
      </c>
      <c r="J424" s="0" t="s">
        <v>1029</v>
      </c>
    </row>
    <row r="425" customFormat="false" ht="15" hidden="false" customHeight="false" outlineLevel="0" collapsed="false">
      <c r="A425" s="0" t="s">
        <v>842</v>
      </c>
      <c r="B425" s="0" t="s">
        <v>1034</v>
      </c>
      <c r="C425" s="0" t="s">
        <v>20</v>
      </c>
      <c r="D425" s="0" t="s">
        <v>152</v>
      </c>
      <c r="E425" s="0" t="s">
        <v>1035</v>
      </c>
      <c r="F425" s="0" t="n">
        <f aca="false">HYPERLINK("http://clipc-services.ceda.ac.uk/dreq/u/5912fb88-9e49-11e5-803c-0d0b866b59f3.html","web")</f>
        <v>0</v>
      </c>
      <c r="G425" s="0" t="s">
        <v>817</v>
      </c>
      <c r="H425" s="0" t="s">
        <v>24</v>
      </c>
      <c r="I425" s="0" t="s">
        <v>1028</v>
      </c>
      <c r="J425" s="0" t="s">
        <v>1029</v>
      </c>
    </row>
    <row r="426" customFormat="false" ht="15" hidden="false" customHeight="false" outlineLevel="0" collapsed="false">
      <c r="A426" s="0" t="s">
        <v>842</v>
      </c>
      <c r="B426" s="0" t="s">
        <v>1036</v>
      </c>
      <c r="C426" s="0" t="s">
        <v>20</v>
      </c>
      <c r="D426" s="0" t="s">
        <v>152</v>
      </c>
      <c r="E426" s="0" t="s">
        <v>1037</v>
      </c>
      <c r="F426" s="0" t="n">
        <f aca="false">HYPERLINK("http://clipc-services.ceda.ac.uk/dreq/u/590f10b8-9e49-11e5-803c-0d0b866b59f3.html","web")</f>
        <v>0</v>
      </c>
      <c r="G426" s="0" t="s">
        <v>817</v>
      </c>
      <c r="H426" s="0" t="s">
        <v>24</v>
      </c>
      <c r="I426" s="0" t="s">
        <v>1028</v>
      </c>
      <c r="J426" s="0" t="s">
        <v>1029</v>
      </c>
    </row>
    <row r="427" customFormat="false" ht="15" hidden="false" customHeight="false" outlineLevel="0" collapsed="false">
      <c r="A427" s="0" t="s">
        <v>842</v>
      </c>
      <c r="B427" s="0" t="s">
        <v>1038</v>
      </c>
      <c r="C427" s="0" t="s">
        <v>20</v>
      </c>
      <c r="D427" s="0" t="s">
        <v>152</v>
      </c>
      <c r="E427" s="0" t="s">
        <v>1039</v>
      </c>
      <c r="F427" s="0" t="n">
        <f aca="false">HYPERLINK("http://clipc-services.ceda.ac.uk/dreq/u/591401a4-9e49-11e5-803c-0d0b866b59f3.html","web")</f>
        <v>0</v>
      </c>
      <c r="G427" s="0" t="s">
        <v>817</v>
      </c>
      <c r="H427" s="0" t="s">
        <v>24</v>
      </c>
      <c r="I427" s="0" t="s">
        <v>1028</v>
      </c>
      <c r="J427" s="0" t="s">
        <v>1029</v>
      </c>
    </row>
    <row r="428" customFormat="false" ht="15" hidden="false" customHeight="false" outlineLevel="0" collapsed="false">
      <c r="A428" s="0" t="s">
        <v>842</v>
      </c>
      <c r="B428" s="0" t="s">
        <v>1040</v>
      </c>
      <c r="C428" s="0" t="s">
        <v>20</v>
      </c>
      <c r="D428" s="0" t="s">
        <v>346</v>
      </c>
      <c r="E428" s="0" t="s">
        <v>1041</v>
      </c>
      <c r="F428" s="0" t="n">
        <f aca="false">HYPERLINK("http://clipc-services.ceda.ac.uk/dreq/u/590d4440-9e49-11e5-803c-0d0b866b59f3.html","web")</f>
        <v>0</v>
      </c>
      <c r="G428" s="0" t="s">
        <v>817</v>
      </c>
      <c r="H428" s="0" t="s">
        <v>24</v>
      </c>
      <c r="I428" s="0" t="s">
        <v>1028</v>
      </c>
      <c r="J428" s="0" t="s">
        <v>1029</v>
      </c>
    </row>
    <row r="429" customFormat="false" ht="15" hidden="false" customHeight="false" outlineLevel="0" collapsed="false">
      <c r="A429" s="0" t="s">
        <v>842</v>
      </c>
      <c r="B429" s="0" t="s">
        <v>1042</v>
      </c>
      <c r="C429" s="0" t="s">
        <v>20</v>
      </c>
      <c r="D429" s="0" t="s">
        <v>346</v>
      </c>
      <c r="E429" s="0" t="s">
        <v>1043</v>
      </c>
      <c r="F429" s="0" t="n">
        <f aca="false">HYPERLINK("http://clipc-services.ceda.ac.uk/dreq/u/590f7e72-9e49-11e5-803c-0d0b866b59f3.html","web")</f>
        <v>0</v>
      </c>
      <c r="G429" s="0" t="s">
        <v>817</v>
      </c>
      <c r="H429" s="0" t="s">
        <v>24</v>
      </c>
      <c r="I429" s="0" t="s">
        <v>1028</v>
      </c>
      <c r="J429" s="0" t="s">
        <v>1029</v>
      </c>
    </row>
    <row r="430" customFormat="false" ht="15" hidden="false" customHeight="false" outlineLevel="0" collapsed="false">
      <c r="A430" s="0" t="s">
        <v>842</v>
      </c>
      <c r="B430" s="0" t="s">
        <v>1044</v>
      </c>
      <c r="C430" s="0" t="s">
        <v>20</v>
      </c>
      <c r="D430" s="0" t="s">
        <v>346</v>
      </c>
      <c r="E430" s="0" t="s">
        <v>1045</v>
      </c>
      <c r="F430" s="0" t="n">
        <f aca="false">HYPERLINK("http://clipc-services.ceda.ac.uk/dreq/u/5914fd52-9e49-11e5-803c-0d0b866b59f3.html","web")</f>
        <v>0</v>
      </c>
      <c r="G430" s="0" t="s">
        <v>817</v>
      </c>
      <c r="H430" s="0" t="s">
        <v>24</v>
      </c>
      <c r="I430" s="0" t="s">
        <v>1028</v>
      </c>
      <c r="J430" s="0" t="s">
        <v>1029</v>
      </c>
    </row>
    <row r="431" customFormat="false" ht="15" hidden="false" customHeight="false" outlineLevel="0" collapsed="false">
      <c r="A431" s="0" t="s">
        <v>842</v>
      </c>
      <c r="B431" s="0" t="s">
        <v>11</v>
      </c>
      <c r="C431" s="0" t="s">
        <v>12</v>
      </c>
      <c r="D431" s="0" t="s">
        <v>152</v>
      </c>
      <c r="E431" s="0" t="s">
        <v>14</v>
      </c>
      <c r="F431" s="0" t="n">
        <f aca="false">HYPERLINK("http://clipc-services.ceda.ac.uk/dreq/u/59170cbe-9e49-11e5-803c-0d0b866b59f3.html","web")</f>
        <v>0</v>
      </c>
      <c r="G431" s="0" t="s">
        <v>15</v>
      </c>
      <c r="H431" s="0" t="s">
        <v>16</v>
      </c>
      <c r="I431" s="0" t="s">
        <v>17</v>
      </c>
      <c r="J431" s="0" t="s">
        <v>1046</v>
      </c>
    </row>
    <row r="432" customFormat="false" ht="15" hidden="false" customHeight="false" outlineLevel="0" collapsed="false">
      <c r="A432" s="0" t="s">
        <v>842</v>
      </c>
      <c r="B432" s="0" t="s">
        <v>1047</v>
      </c>
      <c r="C432" s="0" t="s">
        <v>12</v>
      </c>
      <c r="D432" s="0" t="s">
        <v>1048</v>
      </c>
      <c r="E432" s="0" t="s">
        <v>1049</v>
      </c>
      <c r="F432" s="0" t="n">
        <f aca="false">HYPERLINK("http://clipc-services.ceda.ac.uk/dreq/u/59147ddc-9e49-11e5-803c-0d0b866b59f3.html","web")</f>
        <v>0</v>
      </c>
      <c r="G432" s="0" t="s">
        <v>977</v>
      </c>
      <c r="H432" s="0" t="s">
        <v>16</v>
      </c>
      <c r="I432" s="0" t="s">
        <v>1050</v>
      </c>
      <c r="J432" s="0" t="s">
        <v>856</v>
      </c>
    </row>
    <row r="433" customFormat="false" ht="15" hidden="false" customHeight="false" outlineLevel="0" collapsed="false">
      <c r="A433" s="0" t="s">
        <v>842</v>
      </c>
      <c r="B433" s="0" t="s">
        <v>1051</v>
      </c>
      <c r="C433" s="0" t="s">
        <v>12</v>
      </c>
      <c r="D433" s="0" t="s">
        <v>152</v>
      </c>
      <c r="E433" s="0" t="s">
        <v>1052</v>
      </c>
      <c r="F433" s="0" t="n">
        <f aca="false">HYPERLINK("http://clipc-services.ceda.ac.uk/dreq/u/590f885e-9e49-11e5-803c-0d0b866b59f3.html","web")</f>
        <v>0</v>
      </c>
      <c r="G433" s="0" t="s">
        <v>854</v>
      </c>
      <c r="H433" s="0" t="s">
        <v>16</v>
      </c>
      <c r="I433" s="0" t="s">
        <v>1053</v>
      </c>
      <c r="J433" s="0" t="s">
        <v>856</v>
      </c>
    </row>
    <row r="434" customFormat="false" ht="15" hidden="false" customHeight="false" outlineLevel="0" collapsed="false">
      <c r="A434" s="0" t="s">
        <v>842</v>
      </c>
      <c r="B434" s="0" t="s">
        <v>1054</v>
      </c>
      <c r="C434" s="0" t="s">
        <v>12</v>
      </c>
      <c r="D434" s="0" t="s">
        <v>152</v>
      </c>
      <c r="E434" s="0" t="s">
        <v>1055</v>
      </c>
      <c r="F434" s="0" t="n">
        <f aca="false">HYPERLINK("http://clipc-services.ceda.ac.uk/dreq/u/5917a070-9e49-11e5-803c-0d0b866b59f3.html","web")</f>
        <v>0</v>
      </c>
      <c r="G434" s="0" t="s">
        <v>854</v>
      </c>
      <c r="H434" s="0" t="s">
        <v>16</v>
      </c>
      <c r="J434" s="0" t="s">
        <v>856</v>
      </c>
    </row>
    <row r="435" customFormat="false" ht="15" hidden="false" customHeight="false" outlineLevel="0" collapsed="false">
      <c r="A435" s="0" t="s">
        <v>842</v>
      </c>
      <c r="B435" s="0" t="s">
        <v>1056</v>
      </c>
      <c r="C435" s="0" t="s">
        <v>12</v>
      </c>
      <c r="D435" s="0" t="s">
        <v>152</v>
      </c>
      <c r="E435" s="0" t="s">
        <v>1057</v>
      </c>
      <c r="F435" s="0" t="n">
        <f aca="false">HYPERLINK("http://clipc-services.ceda.ac.uk/dreq/u/590f95c4-9e49-11e5-803c-0d0b866b59f3.html","web")</f>
        <v>0</v>
      </c>
      <c r="G435" s="0" t="s">
        <v>854</v>
      </c>
      <c r="H435" s="0" t="s">
        <v>16</v>
      </c>
      <c r="J435" s="0" t="s">
        <v>856</v>
      </c>
    </row>
    <row r="436" customFormat="false" ht="15" hidden="false" customHeight="false" outlineLevel="0" collapsed="false">
      <c r="A436" s="0" t="s">
        <v>842</v>
      </c>
      <c r="B436" s="0" t="s">
        <v>1058</v>
      </c>
      <c r="C436" s="0" t="s">
        <v>12</v>
      </c>
      <c r="D436" s="0" t="s">
        <v>152</v>
      </c>
      <c r="E436" s="0" t="s">
        <v>1059</v>
      </c>
      <c r="F436" s="0" t="n">
        <f aca="false">HYPERLINK("http://clipc-services.ceda.ac.uk/dreq/u/590f2436-9e49-11e5-803c-0d0b866b59f3.html","web")</f>
        <v>0</v>
      </c>
      <c r="G436" s="0" t="s">
        <v>854</v>
      </c>
      <c r="H436" s="0" t="s">
        <v>16</v>
      </c>
      <c r="J436" s="0" t="s">
        <v>856</v>
      </c>
    </row>
    <row r="437" customFormat="false" ht="15" hidden="false" customHeight="false" outlineLevel="0" collapsed="false">
      <c r="A437" s="0" t="s">
        <v>842</v>
      </c>
      <c r="B437" s="0" t="s">
        <v>1060</v>
      </c>
      <c r="C437" s="0" t="s">
        <v>12</v>
      </c>
      <c r="D437" s="0" t="s">
        <v>152</v>
      </c>
      <c r="E437" s="0" t="s">
        <v>1061</v>
      </c>
      <c r="F437" s="0" t="n">
        <f aca="false">HYPERLINK("http://clipc-services.ceda.ac.uk/dreq/u/59132b58-9e49-11e5-803c-0d0b866b59f3.html","web")</f>
        <v>0</v>
      </c>
      <c r="G437" s="0" t="s">
        <v>854</v>
      </c>
      <c r="H437" s="0" t="s">
        <v>16</v>
      </c>
      <c r="J437" s="0" t="s">
        <v>856</v>
      </c>
    </row>
    <row r="438" customFormat="false" ht="15" hidden="false" customHeight="false" outlineLevel="0" collapsed="false">
      <c r="A438" s="0" t="s">
        <v>842</v>
      </c>
      <c r="B438" s="0" t="s">
        <v>1062</v>
      </c>
      <c r="C438" s="0" t="s">
        <v>12</v>
      </c>
      <c r="D438" s="0" t="s">
        <v>152</v>
      </c>
      <c r="E438" s="0" t="s">
        <v>1063</v>
      </c>
      <c r="F438" s="0" t="n">
        <f aca="false">HYPERLINK("http://clipc-services.ceda.ac.uk/dreq/u/590f9ace-9e49-11e5-803c-0d0b866b59f3.html","web")</f>
        <v>0</v>
      </c>
      <c r="G438" s="0" t="s">
        <v>854</v>
      </c>
      <c r="H438" s="0" t="s">
        <v>16</v>
      </c>
      <c r="J438" s="0" t="s">
        <v>856</v>
      </c>
    </row>
    <row r="439" customFormat="false" ht="15" hidden="false" customHeight="false" outlineLevel="0" collapsed="false">
      <c r="A439" s="0" t="s">
        <v>842</v>
      </c>
      <c r="B439" s="0" t="s">
        <v>1064</v>
      </c>
      <c r="C439" s="0" t="s">
        <v>12</v>
      </c>
      <c r="D439" s="0" t="s">
        <v>152</v>
      </c>
      <c r="E439" s="0" t="s">
        <v>1065</v>
      </c>
      <c r="F439" s="0" t="n">
        <f aca="false">HYPERLINK("http://clipc-services.ceda.ac.uk/dreq/u/590dd13a-9e49-11e5-803c-0d0b866b59f3.html","web")</f>
        <v>0</v>
      </c>
      <c r="G439" s="0" t="s">
        <v>854</v>
      </c>
      <c r="H439" s="0" t="s">
        <v>16</v>
      </c>
      <c r="J439" s="0" t="s">
        <v>856</v>
      </c>
    </row>
    <row r="440" customFormat="false" ht="15" hidden="false" customHeight="false" outlineLevel="0" collapsed="false">
      <c r="A440" s="0" t="s">
        <v>842</v>
      </c>
      <c r="B440" s="0" t="s">
        <v>1066</v>
      </c>
      <c r="C440" s="0" t="s">
        <v>12</v>
      </c>
      <c r="D440" s="0" t="s">
        <v>152</v>
      </c>
      <c r="E440" s="0" t="s">
        <v>1067</v>
      </c>
      <c r="F440" s="0" t="n">
        <f aca="false">HYPERLINK("http://clipc-services.ceda.ac.uk/dreq/u/59176d94-9e49-11e5-803c-0d0b866b59f3.html","web")</f>
        <v>0</v>
      </c>
      <c r="G440" s="0" t="s">
        <v>854</v>
      </c>
      <c r="H440" s="0" t="s">
        <v>16</v>
      </c>
      <c r="J440" s="0" t="s">
        <v>856</v>
      </c>
    </row>
    <row r="441" customFormat="false" ht="15" hidden="false" customHeight="false" outlineLevel="0" collapsed="false">
      <c r="A441" s="0" t="s">
        <v>842</v>
      </c>
      <c r="B441" s="0" t="s">
        <v>1068</v>
      </c>
      <c r="C441" s="0" t="s">
        <v>12</v>
      </c>
      <c r="D441" s="0" t="s">
        <v>152</v>
      </c>
      <c r="E441" s="0" t="s">
        <v>1069</v>
      </c>
      <c r="F441" s="0" t="n">
        <f aca="false">HYPERLINK("http://clipc-services.ceda.ac.uk/dreq/u/5917788e-9e49-11e5-803c-0d0b866b59f3.html","web")</f>
        <v>0</v>
      </c>
      <c r="G441" s="0" t="s">
        <v>854</v>
      </c>
      <c r="H441" s="0" t="s">
        <v>16</v>
      </c>
      <c r="I441" s="0" t="s">
        <v>1070</v>
      </c>
      <c r="J441" s="0" t="s">
        <v>856</v>
      </c>
    </row>
    <row r="442" customFormat="false" ht="15" hidden="false" customHeight="false" outlineLevel="0" collapsed="false">
      <c r="A442" s="0" t="s">
        <v>842</v>
      </c>
      <c r="B442" s="0" t="s">
        <v>1071</v>
      </c>
      <c r="C442" s="0" t="s">
        <v>20</v>
      </c>
      <c r="D442" s="0" t="s">
        <v>38</v>
      </c>
      <c r="E442" s="0" t="s">
        <v>1072</v>
      </c>
      <c r="F442" s="0" t="n">
        <f aca="false">HYPERLINK("http://clipc-services.ceda.ac.uk/dreq/u/5914cf30-9e49-11e5-803c-0d0b866b59f3.html","web")</f>
        <v>0</v>
      </c>
      <c r="G442" s="0" t="s">
        <v>1073</v>
      </c>
      <c r="H442" s="0" t="s">
        <v>24</v>
      </c>
      <c r="I442" s="0" t="s">
        <v>1074</v>
      </c>
      <c r="J442" s="0" t="s">
        <v>1029</v>
      </c>
    </row>
    <row r="443" customFormat="false" ht="15" hidden="false" customHeight="false" outlineLevel="0" collapsed="false">
      <c r="A443" s="0" t="s">
        <v>842</v>
      </c>
      <c r="B443" s="0" t="s">
        <v>1075</v>
      </c>
      <c r="C443" s="0" t="s">
        <v>20</v>
      </c>
      <c r="D443" s="0" t="s">
        <v>152</v>
      </c>
      <c r="E443" s="0" t="s">
        <v>1076</v>
      </c>
      <c r="F443" s="0" t="n">
        <f aca="false">HYPERLINK("http://clipc-services.ceda.ac.uk/dreq/u/332db812bf06c7af2de1b9d1e0cf58c9.html","web")</f>
        <v>0</v>
      </c>
      <c r="G443" s="0" t="s">
        <v>1077</v>
      </c>
      <c r="H443" s="0" t="s">
        <v>24</v>
      </c>
      <c r="I443" s="0" t="s">
        <v>1078</v>
      </c>
      <c r="J443" s="0" t="s">
        <v>1029</v>
      </c>
    </row>
    <row r="444" customFormat="false" ht="15" hidden="false" customHeight="false" outlineLevel="0" collapsed="false">
      <c r="A444" s="0" t="s">
        <v>842</v>
      </c>
      <c r="B444" s="0" t="s">
        <v>1079</v>
      </c>
      <c r="C444" s="0" t="s">
        <v>20</v>
      </c>
      <c r="D444" s="0" t="s">
        <v>152</v>
      </c>
      <c r="E444" s="0" t="s">
        <v>1080</v>
      </c>
      <c r="F444" s="0" t="n">
        <f aca="false">HYPERLINK("http://clipc-services.ceda.ac.uk/dreq/u/4cabf9607859a83bcb3bc00fa8d0698c.html","web")</f>
        <v>0</v>
      </c>
      <c r="G444" s="0" t="s">
        <v>1077</v>
      </c>
      <c r="H444" s="0" t="s">
        <v>24</v>
      </c>
      <c r="I444" s="0" t="s">
        <v>1081</v>
      </c>
      <c r="J444" s="0" t="s">
        <v>1029</v>
      </c>
    </row>
    <row r="445" customFormat="false" ht="15" hidden="false" customHeight="false" outlineLevel="0" collapsed="false">
      <c r="A445" s="0" t="s">
        <v>842</v>
      </c>
      <c r="B445" s="0" t="s">
        <v>1082</v>
      </c>
      <c r="C445" s="0" t="s">
        <v>20</v>
      </c>
      <c r="D445" s="0" t="s">
        <v>152</v>
      </c>
      <c r="E445" s="0" t="s">
        <v>1083</v>
      </c>
      <c r="F445" s="0" t="n">
        <f aca="false">HYPERLINK("http://clipc-services.ceda.ac.uk/dreq/u/f9f66ff437154f86913937f9e2d9a26d.html","web")</f>
        <v>0</v>
      </c>
      <c r="G445" s="0" t="s">
        <v>1077</v>
      </c>
      <c r="H445" s="0" t="s">
        <v>24</v>
      </c>
      <c r="I445" s="0" t="s">
        <v>1084</v>
      </c>
      <c r="J445" s="0" t="s">
        <v>1029</v>
      </c>
    </row>
    <row r="446" customFormat="false" ht="15" hidden="false" customHeight="false" outlineLevel="0" collapsed="false">
      <c r="A446" s="0" t="s">
        <v>842</v>
      </c>
      <c r="B446" s="0" t="s">
        <v>1085</v>
      </c>
      <c r="C446" s="0" t="s">
        <v>20</v>
      </c>
      <c r="D446" s="0" t="s">
        <v>152</v>
      </c>
      <c r="E446" s="0" t="s">
        <v>1086</v>
      </c>
      <c r="F446" s="0" t="n">
        <f aca="false">HYPERLINK("http://clipc-services.ceda.ac.uk/dreq/u/ab57604d6acd918c08aa6252145c608e.html","web")</f>
        <v>0</v>
      </c>
      <c r="G446" s="0" t="s">
        <v>1077</v>
      </c>
      <c r="H446" s="0" t="s">
        <v>24</v>
      </c>
      <c r="I446" s="0" t="s">
        <v>1087</v>
      </c>
      <c r="J446" s="0" t="s">
        <v>1029</v>
      </c>
    </row>
    <row r="447" customFormat="false" ht="15" hidden="false" customHeight="false" outlineLevel="0" collapsed="false">
      <c r="A447" s="0" t="s">
        <v>842</v>
      </c>
      <c r="B447" s="0" t="s">
        <v>1088</v>
      </c>
      <c r="C447" s="0" t="s">
        <v>20</v>
      </c>
      <c r="D447" s="0" t="s">
        <v>152</v>
      </c>
      <c r="E447" s="0" t="s">
        <v>1089</v>
      </c>
      <c r="F447" s="0" t="n">
        <f aca="false">HYPERLINK("http://clipc-services.ceda.ac.uk/dreq/u/59130948-9e49-11e5-803c-0d0b866b59f3.html","web")</f>
        <v>0</v>
      </c>
      <c r="G447" s="0" t="s">
        <v>1090</v>
      </c>
      <c r="H447" s="0" t="s">
        <v>671</v>
      </c>
      <c r="I447" s="0" t="s">
        <v>1074</v>
      </c>
      <c r="J447" s="0" t="s">
        <v>1029</v>
      </c>
    </row>
    <row r="448" customFormat="false" ht="15" hidden="false" customHeight="false" outlineLevel="0" collapsed="false">
      <c r="A448" s="0" t="s">
        <v>842</v>
      </c>
      <c r="B448" s="0" t="s">
        <v>1091</v>
      </c>
      <c r="C448" s="0" t="s">
        <v>20</v>
      </c>
      <c r="D448" s="0" t="s">
        <v>152</v>
      </c>
      <c r="E448" s="0" t="s">
        <v>1092</v>
      </c>
      <c r="F448" s="0" t="n">
        <f aca="false">HYPERLINK("http://clipc-services.ceda.ac.uk/dreq/u/5914c0ee-9e49-11e5-803c-0d0b866b59f3.html","web")</f>
        <v>0</v>
      </c>
      <c r="G448" s="0" t="s">
        <v>1090</v>
      </c>
      <c r="H448" s="0" t="s">
        <v>671</v>
      </c>
      <c r="I448" s="0" t="s">
        <v>1074</v>
      </c>
      <c r="J448" s="0" t="s">
        <v>1029</v>
      </c>
    </row>
    <row r="449" customFormat="false" ht="15" hidden="false" customHeight="false" outlineLevel="0" collapsed="false">
      <c r="A449" s="0" t="s">
        <v>842</v>
      </c>
      <c r="B449" s="0" t="s">
        <v>1093</v>
      </c>
      <c r="C449" s="0" t="s">
        <v>20</v>
      </c>
      <c r="D449" s="0" t="s">
        <v>152</v>
      </c>
      <c r="E449" s="0" t="s">
        <v>1094</v>
      </c>
      <c r="F449" s="0" t="n">
        <f aca="false">HYPERLINK("http://clipc-services.ceda.ac.uk/dreq/u/59134bf6-9e49-11e5-803c-0d0b866b59f3.html","web")</f>
        <v>0</v>
      </c>
      <c r="G449" s="0" t="s">
        <v>1077</v>
      </c>
      <c r="H449" s="0" t="s">
        <v>24</v>
      </c>
      <c r="I449" s="0" t="s">
        <v>1074</v>
      </c>
      <c r="J449" s="0" t="s">
        <v>1029</v>
      </c>
    </row>
    <row r="450" customFormat="false" ht="15" hidden="false" customHeight="false" outlineLevel="0" collapsed="false">
      <c r="A450" s="0" t="s">
        <v>842</v>
      </c>
      <c r="B450" s="0" t="s">
        <v>1095</v>
      </c>
      <c r="C450" s="0" t="s">
        <v>20</v>
      </c>
      <c r="D450" s="0" t="s">
        <v>152</v>
      </c>
      <c r="E450" s="0" t="s">
        <v>1096</v>
      </c>
      <c r="F450" s="0" t="n">
        <f aca="false">HYPERLINK("http://clipc-services.ceda.ac.uk/dreq/u/5917cf46-9e49-11e5-803c-0d0b866b59f3.html","web")</f>
        <v>0</v>
      </c>
      <c r="G450" s="0" t="s">
        <v>1077</v>
      </c>
      <c r="H450" s="0" t="s">
        <v>24</v>
      </c>
      <c r="I450" s="0" t="s">
        <v>1074</v>
      </c>
      <c r="J450" s="0" t="s">
        <v>1029</v>
      </c>
    </row>
    <row r="451" customFormat="false" ht="15" hidden="false" customHeight="false" outlineLevel="0" collapsed="false">
      <c r="A451" s="0" t="s">
        <v>842</v>
      </c>
      <c r="B451" s="0" t="s">
        <v>1097</v>
      </c>
      <c r="C451" s="0" t="s">
        <v>20</v>
      </c>
      <c r="D451" s="0" t="s">
        <v>152</v>
      </c>
      <c r="E451" s="0" t="s">
        <v>1098</v>
      </c>
      <c r="F451" s="0" t="n">
        <f aca="false">HYPERLINK("http://clipc-services.ceda.ac.uk/dreq/u/590f465a-9e49-11e5-803c-0d0b866b59f3.html","web")</f>
        <v>0</v>
      </c>
      <c r="G451" s="0" t="s">
        <v>1077</v>
      </c>
      <c r="H451" s="0" t="s">
        <v>24</v>
      </c>
      <c r="I451" s="0" t="s">
        <v>1074</v>
      </c>
      <c r="J451" s="0" t="s">
        <v>1029</v>
      </c>
    </row>
    <row r="452" customFormat="false" ht="15" hidden="false" customHeight="false" outlineLevel="0" collapsed="false">
      <c r="A452" s="0" t="s">
        <v>842</v>
      </c>
      <c r="B452" s="0" t="s">
        <v>1099</v>
      </c>
      <c r="C452" s="0" t="s">
        <v>20</v>
      </c>
      <c r="D452" s="0" t="s">
        <v>152</v>
      </c>
      <c r="E452" s="0" t="s">
        <v>1100</v>
      </c>
      <c r="F452" s="0" t="n">
        <f aca="false">HYPERLINK("http://clipc-services.ceda.ac.uk/dreq/u/591497a4-9e49-11e5-803c-0d0b866b59f3.html","web")</f>
        <v>0</v>
      </c>
      <c r="G452" s="0" t="s">
        <v>1077</v>
      </c>
      <c r="H452" s="0" t="s">
        <v>24</v>
      </c>
      <c r="I452" s="0" t="s">
        <v>1074</v>
      </c>
      <c r="J452" s="0" t="s">
        <v>1029</v>
      </c>
    </row>
    <row r="453" customFormat="false" ht="15" hidden="false" customHeight="false" outlineLevel="0" collapsed="false">
      <c r="A453" s="0" t="s">
        <v>842</v>
      </c>
      <c r="B453" s="0" t="s">
        <v>1101</v>
      </c>
      <c r="C453" s="0" t="s">
        <v>20</v>
      </c>
      <c r="D453" s="0" t="s">
        <v>152</v>
      </c>
      <c r="E453" s="0" t="s">
        <v>1102</v>
      </c>
      <c r="F453" s="0" t="n">
        <f aca="false">HYPERLINK("http://clipc-services.ceda.ac.uk/dreq/u/5914ede4-9e49-11e5-803c-0d0b866b59f3.html","web")</f>
        <v>0</v>
      </c>
      <c r="G453" s="0" t="s">
        <v>1077</v>
      </c>
      <c r="H453" s="0" t="s">
        <v>24</v>
      </c>
      <c r="I453" s="0" t="s">
        <v>1074</v>
      </c>
      <c r="J453" s="0" t="s">
        <v>1029</v>
      </c>
    </row>
    <row r="454" customFormat="false" ht="15" hidden="false" customHeight="false" outlineLevel="0" collapsed="false">
      <c r="A454" s="0" t="s">
        <v>842</v>
      </c>
      <c r="B454" s="0" t="s">
        <v>796</v>
      </c>
      <c r="C454" s="0" t="s">
        <v>20</v>
      </c>
      <c r="D454" s="0" t="s">
        <v>797</v>
      </c>
      <c r="E454" s="0" t="s">
        <v>798</v>
      </c>
      <c r="F454" s="0" t="n">
        <f aca="false">HYPERLINK("http://clipc-services.ceda.ac.uk/dreq/u/170ff384-b622-11e6-bbe2-ac72891c3257.html","web")</f>
        <v>0</v>
      </c>
      <c r="G454" s="0" t="s">
        <v>799</v>
      </c>
      <c r="H454" s="0" t="s">
        <v>800</v>
      </c>
      <c r="I454" s="0" t="s">
        <v>801</v>
      </c>
      <c r="J454" s="0" t="s">
        <v>622</v>
      </c>
    </row>
    <row r="455" customFormat="false" ht="15" hidden="false" customHeight="false" outlineLevel="0" collapsed="false">
      <c r="A455" s="0" t="s">
        <v>842</v>
      </c>
      <c r="B455" s="0" t="s">
        <v>802</v>
      </c>
      <c r="C455" s="0" t="s">
        <v>20</v>
      </c>
      <c r="D455" s="0" t="s">
        <v>797</v>
      </c>
      <c r="E455" s="0" t="s">
        <v>803</v>
      </c>
      <c r="F455" s="0" t="n">
        <f aca="false">HYPERLINK("http://clipc-services.ceda.ac.uk/dreq/u/1758307c-b622-11e6-bbe2-ac72891c3257.html","web")</f>
        <v>0</v>
      </c>
      <c r="G455" s="0" t="s">
        <v>799</v>
      </c>
      <c r="H455" s="0" t="s">
        <v>800</v>
      </c>
      <c r="I455" s="0" t="s">
        <v>804</v>
      </c>
      <c r="J455" s="0" t="s">
        <v>622</v>
      </c>
    </row>
    <row r="456" customFormat="false" ht="15" hidden="false" customHeight="false" outlineLevel="0" collapsed="false">
      <c r="A456" s="0" t="s">
        <v>842</v>
      </c>
      <c r="B456" s="0" t="s">
        <v>805</v>
      </c>
      <c r="C456" s="0" t="s">
        <v>20</v>
      </c>
      <c r="D456" s="0" t="s">
        <v>797</v>
      </c>
      <c r="E456" s="0" t="s">
        <v>806</v>
      </c>
      <c r="F456" s="0" t="n">
        <f aca="false">HYPERLINK("http://clipc-services.ceda.ac.uk/dreq/u/bf56baca-c14c-11e6-bb6a-ac72891c3257.html","web")</f>
        <v>0</v>
      </c>
      <c r="G456" s="0" t="s">
        <v>799</v>
      </c>
      <c r="H456" s="0" t="s">
        <v>800</v>
      </c>
      <c r="I456" s="0" t="s">
        <v>807</v>
      </c>
      <c r="J456" s="0" t="s">
        <v>622</v>
      </c>
    </row>
    <row r="458" customFormat="false" ht="15" hidden="false" customHeight="false" outlineLevel="0" collapsed="false">
      <c r="A458" s="0" t="s">
        <v>1103</v>
      </c>
      <c r="B458" s="0" t="s">
        <v>1104</v>
      </c>
      <c r="C458" s="0" t="s">
        <v>20</v>
      </c>
      <c r="D458" s="0" t="s">
        <v>152</v>
      </c>
      <c r="E458" s="0" t="s">
        <v>1105</v>
      </c>
      <c r="F458" s="0" t="n">
        <f aca="false">HYPERLINK("http://clipc-services.ceda.ac.uk/dreq/u/154d00de9ab9aff72373a673df10946a.html","web")</f>
        <v>0</v>
      </c>
      <c r="G458" s="0" t="s">
        <v>787</v>
      </c>
      <c r="H458" s="0" t="s">
        <v>16</v>
      </c>
      <c r="I458" s="0" t="s">
        <v>1106</v>
      </c>
      <c r="J458" s="0" t="s">
        <v>1107</v>
      </c>
    </row>
    <row r="459" customFormat="false" ht="15" hidden="false" customHeight="false" outlineLevel="0" collapsed="false">
      <c r="A459" s="0" t="s">
        <v>1103</v>
      </c>
      <c r="B459" s="0" t="s">
        <v>1108</v>
      </c>
      <c r="C459" s="0" t="s">
        <v>20</v>
      </c>
      <c r="D459" s="0" t="s">
        <v>1109</v>
      </c>
      <c r="E459" s="0" t="s">
        <v>1110</v>
      </c>
      <c r="F459" s="0" t="n">
        <f aca="false">HYPERLINK("http://clipc-services.ceda.ac.uk/dreq/u/59136b72-9e49-11e5-803c-0d0b866b59f3.html","web")</f>
        <v>0</v>
      </c>
      <c r="G459" s="0" t="s">
        <v>1111</v>
      </c>
      <c r="H459" s="0" t="s">
        <v>16</v>
      </c>
      <c r="I459" s="0" t="s">
        <v>1112</v>
      </c>
      <c r="J459" s="0" t="s">
        <v>1113</v>
      </c>
    </row>
    <row r="460" customFormat="false" ht="15" hidden="false" customHeight="false" outlineLevel="0" collapsed="false">
      <c r="A460" s="0" t="s">
        <v>1103</v>
      </c>
      <c r="B460" s="0" t="s">
        <v>827</v>
      </c>
      <c r="C460" s="0" t="s">
        <v>20</v>
      </c>
      <c r="D460" s="0" t="s">
        <v>152</v>
      </c>
      <c r="E460" s="0" t="s">
        <v>828</v>
      </c>
      <c r="F460" s="0" t="n">
        <f aca="false">HYPERLINK("http://clipc-services.ceda.ac.uk/dreq/u/89c4bb4f45a0182fc00a1b86b13241a5.html","web")</f>
        <v>0</v>
      </c>
      <c r="G460" s="0" t="s">
        <v>829</v>
      </c>
      <c r="H460" s="0" t="s">
        <v>16</v>
      </c>
      <c r="J460" s="0" t="s">
        <v>1114</v>
      </c>
    </row>
    <row r="461" customFormat="false" ht="15" hidden="false" customHeight="false" outlineLevel="0" collapsed="false">
      <c r="A461" s="0" t="s">
        <v>1103</v>
      </c>
      <c r="B461" s="0" t="s">
        <v>830</v>
      </c>
      <c r="C461" s="0" t="s">
        <v>20</v>
      </c>
      <c r="D461" s="0" t="s">
        <v>152</v>
      </c>
      <c r="E461" s="0" t="s">
        <v>831</v>
      </c>
      <c r="F461" s="0" t="n">
        <f aca="false">HYPERLINK("http://clipc-services.ceda.ac.uk/dreq/u/2d38bda3114d03f7543b8af88aadd03a.html","web")</f>
        <v>0</v>
      </c>
      <c r="G461" s="0" t="s">
        <v>832</v>
      </c>
      <c r="H461" s="0" t="s">
        <v>16</v>
      </c>
      <c r="I461" s="0" t="s">
        <v>833</v>
      </c>
      <c r="J461" s="0" t="s">
        <v>1114</v>
      </c>
    </row>
    <row r="462" customFormat="false" ht="15" hidden="false" customHeight="false" outlineLevel="0" collapsed="false">
      <c r="A462" s="0" t="s">
        <v>1103</v>
      </c>
      <c r="B462" s="0" t="s">
        <v>834</v>
      </c>
      <c r="C462" s="0" t="s">
        <v>20</v>
      </c>
      <c r="D462" s="0" t="s">
        <v>152</v>
      </c>
      <c r="E462" s="0" t="s">
        <v>835</v>
      </c>
      <c r="F462" s="0" t="n">
        <f aca="false">HYPERLINK("http://clipc-services.ceda.ac.uk/dreq/u/93723bb54a2c43450d75403102e618ac.html","web")</f>
        <v>0</v>
      </c>
      <c r="G462" s="0" t="s">
        <v>836</v>
      </c>
      <c r="H462" s="0" t="s">
        <v>16</v>
      </c>
      <c r="I462" s="0" t="s">
        <v>837</v>
      </c>
      <c r="J462" s="0" t="s">
        <v>1114</v>
      </c>
    </row>
    <row r="463" customFormat="false" ht="15" hidden="false" customHeight="false" outlineLevel="0" collapsed="false">
      <c r="A463" s="0" t="s">
        <v>1103</v>
      </c>
      <c r="B463" s="0" t="s">
        <v>1115</v>
      </c>
      <c r="C463" s="0" t="s">
        <v>20</v>
      </c>
      <c r="D463" s="0" t="s">
        <v>152</v>
      </c>
      <c r="E463" s="0" t="s">
        <v>1116</v>
      </c>
      <c r="F463" s="0" t="n">
        <f aca="false">HYPERLINK("http://clipc-services.ceda.ac.uk/dreq/u/15fea217c64dbec48b115765548b89ae.html","web")</f>
        <v>0</v>
      </c>
      <c r="G463" s="0" t="s">
        <v>1117</v>
      </c>
      <c r="H463" s="0" t="s">
        <v>16</v>
      </c>
      <c r="I463" s="0" t="s">
        <v>1118</v>
      </c>
      <c r="J463" s="0" t="s">
        <v>1119</v>
      </c>
    </row>
    <row r="464" customFormat="false" ht="15" hidden="false" customHeight="false" outlineLevel="0" collapsed="false">
      <c r="A464" s="0" t="s">
        <v>1103</v>
      </c>
      <c r="B464" s="0" t="s">
        <v>1120</v>
      </c>
      <c r="C464" s="0" t="s">
        <v>12</v>
      </c>
      <c r="D464" s="0" t="s">
        <v>1121</v>
      </c>
      <c r="E464" s="0" t="s">
        <v>1122</v>
      </c>
      <c r="F464" s="0" t="n">
        <f aca="false">HYPERLINK("http://clipc-services.ceda.ac.uk/dreq/u/374e24b1cf7c24eb75126ea6e39ac478.html","web")</f>
        <v>0</v>
      </c>
      <c r="G464" s="0" t="s">
        <v>925</v>
      </c>
      <c r="H464" s="0" t="s">
        <v>16</v>
      </c>
      <c r="I464" s="0" t="s">
        <v>1123</v>
      </c>
      <c r="J464" s="0" t="s">
        <v>1124</v>
      </c>
    </row>
    <row r="465" customFormat="false" ht="15" hidden="false" customHeight="false" outlineLevel="0" collapsed="false">
      <c r="A465" s="0" t="s">
        <v>1103</v>
      </c>
      <c r="B465" s="0" t="s">
        <v>1125</v>
      </c>
      <c r="C465" s="0" t="s">
        <v>12</v>
      </c>
      <c r="D465" s="0" t="s">
        <v>1126</v>
      </c>
      <c r="E465" s="0" t="s">
        <v>1127</v>
      </c>
      <c r="F465" s="0" t="n">
        <f aca="false">HYPERLINK("http://clipc-services.ceda.ac.uk/dreq/u/1e93ae651487e683206b923c11fd6db1.html","web")</f>
        <v>0</v>
      </c>
      <c r="G465" s="0" t="s">
        <v>925</v>
      </c>
      <c r="H465" s="0" t="s">
        <v>16</v>
      </c>
      <c r="I465" s="0" t="s">
        <v>1128</v>
      </c>
      <c r="J465" s="0" t="s">
        <v>1124</v>
      </c>
    </row>
    <row r="466" customFormat="false" ht="15" hidden="false" customHeight="false" outlineLevel="0" collapsed="false">
      <c r="A466" s="0" t="s">
        <v>1103</v>
      </c>
      <c r="B466" s="0" t="s">
        <v>1129</v>
      </c>
      <c r="C466" s="0" t="s">
        <v>12</v>
      </c>
      <c r="D466" s="0" t="s">
        <v>1130</v>
      </c>
      <c r="E466" s="0" t="s">
        <v>1131</v>
      </c>
      <c r="F466" s="0" t="n">
        <f aca="false">HYPERLINK("http://clipc-services.ceda.ac.uk/dreq/u/e9289080901a39eba6ade178d596795a.html","web")</f>
        <v>0</v>
      </c>
      <c r="G466" s="0" t="s">
        <v>925</v>
      </c>
      <c r="H466" s="0" t="s">
        <v>16</v>
      </c>
      <c r="I466" s="0" t="s">
        <v>1132</v>
      </c>
      <c r="J466" s="0" t="s">
        <v>1124</v>
      </c>
    </row>
    <row r="467" customFormat="false" ht="15" hidden="false" customHeight="false" outlineLevel="0" collapsed="false">
      <c r="A467" s="0" t="s">
        <v>1103</v>
      </c>
      <c r="B467" s="0" t="s">
        <v>1133</v>
      </c>
      <c r="C467" s="0" t="s">
        <v>12</v>
      </c>
      <c r="D467" s="0" t="s">
        <v>1134</v>
      </c>
      <c r="E467" s="0" t="s">
        <v>1135</v>
      </c>
      <c r="F467" s="0" t="n">
        <f aca="false">HYPERLINK("http://clipc-services.ceda.ac.uk/dreq/u/b28e47214f0b71847c966828df0837ff.html","web")</f>
        <v>0</v>
      </c>
      <c r="G467" s="0" t="s">
        <v>925</v>
      </c>
      <c r="H467" s="0" t="s">
        <v>16</v>
      </c>
      <c r="I467" s="0" t="s">
        <v>1136</v>
      </c>
      <c r="J467" s="0" t="s">
        <v>1124</v>
      </c>
    </row>
    <row r="468" customFormat="false" ht="15" hidden="false" customHeight="false" outlineLevel="0" collapsed="false">
      <c r="A468" s="0" t="s">
        <v>1103</v>
      </c>
      <c r="B468" s="0" t="s">
        <v>1137</v>
      </c>
      <c r="C468" s="0" t="s">
        <v>12</v>
      </c>
      <c r="D468" s="0" t="s">
        <v>1138</v>
      </c>
      <c r="E468" s="0" t="s">
        <v>1139</v>
      </c>
      <c r="F468" s="0" t="n">
        <f aca="false">HYPERLINK("http://clipc-services.ceda.ac.uk/dreq/u/2ca96cd5a4e83feb0d493bf9aa1a5b59.html","web")</f>
        <v>0</v>
      </c>
      <c r="G468" s="0" t="s">
        <v>925</v>
      </c>
      <c r="H468" s="0" t="s">
        <v>16</v>
      </c>
      <c r="I468" s="0" t="s">
        <v>1140</v>
      </c>
      <c r="J468" s="0" t="s">
        <v>1141</v>
      </c>
    </row>
    <row r="469" customFormat="false" ht="15" hidden="false" customHeight="false" outlineLevel="0" collapsed="false">
      <c r="A469" s="0" t="s">
        <v>1103</v>
      </c>
      <c r="B469" s="0" t="s">
        <v>1142</v>
      </c>
      <c r="C469" s="0" t="s">
        <v>12</v>
      </c>
      <c r="D469" s="0" t="s">
        <v>1143</v>
      </c>
      <c r="E469" s="0" t="s">
        <v>1144</v>
      </c>
      <c r="F469" s="0" t="n">
        <f aca="false">HYPERLINK("http://clipc-services.ceda.ac.uk/dreq/u/351c26a0f5a0cefa8f1183f2f12e1aa3.html","web")</f>
        <v>0</v>
      </c>
      <c r="G469" s="0" t="s">
        <v>925</v>
      </c>
      <c r="H469" s="0" t="s">
        <v>16</v>
      </c>
      <c r="I469" s="0" t="s">
        <v>1145</v>
      </c>
      <c r="J469" s="0" t="s">
        <v>1141</v>
      </c>
    </row>
    <row r="470" customFormat="false" ht="15" hidden="false" customHeight="false" outlineLevel="0" collapsed="false">
      <c r="A470" s="0" t="s">
        <v>1103</v>
      </c>
      <c r="B470" s="0" t="s">
        <v>1146</v>
      </c>
      <c r="C470" s="0" t="s">
        <v>12</v>
      </c>
      <c r="D470" s="0" t="s">
        <v>152</v>
      </c>
      <c r="E470" s="0" t="s">
        <v>1147</v>
      </c>
      <c r="F470" s="0" t="n">
        <f aca="false">HYPERLINK("http://clipc-services.ceda.ac.uk/dreq/u/df06d844bd95ddd2f0f62f54941c4b88.html","web")</f>
        <v>0</v>
      </c>
      <c r="G470" s="0" t="s">
        <v>925</v>
      </c>
      <c r="H470" s="0" t="s">
        <v>16</v>
      </c>
      <c r="I470" s="0" t="s">
        <v>1148</v>
      </c>
      <c r="J470" s="0" t="s">
        <v>1149</v>
      </c>
    </row>
    <row r="471" customFormat="false" ht="15" hidden="false" customHeight="false" outlineLevel="0" collapsed="false">
      <c r="A471" s="0" t="s">
        <v>1103</v>
      </c>
      <c r="B471" s="0" t="s">
        <v>1150</v>
      </c>
      <c r="C471" s="0" t="s">
        <v>12</v>
      </c>
      <c r="D471" s="0" t="s">
        <v>152</v>
      </c>
      <c r="E471" s="0" t="s">
        <v>1151</v>
      </c>
      <c r="F471" s="0" t="n">
        <f aca="false">HYPERLINK("http://clipc-services.ceda.ac.uk/dreq/u/fb5bd0286cdca991d0f67c498513f602.html","web")</f>
        <v>0</v>
      </c>
      <c r="G471" s="0" t="s">
        <v>925</v>
      </c>
      <c r="H471" s="0" t="s">
        <v>16</v>
      </c>
      <c r="I471" s="0" t="s">
        <v>1152</v>
      </c>
      <c r="J471" s="0" t="s">
        <v>1124</v>
      </c>
    </row>
    <row r="472" customFormat="false" ht="15" hidden="false" customHeight="false" outlineLevel="0" collapsed="false">
      <c r="A472" s="0" t="s">
        <v>1103</v>
      </c>
      <c r="B472" s="0" t="s">
        <v>1153</v>
      </c>
      <c r="C472" s="0" t="s">
        <v>12</v>
      </c>
      <c r="D472" s="0" t="s">
        <v>152</v>
      </c>
      <c r="E472" s="0" t="s">
        <v>1154</v>
      </c>
      <c r="F472" s="0" t="n">
        <f aca="false">HYPERLINK("http://clipc-services.ceda.ac.uk/dreq/u/091b217c2450d012fb2e192dee04053f.html","web")</f>
        <v>0</v>
      </c>
      <c r="G472" s="0" t="s">
        <v>925</v>
      </c>
      <c r="H472" s="0" t="s">
        <v>16</v>
      </c>
      <c r="I472" s="0" t="s">
        <v>1155</v>
      </c>
      <c r="J472" s="0" t="s">
        <v>1149</v>
      </c>
    </row>
    <row r="473" customFormat="false" ht="13.8" hidden="false" customHeight="false" outlineLevel="0" collapsed="false"/>
    <row r="474" customFormat="false" ht="13.8" hidden="false" customHeight="false" outlineLevel="0" collapsed="false"/>
    <row r="475" customFormat="false" ht="13.8" hidden="false" customHeight="false" outlineLevel="0" collapsed="false">
      <c r="A475" s="0" t="s">
        <v>1156</v>
      </c>
      <c r="B475" s="0" t="s">
        <v>1157</v>
      </c>
      <c r="C475" s="0" t="s">
        <v>20</v>
      </c>
      <c r="D475" s="0" t="s">
        <v>13</v>
      </c>
      <c r="E475" s="0" t="s">
        <v>1158</v>
      </c>
      <c r="F475" s="0" t="str">
        <f aca="false">HYPERLINK("http://clipc-services.ceda.ac.uk/dreq/u/e9b495e2-5989-11e6-a4be-ac72891c3257.html","web")</f>
        <v>web</v>
      </c>
      <c r="G475" s="2" t="s">
        <v>1159</v>
      </c>
      <c r="H475" s="0" t="s">
        <v>235</v>
      </c>
      <c r="I475" s="0" t="s">
        <v>1160</v>
      </c>
      <c r="J475" s="0" t="s">
        <v>1161</v>
      </c>
    </row>
    <row r="476" customFormat="false" ht="13.8" hidden="false" customHeight="false" outlineLevel="0" collapsed="false"/>
    <row r="477" customFormat="false" ht="13.8" hidden="false" customHeight="false" outlineLevel="0" collapsed="false">
      <c r="A477" s="0" t="s">
        <v>1162</v>
      </c>
      <c r="B477" s="0" t="s">
        <v>1163</v>
      </c>
      <c r="C477" s="0" t="s">
        <v>12</v>
      </c>
      <c r="D477" s="0" t="s">
        <v>1164</v>
      </c>
      <c r="E477" s="0" t="s">
        <v>1165</v>
      </c>
      <c r="F477" s="0" t="str">
        <f aca="false">HYPERLINK("http://clipc-services.ceda.ac.uk/dreq/u/5912cab4-9e49-11e5-803c-0d0b866b59f3.html","web")</f>
        <v>web</v>
      </c>
      <c r="G477" s="2" t="s">
        <v>1166</v>
      </c>
      <c r="H477" s="0" t="s">
        <v>1167</v>
      </c>
      <c r="I477" s="0" t="s">
        <v>616</v>
      </c>
      <c r="J477" s="0" t="s">
        <v>1161</v>
      </c>
    </row>
    <row r="478" customFormat="false" ht="13.8" hidden="false" customHeight="false" outlineLevel="0" collapsed="false">
      <c r="A478" s="0" t="s">
        <v>1162</v>
      </c>
      <c r="B478" s="0" t="s">
        <v>1168</v>
      </c>
      <c r="C478" s="0" t="s">
        <v>20</v>
      </c>
      <c r="D478" s="0" t="s">
        <v>1164</v>
      </c>
      <c r="E478" s="0" t="s">
        <v>1169</v>
      </c>
      <c r="F478" s="0" t="str">
        <f aca="false">HYPERLINK("http://clipc-services.ceda.ac.uk/dreq/u/41455e80-4f40-11e6-a814-ac72891c3257.html","web")</f>
        <v>web</v>
      </c>
      <c r="G478" s="2" t="s">
        <v>1166</v>
      </c>
      <c r="H478" s="0" t="s">
        <v>1167</v>
      </c>
      <c r="I478" s="0" t="s">
        <v>1170</v>
      </c>
      <c r="J478" s="0" t="s">
        <v>1161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2018-04-10T12:37:33Z</dcterms:created>
  <dc:creator/>
  <dc:description/>
  <dc:language>en-US</dc:language>
  <cp:lastModifiedBy/>
  <dcterms:modified xsi:type="dcterms:W3CDTF">2018-04-10T15:03:04Z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