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<sst xmlns="http://schemas.openxmlformats.org/spreadsheetml/2006/main" count="5867" uniqueCount="1852">
  <si>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</si>
  <si>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</si>
  <si>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</si>
  <si>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</si>
  <si>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</si>
  <si>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</si>
  <si>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</si>
  <si>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</si>
  <si>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</si>
  <si>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</si>
  <si>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</si>
  <si>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</si>
  <si>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</si>
  <si>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</si>
  <si>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</si>
  <si>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</si>
  <si>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</si>
  <si>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</si>
  <si>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</si>
  <si>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</si>
  <si>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</si>
  <si>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</si>
  <si>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</si>
  <si>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</si>
  <si>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</si>
  <si>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</si>
  <si>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</si>
  <si>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</si>
  <si>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</si>
  <si>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</si>
  <si>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</si>
  <si>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</si>
  <si>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</si>
  <si>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</si>
  <si>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</si>
  <si>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</si>
  <si>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</si>
  <si>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</si>
  <si>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</si>
  <si>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</si>
  <si>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</si>
  <si>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</si>
  <si>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</si>
  <si>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</si>
  <si>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</si>
  <si>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</si>
  <si>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</si>
  <si>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</si>
  <si>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</si>
  <si>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</si>
  <si>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</si>
  <si>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</si>
  <si>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</si>
  <si>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</si>
  <si>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</si>
  <si>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</si>
  <si>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</si>
  <si>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</si>
  <si>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</si>
  <si>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</si>
  <si>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</si>
  <si>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</si>
  <si>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</si>
  <si>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</si>
  <si>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</si>
  <si>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</si>
  <si>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</si>
  <si>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</si>
  <si>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</si>
  <si>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</si>
  <si>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</si>
  <si>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</si>
  <si>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</si>
  <si>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</si>
  <si>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</si>
  <si>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</si>
  <si>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</si>
  <si>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</si>
  <si>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</si>
  <si>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</si>
  <si>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</si>
  <si>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</si>
  <si>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</si>
  <si>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</si>
  <si>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</si>
  <si>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</si>
  <si>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</si>
  <si>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</si>
  <si>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</si>
  <si>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</si>
  <si>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</si>
  <si>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</si>
  <si>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</si>
  <si>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</si>
  <si>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</si>
  <si>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</si>
  <si>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</si>
  <si>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</si>
  <si>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</si>
  <si>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</si>
  <si>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</si>
  <si>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</si>
  <si>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</si>
  <si>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</si>
  <si>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</si>
  <si>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</si>
  <si>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</si>
  <si>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</si>
  <si>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</si>
  <si>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</si>
  <si>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</si>
  <si>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</si>
  <si>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</si>
  <si>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</si>
  <si>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</si>
  <si>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</si>
  <si>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</si>
  <si>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</si>
  <si>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</si>
  <si>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</si>
  <si>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</si>
  <si>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</si>
  <si>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</si>
  <si>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</si>
  <si>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</si>
  <si>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</si>
  <si>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</si>
  <si>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</si>
  <si>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</si>
  <si>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</si>
  <si>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</si>
  <si>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</si>
  <si>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</si>
  <si>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</si>
  <si>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</si>
  <si>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</si>
  <si>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</si>
  <si>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</si>
  <si>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</si>
  <si>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</si>
  <si>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</si>
  <si>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</si>
  <si>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</si>
  <si>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</si>
  <si>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</si>
  <si>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</si>
  <si>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</si>
  <si>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</si>
  <si>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</si>
  <si>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</si>
  <si>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</si>
  <si>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</si>
  <si>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</si>
  <si>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</si>
  <si>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</si>
  <si>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</si>
  <si>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</si>
  <si>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</si>
  <si>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</si>
  <si>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</si>
  <si>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</si>
  <si>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</si>
  <si>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</si>
  <si>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</si>
  <si>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</si>
  <si>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</si>
  <si>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</si>
  <si>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</si>
  <si>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</si>
  <si>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</si>
  <si>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</si>
  <si>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</si>
  <si>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</si>
  <si>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</si>
  <si>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</si>
  <si>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</si>
  <si>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</si>
  <si>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</si>
  <si>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</si>
  <si>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</si>
  <si>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</si>
  <si>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</si>
  <si>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</si>
  <si>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</si>
  <si>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</si>
  <si>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</si>
  <si>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</si>
  <si>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</si>
  <si>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</si>
  <si>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</si>
  <si>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</si>
  <si>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</si>
  <si>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</si>
  <si>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</si>
  <si>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</si>
  <si>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</si>
  <si>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</si>
  <si>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</si>
  <si>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</si>
  <si>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</si>
  <si>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</si>
  <si>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</si>
  <si>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</si>
  <si>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</si>
  <si>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</si>
  <si>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</si>
  <si>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</si>
  <si>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</si>
  <si>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</si>
  <si>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</si>
  <si>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</si>
  <si>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</si>
  <si>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</si>
  <si>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</si>
  <si>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</si>
  <si>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</si>
  <si>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</si>
  <si>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</si>
  <si>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</si>
  <si>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</si>
  <si>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</si>
  <si>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</si>
  <si>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</si>
  <si>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</si>
  <si>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</si>
  <si>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</si>
  <si>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</si>
  <si>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</si>
  <si>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</si>
  <si>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</si>
  <si>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</si>
  <si>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</si>
  <si>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</si>
  <si>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</si>
  <si>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</si>
  <si>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</si>
  <si>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</si>
  <si>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</si>
  <si>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</si>
  <si>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</si>
  <si>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</si>
  <si>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</si>
  <si>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</si>
  <si>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</si>
  <si>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</si>
  <si>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</si>
  <si>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</si>
  <si>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</si>
  <si>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</si>
  <si>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</si>
  <si>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</si>
  <si>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</si>
  <si>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</si>
  <si>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</si>
  <si>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</si>
  <si>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</si>
  <si>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</si>
  <si>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</si>
  <si>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</si>
  <si>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</si>
  <si>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</si>
  <si>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</si>
  <si>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</si>
  <si>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</si>
  <si>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</si>
  <si>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</si>
  <si>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</si>
  <si>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</si>
  <si>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</si>
  <si>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</si>
  <si>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</si>
  <si>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</si>
  <si>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</si>
  <si>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</si>
  <si>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</si>
  <si>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</si>
  <si>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</si>
  <si>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</si>
  <si>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</si>
  <si>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</si>
  <si>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</si>
  <si>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</si>
  <si>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</si>
  <si>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</si>
  <si>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</si>
  <si>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</si>
  <si>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</si>
  <si>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</si>
  <si>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</si>
  <si>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</si>
  <si>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</si>
  <si>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</si>
  <si>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</si>
  <si>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</si>
  <si>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</si>
  <si>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</si>
  <si>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</si>
  <si>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</si>
  <si>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</si>
  <si>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</si>
  <si>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</si>
  <si>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</si>
  <si>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</si>
  <si>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</si>
  <si>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</si>
  <si>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</si>
  <si>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</si>
  <si>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</si>
  <si>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</si>
  <si>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</si>
  <si>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</si>
  <si>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</si>
  <si>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</si>
  <si>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</si>
  <si>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</si>
  <si>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</si>
  <si>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</si>
  <si>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</si>
  <si>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</si>
  <si>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</si>
  <si>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</si>
  <si>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</si>
  <si>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</si>
  <si>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</si>
  <si>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</si>
  <si>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</si>
  <si>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</si>
  <si>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</si>
  <si>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</si>
  <si>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</si>
  <si>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</si>
  <si>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</si>
  <si>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</si>
  <si>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</si>
  <si>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</si>
  <si>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</si>
  <si>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</si>
  <si>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</si>
  <si>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</si>
  <si>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</si>
  <si>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</si>
  <si>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</si>
  <si>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</si>
  <si>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</si>
  <si>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</si>
  <si>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</si>
  <si>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</si>
  <si>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</si>
  <si>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</si>
  <si>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</si>
  <si>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</si>
  <si>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</si>
  <si>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</si>
  <si>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</si>
  <si>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</si>
  <si>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</si>
  <si>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</si>
  <si>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</si>
  <si>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</si>
  <si>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</si>
  <si>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</si>
  <si>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</si>
  <si>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</si>
  <si>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</si>
  <si>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</si>
  <si>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</si>
  <si>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</si>
  <si>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</si>
  <si>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</si>
  <si>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</si>
  <si>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</si>
  <si>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</si>
  <si>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</si>
  <si>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</si>
  <si>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</si>
  <si>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</si>
  <si>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</si>
  <si>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</si>
  <si>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</si>
  <si>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</si>
  <si>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</si>
  <si>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</si>
  <si>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</si>
  <si>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</si>
  <si>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</si>
  <si>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</si>
  <si>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</si>
  <si>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</si>
  <si>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</si>
  <si>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</si>
  <si>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</si>
  <si>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</si>
  <si>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</si>
  <si>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</si>
  <si>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</si>
  <si>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</si>
  <si>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</si>
  <si>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</si>
  <si>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</si>
  <si>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</si>
  <si>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</si>
  <si>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</si>
  <si>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</si>
  <si>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</si>
  <si>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</si>
  <si>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</si>
  <si>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</si>
  <si>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</si>
  <si>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</si>
  <si>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</si>
  <si>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</si>
  <si>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</si>
  <si>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</si>
  <si>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</si>
  <si>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</si>
  <si>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</si>
  <si>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</si>
  <si>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</si>
  <si>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</si>
  <si>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</si>
  <si>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</si>
  <si>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</si>
  <si>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</si>
  <si>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</si>
  <si>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</si>
  <si>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</si>
  <si>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</si>
  <si>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</si>
  <si>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</si>
  <si>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</si>
  <si>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</si>
  <si>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</si>
  <si>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</si>
  <si>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</si>
  <si>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</si>
  <si>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</si>
  <si>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</si>
  <si>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</si>
  <si>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</si>
  <si>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</si>
  <si>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</si>
  <si>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</si>
  <si>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</si>
  <si>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</si>
  <si>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</si>
  <si>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</si>
  <si>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</si>
  <si>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</si>
  <si>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</si>
  <si>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</si>
  <si>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</si>
  <si>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</si>
  <si>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</si>
  <si>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</si>
  <si>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</si>
  <si>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</si>
  <si>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</si>
  <si>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</si>
  <si>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</si>
  <si>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</si>
  <si>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</si>
  <si>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</si>
  <si>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</si>
  <si>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</si>
  <si>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</si>
  <si>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</si>
  <si>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</si>
  <si>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</si>
  <si>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</si>
  <si>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</si>
  <si>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</si>
  <si>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</si>
  <si>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</si>
  <si>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</si>
  <si>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</si>
  <si>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</si>
  <si>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</si>
  <si>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</si>
  <si>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</si>
  <si>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</si>
  <si>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</si>
  <si>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</si>
  <si>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</si>
  <si>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</si>
  <si>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</si>
  <si>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</si>
  <si>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</si>
  <si>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</si>
  <si>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</si>
  <si>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</si>
  <si>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</si>
  <si>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</si>
  <si>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</si>
  <si>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</si>
  <si>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</si>
  <si>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</si>
  <si>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</si>
  <si>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</si>
  <si>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</si>
  <si>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</si>
  <si>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</si>
  <si>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</si>
  <si>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</si>
  <si>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</si>
  <si>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</si>
  <si>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</si>
  <si>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</si>
  <si>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</si>
  <si>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</si>
  <si>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</si>
  <si>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</si>
  <si>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</si>
  <si>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</si>
  <si>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</si>
  <si>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</si>
  <si>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</si>
  <si>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</si>
  <si>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</si>
  <si>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</si>
  <si>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</si>
  <si>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</si>
  <si>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</si>
  <si>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</si>
  <si>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</si>
  <si>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</si>
  <si>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</si>
  <si>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</si>
  <si>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</si>
  <si>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</si>
  <si>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</si>
  <si>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</si>
  <si>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</si>
  <si>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</si>
  <si>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</si>
  <si>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</si>
  <si>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</si>
  <si>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</si>
  <si>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</si>
  <si>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</si>
  <si>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</si>
  <si>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</si>
  <si>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</si>
  <si>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</si>
  <si>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</si>
  <si>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</si>
  <si>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</si>
  <si>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</si>
  <si>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</si>
  <si>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</si>
  <si>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</si>
  <si>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</si>
  <si>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</si>
  <si>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</si>
  <si>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</si>
  <si>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</si>
  <si>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</si>
  <si>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</si>
  <si>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</si>
  <si>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</si>
  <si>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</si>
  <si>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</si>
  <si>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</si>
  <si>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</si>
  <si>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</si>
  <si>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</si>
  <si>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</si>
  <si>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</si>
  <si>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</si>
  <si>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</si>
  <si>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</si>
  <si>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</si>
  <si>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</si>
  <si>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</si>
  <si>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</si>
  <si>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</si>
  <si>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</si>
  <si>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</si>
  <si>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</si>
  <si>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</si>
  <si>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</si>
  <si>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</si>
  <si>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</si>
  <si>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</si>
  <si>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</si>
  <si>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</si>
  <si>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</si>
  <si>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</si>
  <si>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</si>
  <si>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</si>
  <si>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</si>
  <si>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</si>
  <si>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</si>
  <si>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</si>
  <si>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</si>
  <si>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</si>
  <si>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</si>
  <si>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</si>
  <si>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</si>
  <si>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</si>
  <si>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</si>
  <si>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</si>
  <si>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</si>
  <si>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</si>
  <si>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</si>
  <si>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</si>
  <si>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</si>
  <si>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</si>
  <si>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</si>
  <si>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</si>
  <si>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</si>
  <si>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</si>
  <si>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</si>
  <si>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</si>
  <si>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</si>
  <si>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</si>
  <si>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</si>
  <si>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</si>
  <si>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</si>
  <si>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</si>
  <si>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</si>
  <si>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</si>
  <si>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</si>
  <si>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</si>
  <si>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</si>
  <si>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</si>
  <si>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</si>
  <si>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</si>
  <si>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</si>
  <si>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</si>
  <si>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</si>
  <si>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</si>
  <si>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</si>
  <si>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</si>
  <si>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</si>
  <si>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</si>
  <si>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</si>
  <si>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</si>
  <si>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</si>
  <si>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</si>
  <si>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</si>
  <si>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</si>
  <si>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</si>
  <si>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</si>
  <si>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</si>
  <si>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</si>
  <si>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</si>
  <si>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</si>
  <si>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</si>
  <si>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</si>
  <si>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</si>
  <si>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</si>
  <si>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</si>
  <si>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</si>
  <si>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</si>
  <si>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</si>
  <si>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</si>
  <si>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</si>
  <si>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</si>
  <si>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</si>
  <si>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</si>
  <si>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</si>
  <si>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</si>
  <si>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</si>
  <si>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</si>
  <si>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</si>
  <si>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</si>
  <si>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</si>
  <si>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</si>
  <si>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</si>
  <si>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</si>
  <si>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</si>
  <si>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</si>
  <si>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</si>
  <si>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</si>
  <si>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</si>
  <si>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</si>
  <si>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</si>
  <si>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</si>
  <si>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</si>
  <si>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</si>
  <si>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</si>
  <si>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</si>
  <si>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</si>
  <si>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</si>
  <si>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</si>
  <si>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</si>
  <si>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</si>
  <si>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</si>
  <si>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</si>
  <si>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</si>
  <si>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</si>
  <si>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</si>
  <si>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</si>
  <si>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</si>
  <si>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</si>
  <si>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</si>
  <si>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</si>
  <si>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</si>
  <si>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</si>
  <si>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</si>
  <si>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</si>
  <si>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</si>
  <si>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</si>
  <si>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</si>
  <si>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</si>
  <si>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</si>
  <si>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</si>
  <si>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</si>
  <si>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</si>
  <si>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</si>
  <si>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</si>
  <si>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</si>
  <si>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</si>
  <si>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</si>
  <si>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</si>
  <si>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</si>
  <si>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</si>
  <si>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</si>
  <si>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</si>
  <si>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</si>
  <si>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</si>
  <si>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</si>
  <si>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</si>
  <si>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</si>
  <si>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</si>
  <si>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</si>
  <si>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</si>
  <si>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</si>
  <si>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</si>
  <si>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</si>
  <si>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</si>
  <si>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</si>
  <si>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</si>
  <si>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</si>
  <si>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</si>
  <si>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</si>
  <si>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</si>
  <si>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</si>
  <si>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</si>
  <si>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</si>
  <si>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</si>
  <si>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</si>
  <si>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</si>
  <si>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</si>
  <si>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</si>
  <si>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</si>
  <si>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</si>
  <si>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</si>
  <si>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</si>
  <si>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</si>
  <si>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</si>
  <si>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</si>
  <si>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</si>
  <si>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</si>
  <si>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</si>
  <si>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</si>
  <si>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</si>
  <si>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</si>
  <si>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</si>
  <si>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</si>
  <si>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</si>
  <si>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</si>
  <si>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</si>
  <si>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</si>
  <si>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</si>
  <si>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</si>
  <si>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</si>
  <si>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</si>
  <si>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</si>
  <si>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</si>
  <si>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</si>
  <si>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</si>
  <si>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</si>
  <si>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</si>
  <si>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</si>
  <si>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</si>
  <si>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</si>
  <si>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</si>
  <si>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</si>
  <si>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</si>
  <si>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</si>
  <si>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</si>
  <si>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</si>
  <si>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</si>
  <si>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</si>
  <si>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</si>
  <si>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</si>
  <si>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</si>
  <si>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</si>
  <si>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</si>
  <si>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</si>
  <si>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</si>
  <si>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</si>
  <si>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</si>
  <si>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</si>
  <si>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</si>
  <si>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</si>
  <si>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</si>
  <si>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</si>
  <si>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</si>
  <si>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</si>
  <si>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</si>
  <si>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</si>
  <si>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</si>
  <si>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</si>
  <si>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</si>
  <si>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</si>
  <si>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</si>
  <si>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</si>
  <si>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</si>
  <si>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</si>
  <si>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</si>
  <si>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</si>
  <si>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</si>
  <si>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</si>
  <si>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</si>
  <si>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</si>
  <si>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</si>
  <si>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</si>
  <si>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</si>
  <si>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</si>
  <si>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</si>
  <si>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</si>
  <si>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</si>
  <si>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</si>
  <si>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</si>
  <si>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</si>
  <si>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</si>
  <si>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</si>
  <si>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</si>
  <si>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</si>
  <si>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</si>
  <si>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</si>
  <si>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</si>
  <si>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</si>
  <si>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</si>
  <si>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</si>
  <si>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</si>
  <si>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</si>
  <si>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</si>
  <si>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</si>
  <si>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</si>
  <si>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</si>
  <si>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</si>
  <si>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</si>
  <si>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</si>
  <si>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</si>
  <si>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</si>
  <si>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</si>
  <si>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</si>
  <si>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</si>
  <si>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</si>
  <si>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</si>
  <si>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</si>
  <si>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</si>
  <si>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</si>
  <si>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</si>
  <si>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</si>
  <si>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</si>
  <si>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</si>
  <si>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</si>
  <si>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</si>
  <si>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</si>
  <si>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</si>
  <si>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</si>
  <si>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</si>
  <si>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</si>
  <si>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</si>
  <si>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</si>
  <si>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</si>
  <si>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</si>
  <si>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</si>
  <si>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</si>
  <si>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</si>
  <si>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</si>
  <si>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</si>
  <si>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</si>
  <si>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</si>
  <si>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</si>
  <si>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</si>
  <si>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</si>
  <si>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</si>
  <si>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</si>
  <si>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</si>
  <si>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</si>
  <si>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</si>
  <si>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</si>
  <si>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</si>
  <si>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</si>
  <si>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</si>
  <si>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</si>
  <si>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</si>
  <si>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</si>
  <si>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</si>
  <si>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</si>
  <si>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</si>
  <si>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</si>
  <si>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</si>
  <si>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</si>
  <si>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</si>
  <si>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</si>
  <si>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</si>
  <si>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</si>
  <si>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</si>
  <si>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</si>
  <si>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</si>
  <si>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</si>
  <si>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</si>
  <si>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</si>
  <si>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</si>
  <si>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</si>
  <si>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</si>
  <si>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</si>
  <si>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</si>
  <si>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</si>
  <si>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</si>
  <si>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</si>
  <si>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</si>
  <si>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</si>
  <si>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</si>
  <si>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</si>
  <si>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</si>
  <si>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</si>
  <si>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</si>
  <si>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</si>
  <si>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</si>
  <si>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</si>
  <si>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</si>
  <si>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</si>
  <si>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</si>
  <si>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</si>
  <si>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</si>
  <si>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</si>
  <si>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</si>
  <si>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</si>
  <si>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</si>
  <si>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</si>
  <si>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</si>
  <si>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</si>
  <si>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</si>
  <si>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</si>
  <si>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</si>
  <si>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</si>
  <si>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</si>
  <si>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</si>
  <si>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</si>
  <si>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</si>
  <si>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</si>
  <si>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</si>
  <si>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</si>
  <si>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</si>
  <si>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</si>
  <si>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</si>
  <si>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</si>
  <si>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</si>
  <si>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</si>
  <si>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</si>
  <si>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</si>
  <si>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</si>
  <si>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</si>
  <si>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</si>
  <si>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</si>
  <si>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</si>
  <si>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</si>
  <si>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</si>
  <si>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</si>
  <si>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</si>
  <si>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</si>
  <si>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</si>
  <si>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</si>
  <si>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</si>
  <si>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</si>
  <si>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</si>
  <si>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</si>
  <si>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</si>
  <si>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</si>
  <si>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</si>
  <si>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</si>
  <si>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</si>
  <si>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</si>
  <si>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</si>
  <si>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</si>
  <si>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</si>
  <si>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</si>
  <si>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</si>
  <si>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</si>
  <si>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</si>
  <si>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</si>
  <si>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</si>
  <si>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</si>
  <si>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</si>
  <si>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</si>
  <si>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</si>
  <si>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</si>
  <si>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</si>
  <si>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</si>
  <si>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</si>
  <si>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</si>
  <si>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</si>
  <si>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</si>
  <si>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</si>
  <si>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</si>
  <si>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</si>
  <si>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</si>
  <si>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</si>
  <si>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</si>
  <si>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</si>
  <si>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</si>
  <si>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</si>
  <si>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</si>
  <si>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</si>
  <si>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</si>
  <si>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</si>
  <si>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</si>
  <si>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</si>
  <si>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</si>
  <si>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</si>
  <si>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</si>
  <si>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</si>
  <si>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</si>
  <si>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</si>
  <si>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</si>
  <si>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</si>
  <si>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</si>
  <si>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</si>
  <si>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</si>
  <si>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</si>
  <si>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</si>
  <si>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</si>
  <si>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</si>
  <si>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</si>
  <si>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</si>
  <si>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</si>
  <si>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</si>
  <si>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</si>
  <si>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</si>
  <si>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</si>
  <si>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</si>
  <si>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</si>
  <si>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</si>
  <si>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</si>
  <si>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</si>
  <si>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</si>
  <si>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</si>
  <si>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</si>
  <si>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</si>
  <si>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</si>
  <si>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</si>
  <si>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</si>
  <si>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</si>
  <si>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</si>
  <si>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</si>
  <si>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</si>
  <si>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</si>
  <si>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</si>
  <si>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</si>
  <si>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</si>
  <si>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</si>
  <si>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</si>
  <si>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</si>
  <si>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</si>
  <si>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</si>
  <si>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</si>
  <si>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</si>
  <si>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</si>
  <si>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</si>
  <si>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</si>
  <si>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</si>
  <si>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</si>
  <si>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</si>
  <si>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</si>
  <si>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</si>
  <si>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</si>
  <si>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</si>
  <si>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</si>
  <si>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</si>
  <si>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</si>
  <si>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</si>
  <si>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</si>
  <si>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</si>
  <si>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</si>
  <si>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</si>
  <si>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</si>
  <si>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</si>
  <si>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</si>
  <si>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</si>
  <si>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</si>
  <si>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</si>
  <si>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</si>
  <si>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</si>
  <si>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</si>
  <si>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</si>
  <si>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</si>
  <si>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</si>
  <si>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</si>
  <si>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</si>
  <si>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</si>
  <si>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</si>
  <si>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</si>
  <si>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</si>
  <si>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</si>
  <si>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</si>
  <si>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</si>
  <si>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</si>
  <si>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</si>
  <si>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</si>
  <si>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</si>
  <si>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</si>
  <si>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</si>
  <si>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</si>
  <si>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</si>
  <si>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</si>
  <si>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</si>
  <si>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</si>
  <si>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</si>
  <si>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</si>
  <si>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</si>
  <si>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</si>
  <si>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</si>
  <si>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</si>
  <si>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</si>
  <si>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</si>
  <si>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</si>
  <si>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</si>
  <si>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</si>
  <si>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</si>
  <si>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</si>
  <si>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</si>
  <si>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</si>
  <si>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</si>
  <si>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</si>
  <si>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</si>
  <si>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</si>
  <si>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</si>
  <si>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</si>
  <si>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</si>
  <si>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</si>
  <si>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</si>
  <si>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</si>
  <si>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</si>
  <si>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</si>
  <si>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</si>
  <si>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</si>
  <si>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</si>
  <si>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</si>
  <si>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</si>
  <si>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</si>
  <si>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</si>
  <si>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</si>
  <si>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</si>
  <si>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</si>
  <si>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</si>
  <si>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</si>
  <si>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</si>
  <si>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</si>
  <si>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</si>
  <si>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</si>
  <si>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</si>
  <si>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</si>
  <si>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</si>
  <si>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</si>
  <si>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</si>
  <si>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</si>
  <si>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</si>
  <si>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</si>
  <si>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</si>
  <si>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</si>
  <si>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</si>
  <si>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</si>
  <si>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</si>
  <si>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</si>
  <si>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</si>
  <si>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</si>
  <si>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</si>
  <si>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</si>
  <si>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</si>
  <si>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</si>
  <si>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</si>
  <si>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</si>
  <si>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</si>
  <si>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</si>
  <si>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</si>
  <si>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</si>
  <si>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</si>
  <si>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</si>
  <si>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</si>
  <si>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</si>
  <si>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</si>
  <si>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</si>
  <si>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</si>
  <si>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</si>
  <si>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</si>
  <si>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</si>
  <si>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</si>
  <si>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</si>
  <si>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</si>
  <si>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</si>
  <si>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</si>
  <si>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</si>
  <si>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</si>
  <si>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</si>
  <si>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</si>
  <si>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</si>
  <si>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</si>
  <si>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</si>
  <si>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</si>
  <si>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</si>
  <si>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</si>
  <si>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</si>
  <si>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</si>
  <si>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</si>
  <si>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</si>
  <si>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</si>
  <si>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</si>
  <si>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</si>
  <si>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</si>
  <si>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</si>
  <si>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</si>
  <si>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</si>
  <si>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</si>
  <si>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</si>
  <si>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</si>
  <si>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</si>
  <si>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</si>
  <si>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</si>
  <si>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</si>
  <si>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</si>
  <si>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</si>
  <si>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</si>
  <si>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</si>
  <si>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</si>
  <si>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</si>
  <si>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</si>
  <si>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</si>
  <si>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</si>
  <si>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</si>
  <si>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</si>
  <si>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</si>
  <si>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</si>
  <si>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</si>
  <si>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</si>
  <si>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</si>
  <si>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</si>
  <si>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</si>
  <si>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</si>
  <si>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</si>
  <si>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</si>
  <si>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</si>
  <si>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</si>
  <si>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</si>
  <si>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</si>
  <si>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</si>
  <si>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</si>
  <si>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</si>
  <si>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</si>
  <si>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</si>
  <si>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</si>
  <si>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</si>
  <si>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</si>
  <si>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</si>
  <si>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</si>
  <si>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</si>
  <si>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</si>
  <si>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</si>
  <si>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</si>
  <si>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</si>
  <si>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</si>
  <si>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</si>
  <si>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</si>
  <si>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</si>
  <si>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</si>
  <si>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</si>
  <si>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</si>
  <si>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</si>
  <si>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</si>
  <si>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</si>
  <si>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</si>
  <si>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</si>
  <si>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</si>
  <si>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</si>
  <si>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</si>
  <si>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</si>
  <si>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</si>
  <si>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</si>
  <si>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</si>
  <si>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</si>
  <si>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</si>
  <si>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</si>
  <si>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</si>
  <si>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</si>
  <si>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</si>
  <si>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</si>
  <si>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</si>
  <si>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</si>
  <si>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</si>
  <si>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</si>
  <si>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</si>
  <si>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</si>
  <si>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</si>
  <si>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</si>
  <si>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</si>
  <si>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</si>
  <si>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</si>
  <si>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</si>
  <si>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</si>
  <si>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</si>
  <si>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</si>
  <si>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</si>
  <si>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</si>
  <si>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</si>
  <si>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</si>
  <si>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</si>
  <si>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</si>
  <si>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</si>
  <si>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</si>
  <si>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</si>
  <si>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</si>
  <si>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</si>
  <si>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</si>
  <si>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</si>
  <si>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</si>
  <si>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</si>
  <si>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</si>
  <si>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</si>
  <si>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</si>
  <si>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</si>
  <si>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</si>
  <si>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</si>
  <si>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</si>
  <si>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</si>
  <si>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</si>
  <si>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</si>
  <si>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</si>
  <si>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</si>
  <si>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</si>
  <si>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</si>
  <si>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</si>
  <si>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</si>
  <si>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</si>
  <si>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</si>
  <si>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</si>
  <si>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</si>
  <si>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</si>
  <si>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</si>
  <si>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</si>
  <si>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</si>
  <si>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</si>
  <si>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</si>
  <si>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</si>
  <si>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</si>
  <si>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</si>
  <si>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</si>
  <si>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</si>
  <si>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</si>
  <si>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</si>
  <si>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</si>
  <si>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</si>
  <si>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</si>
  <si>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</si>
  <si>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</si>
  <si>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</si>
  <si>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</si>
  <si>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</si>
  <si>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</si>
  <si>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</si>
  <si>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</si>
  <si>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</si>
  <si>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</si>
  <si>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</si>
  <si>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</si>
  <si>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</si>
  <si>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</si>
  <si>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</si>
  <si>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</si>
  <si>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</si>
  <si>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</si>
  <si>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</si>
  <si>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</si>
  <si>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</si>
  <si>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</si>
  <si>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</si>
  <si>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</si>
  <si>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</si>
  <si>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</si>
  <si>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</si>
  <si>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</si>
  <si>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</si>
  <si>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</si>
  <si>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</si>
  <si>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</si>
  <si>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</si>
  <si>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</si>
  <si>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</si>
  <si>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</si>
  <si>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</si>
  <si>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</si>
  <si>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</si>
  <si>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</si>
  <si>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</si>
  <si>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</si>
  <si>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</si>
  <si>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</si>
  <si>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</si>
  <si>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</si>
  <si>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</si>
  <si>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</si>
  <si>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</si>
  <si>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</si>
  <si>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</si>
  <si>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</si>
  <si>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</si>
  <si>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</si>
  <si>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</si>
  <si>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</si>
  <si>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</si>
  <si>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</si>
  <si>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</si>
  <si>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</si>
  <si>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</si>
  <si>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</si>
  <si>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</si>
  <si>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</si>
  <si>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</si>
  <si>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</si>
  <si>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</si>
  <si>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</si>
  <si>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</si>
  <si>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et</t>
  </si>
  <si>
    <t xml:space="preserve">Total Evapotranspiration</t>
  </si>
  <si>
    <t xml:space="preserve">web</t>
  </si>
  <si>
    <t xml:space="preserve">Available in LPJ-GUESS. Is now implemented as a monthly output from LPJ-GUESS.</t>
  </si>
  <si>
    <t xml:space="preserve">ec</t>
  </si>
  <si>
    <t xml:space="preserve">Interception evaporation</t>
  </si>
  <si>
    <t xml:space="preserve">Available in LPJ-GUESS.  Already exist as - evspsblveg - Total Evaporation of intercepted water from Canopy [kg m-2 s-1]</t>
  </si>
  <si>
    <t xml:space="preserve">tran</t>
  </si>
  <si>
    <t xml:space="preserve">Transpiration</t>
  </si>
  <si>
    <t xml:space="preserve">Available in LPJ-GUESS.  Already exist as - tran - Transpiration [kg m-2 s-1]</t>
  </si>
  <si>
    <t xml:space="preserve">Transpiration (may include dew formation as a negative flux).</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</si>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</sst>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90"/>
  <sheetViews>
    <sheetView showFormulas="false" showGridLines="true" showRowColHeaders="true" showZeros="true" rightToLeft="false" tabSelected="true" showOutlineSymbols="true" defaultGridColor="true" view="normal" topLeftCell="A488" colorId="64" zoomScale="100" zoomScaleNormal="100" zoomScalePageLayoutView="100" workbookViewId="0">
      <selection pane="topLeft" activeCell="A505" activeCellId="0" sqref="505:505"/>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5" hidden="false" customHeight="false" outlineLevel="0" collapsed="false"/>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2" customFormat="false" ht="15" hidden="false" customHeight="false" outlineLevel="0" collapsed="false"/>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7" customFormat="false" ht="15" hidden="false" customHeight="false" outlineLevel="0" collapsed="false"/>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19" customFormat="false" ht="15" hidden="false" customHeight="false" outlineLevel="0" collapsed="false"/>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8" customFormat="false" ht="15" hidden="false" customHeight="false" outlineLevel="0" collapsed="false"/>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1" customFormat="false" ht="15" hidden="false" customHeight="false" outlineLevel="0" collapsed="false"/>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0" customFormat="false" ht="15" hidden="false" customHeight="false" outlineLevel="0" collapsed="false"/>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89" customFormat="false" ht="15" hidden="false" customHeight="false" outlineLevel="0" collapsed="false"/>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8" customFormat="false" ht="15" hidden="false" customHeight="false" outlineLevel="0" collapsed="false"/>
    <row r="109" customFormat="false" ht="15" hidden="false" customHeight="false" outlineLevel="0" collapsed="false">
      <c r="A109" s="0" t="s">
        <v>383</v>
      </c>
      <c r="B109" s="0" t="s">
        <v>384</v>
      </c>
      <c r="C109" s="0" t="s">
        <v>12</v>
      </c>
      <c r="D109" s="0" t="s">
        <v>81</v>
      </c>
      <c r="E109" s="0" t="s">
        <v>385</v>
      </c>
      <c r="F109" s="0" t="n">
        <f aca="false">HYPERLINK("http://clipc-services.ceda.ac.uk/dreq/u/4bccb8dcdb0ffe97dc89475c91ed66cc.html","web")</f>
        <v>0</v>
      </c>
      <c r="G109" s="0" t="s">
        <v>57</v>
      </c>
      <c r="H109" s="0" t="s">
        <v>58</v>
      </c>
      <c r="I109" s="0" t="s">
        <v>386</v>
      </c>
      <c r="J109" s="0" t="s">
        <v>387</v>
      </c>
    </row>
    <row r="110" customFormat="false" ht="15" hidden="false" customHeight="false" outlineLevel="0" collapsed="false">
      <c r="A110" s="0" t="s">
        <v>383</v>
      </c>
      <c r="B110" s="0" t="s">
        <v>388</v>
      </c>
      <c r="C110" s="0" t="s">
        <v>12</v>
      </c>
      <c r="D110" s="0" t="s">
        <v>389</v>
      </c>
      <c r="E110" s="0" t="s">
        <v>390</v>
      </c>
      <c r="F110" s="0" t="n">
        <f aca="false">HYPERLINK("http://clipc-services.ceda.ac.uk/dreq/u/6901f6894f7382d628084809e7208c4b.html","web")</f>
        <v>0</v>
      </c>
      <c r="G110" s="0" t="s">
        <v>57</v>
      </c>
      <c r="H110" s="0" t="s">
        <v>58</v>
      </c>
      <c r="I110" s="0" t="s">
        <v>391</v>
      </c>
      <c r="J110" s="0" t="s">
        <v>387</v>
      </c>
    </row>
    <row r="111" customFormat="false" ht="15" hidden="false" customHeight="false" outlineLevel="0" collapsed="false">
      <c r="A111" s="0" t="s">
        <v>383</v>
      </c>
      <c r="B111" s="0" t="s">
        <v>392</v>
      </c>
      <c r="C111" s="0" t="s">
        <v>12</v>
      </c>
      <c r="D111" s="0" t="s">
        <v>389</v>
      </c>
      <c r="E111" s="0" t="s">
        <v>393</v>
      </c>
      <c r="F111" s="0" t="n">
        <f aca="false">HYPERLINK("http://clipc-services.ceda.ac.uk/dreq/u/dbba7f5717d68960a82b228e03dea7b7.html","web")</f>
        <v>0</v>
      </c>
      <c r="G111" s="0" t="s">
        <v>57</v>
      </c>
      <c r="H111" s="0" t="s">
        <v>58</v>
      </c>
      <c r="I111" s="0" t="s">
        <v>394</v>
      </c>
      <c r="J111" s="0" t="s">
        <v>387</v>
      </c>
    </row>
    <row r="112" customFormat="false" ht="15" hidden="false" customHeight="false" outlineLevel="0" collapsed="false">
      <c r="A112" s="0" t="s">
        <v>383</v>
      </c>
      <c r="B112" s="0" t="s">
        <v>395</v>
      </c>
      <c r="C112" s="0" t="s">
        <v>12</v>
      </c>
      <c r="D112" s="0" t="s">
        <v>389</v>
      </c>
      <c r="E112" s="0" t="s">
        <v>396</v>
      </c>
      <c r="F112" s="0" t="n">
        <f aca="false">HYPERLINK("http://clipc-services.ceda.ac.uk/dreq/u/d4ee4806-b00f-11e6-a1f0-ac72891c3257.html","web")</f>
        <v>0</v>
      </c>
      <c r="G112" s="0" t="s">
        <v>57</v>
      </c>
      <c r="H112" s="0" t="s">
        <v>58</v>
      </c>
      <c r="I112" s="0" t="s">
        <v>397</v>
      </c>
      <c r="J112" s="0" t="s">
        <v>387</v>
      </c>
    </row>
    <row r="113" customFormat="false" ht="15" hidden="false" customHeight="false" outlineLevel="0" collapsed="false">
      <c r="A113" s="0" t="s">
        <v>383</v>
      </c>
      <c r="B113" s="0" t="s">
        <v>398</v>
      </c>
      <c r="C113" s="0" t="s">
        <v>12</v>
      </c>
      <c r="D113" s="0" t="s">
        <v>81</v>
      </c>
      <c r="E113" s="0" t="s">
        <v>399</v>
      </c>
      <c r="F113" s="0" t="n">
        <f aca="false">HYPERLINK("http://clipc-services.ceda.ac.uk/dreq/u/1bb6dca6b08a4e887ded8a455ef04941.html","web")</f>
        <v>0</v>
      </c>
      <c r="G113" s="0" t="s">
        <v>57</v>
      </c>
      <c r="H113" s="0" t="s">
        <v>58</v>
      </c>
      <c r="I113" s="0" t="s">
        <v>400</v>
      </c>
      <c r="J113" s="0" t="s">
        <v>387</v>
      </c>
    </row>
    <row r="114" customFormat="false" ht="15" hidden="false" customHeight="false" outlineLevel="0" collapsed="false">
      <c r="A114" s="0" t="s">
        <v>383</v>
      </c>
      <c r="B114" s="0" t="s">
        <v>401</v>
      </c>
      <c r="C114" s="0" t="s">
        <v>12</v>
      </c>
      <c r="D114" s="0" t="s">
        <v>402</v>
      </c>
      <c r="E114" s="0" t="s">
        <v>403</v>
      </c>
      <c r="F114" s="0" t="n">
        <f aca="false">HYPERLINK("http://clipc-services.ceda.ac.uk/dreq/u/1f5bb8c9dd54043a9d5f71dfe38f5a19.html","web")</f>
        <v>0</v>
      </c>
      <c r="G114" s="0" t="s">
        <v>57</v>
      </c>
      <c r="H114" s="0" t="s">
        <v>58</v>
      </c>
      <c r="I114" s="0" t="s">
        <v>404</v>
      </c>
      <c r="J114" s="0" t="s">
        <v>387</v>
      </c>
    </row>
    <row r="115" customFormat="false" ht="15" hidden="false" customHeight="false" outlineLevel="0" collapsed="false"/>
    <row r="116" customFormat="false" ht="15" hidden="false" customHeight="false" outlineLevel="0" collapsed="false">
      <c r="A116" s="0" t="s">
        <v>405</v>
      </c>
      <c r="B116" s="0" t="s">
        <v>406</v>
      </c>
      <c r="C116" s="0" t="s">
        <v>12</v>
      </c>
      <c r="D116" s="0" t="s">
        <v>55</v>
      </c>
      <c r="E116" s="0" t="s">
        <v>407</v>
      </c>
      <c r="F116" s="0" t="n">
        <f aca="false">HYPERLINK("http://clipc-services.ceda.ac.uk/dreq/u/590e8b2a-9e49-11e5-803c-0d0b866b59f3.html","web")</f>
        <v>0</v>
      </c>
      <c r="G116" s="0" t="s">
        <v>57</v>
      </c>
      <c r="H116" s="0" t="s">
        <v>58</v>
      </c>
      <c r="I116" s="0" t="s">
        <v>408</v>
      </c>
      <c r="J116" s="0" t="s">
        <v>409</v>
      </c>
    </row>
    <row r="117" customFormat="false" ht="15" hidden="false" customHeight="false" outlineLevel="0" collapsed="false">
      <c r="A117" s="0" t="s">
        <v>405</v>
      </c>
      <c r="B117" s="0" t="s">
        <v>410</v>
      </c>
      <c r="C117" s="0" t="s">
        <v>12</v>
      </c>
      <c r="D117" s="0" t="s">
        <v>55</v>
      </c>
      <c r="E117" s="0" t="s">
        <v>411</v>
      </c>
      <c r="F117" s="0" t="n">
        <f aca="false">HYPERLINK("http://clipc-services.ceda.ac.uk/dreq/u/5917184e-9e49-11e5-803c-0d0b866b59f3.html","web")</f>
        <v>0</v>
      </c>
      <c r="G117" s="0" t="s">
        <v>57</v>
      </c>
      <c r="H117" s="0" t="s">
        <v>58</v>
      </c>
      <c r="I117" s="0" t="s">
        <v>412</v>
      </c>
      <c r="J117" s="0" t="s">
        <v>413</v>
      </c>
    </row>
    <row r="118" customFormat="false" ht="15" hidden="false" customHeight="false" outlineLevel="0" collapsed="false">
      <c r="A118" s="0" t="s">
        <v>405</v>
      </c>
      <c r="B118" s="0" t="s">
        <v>414</v>
      </c>
      <c r="C118" s="0" t="s">
        <v>12</v>
      </c>
      <c r="D118" s="0" t="s">
        <v>55</v>
      </c>
      <c r="E118" s="0" t="s">
        <v>415</v>
      </c>
      <c r="F118" s="0" t="n">
        <f aca="false">HYPERLINK("http://clipc-services.ceda.ac.uk/dreq/u/591801d2-9e49-11e5-803c-0d0b866b59f3.html","web")</f>
        <v>0</v>
      </c>
      <c r="G118" s="0" t="s">
        <v>57</v>
      </c>
      <c r="H118" s="0" t="s">
        <v>58</v>
      </c>
      <c r="I118" s="0" t="s">
        <v>416</v>
      </c>
      <c r="J118" s="0" t="s">
        <v>409</v>
      </c>
    </row>
    <row r="119" customFormat="false" ht="15" hidden="false" customHeight="false" outlineLevel="0" collapsed="false">
      <c r="A119" s="0" t="s">
        <v>405</v>
      </c>
      <c r="B119" s="0" t="s">
        <v>417</v>
      </c>
      <c r="C119" s="0" t="s">
        <v>12</v>
      </c>
      <c r="D119" s="0" t="s">
        <v>55</v>
      </c>
      <c r="E119" s="0" t="s">
        <v>418</v>
      </c>
      <c r="F119" s="0" t="n">
        <f aca="false">HYPERLINK("http://clipc-services.ceda.ac.uk/dreq/u/5914a6b8-9e49-11e5-803c-0d0b866b59f3.html","web")</f>
        <v>0</v>
      </c>
      <c r="G119" s="0" t="s">
        <v>57</v>
      </c>
      <c r="H119" s="0" t="s">
        <v>58</v>
      </c>
      <c r="I119" s="0" t="s">
        <v>419</v>
      </c>
      <c r="J119" s="0" t="s">
        <v>420</v>
      </c>
    </row>
    <row r="120" customFormat="false" ht="15" hidden="false" customHeight="false" outlineLevel="0" collapsed="false">
      <c r="A120" s="0" t="s">
        <v>405</v>
      </c>
      <c r="B120" s="0" t="s">
        <v>421</v>
      </c>
      <c r="C120" s="0" t="s">
        <v>54</v>
      </c>
      <c r="D120" s="0" t="s">
        <v>422</v>
      </c>
      <c r="E120" s="0" t="s">
        <v>423</v>
      </c>
      <c r="F120" s="0" t="n">
        <f aca="false">HYPERLINK("http://clipc-services.ceda.ac.uk/dreq/u/590d98b4-9e49-11e5-803c-0d0b866b59f3.html","web")</f>
        <v>0</v>
      </c>
      <c r="G120" s="0" t="s">
        <v>57</v>
      </c>
      <c r="H120" s="0" t="s">
        <v>58</v>
      </c>
      <c r="I120" s="0" t="s">
        <v>424</v>
      </c>
      <c r="J120" s="0" t="s">
        <v>425</v>
      </c>
    </row>
    <row r="121" customFormat="false" ht="15" hidden="false" customHeight="false" outlineLevel="0" collapsed="false">
      <c r="A121" s="0" t="s">
        <v>405</v>
      </c>
      <c r="B121" s="0" t="s">
        <v>426</v>
      </c>
      <c r="C121" s="0" t="s">
        <v>54</v>
      </c>
      <c r="D121" s="0" t="s">
        <v>422</v>
      </c>
      <c r="E121" s="0" t="s">
        <v>427</v>
      </c>
      <c r="F121" s="0" t="n">
        <f aca="false">HYPERLINK("http://clipc-services.ceda.ac.uk/dreq/u/59133288-9e49-11e5-803c-0d0b866b59f3.html","web")</f>
        <v>0</v>
      </c>
      <c r="G121" s="0" t="s">
        <v>57</v>
      </c>
      <c r="H121" s="0" t="s">
        <v>58</v>
      </c>
      <c r="I121" s="0" t="s">
        <v>428</v>
      </c>
      <c r="J121" s="0" t="s">
        <v>425</v>
      </c>
    </row>
    <row r="122" customFormat="false" ht="15" hidden="false" customHeight="false" outlineLevel="0" collapsed="false">
      <c r="A122" s="0" t="s">
        <v>405</v>
      </c>
      <c r="B122" s="0" t="s">
        <v>429</v>
      </c>
      <c r="C122" s="0" t="s">
        <v>54</v>
      </c>
      <c r="D122" s="0" t="s">
        <v>422</v>
      </c>
      <c r="E122" s="0" t="s">
        <v>430</v>
      </c>
      <c r="F122" s="0" t="n">
        <f aca="false">HYPERLINK("http://clipc-services.ceda.ac.uk/dreq/u/590dfdc2-9e49-11e5-803c-0d0b866b59f3.html","web")</f>
        <v>0</v>
      </c>
      <c r="G122" s="0" t="s">
        <v>57</v>
      </c>
      <c r="H122" s="0" t="s">
        <v>58</v>
      </c>
      <c r="I122" s="0" t="s">
        <v>431</v>
      </c>
      <c r="J122" s="0" t="s">
        <v>425</v>
      </c>
    </row>
    <row r="123" customFormat="false" ht="15" hidden="false" customHeight="false" outlineLevel="0" collapsed="false">
      <c r="A123" s="0" t="s">
        <v>405</v>
      </c>
      <c r="B123" s="0" t="s">
        <v>432</v>
      </c>
      <c r="C123" s="0" t="s">
        <v>12</v>
      </c>
      <c r="D123" s="0" t="s">
        <v>55</v>
      </c>
      <c r="E123" s="0" t="s">
        <v>433</v>
      </c>
      <c r="F123" s="0" t="n">
        <f aca="false">HYPERLINK("http://clipc-services.ceda.ac.uk/dreq/u/5914a456-9e49-11e5-803c-0d0b866b59f3.html","web")</f>
        <v>0</v>
      </c>
      <c r="G123" s="0" t="s">
        <v>57</v>
      </c>
      <c r="H123" s="0" t="s">
        <v>58</v>
      </c>
      <c r="I123" s="0" t="s">
        <v>434</v>
      </c>
      <c r="J123" s="0" t="s">
        <v>435</v>
      </c>
    </row>
    <row r="124" customFormat="false" ht="15" hidden="false" customHeight="false" outlineLevel="0" collapsed="false">
      <c r="A124" s="0" t="s">
        <v>405</v>
      </c>
      <c r="B124" s="0" t="s">
        <v>436</v>
      </c>
      <c r="C124" s="0" t="s">
        <v>80</v>
      </c>
      <c r="D124" s="0" t="s">
        <v>55</v>
      </c>
      <c r="E124" s="0" t="s">
        <v>437</v>
      </c>
      <c r="F124" s="0" t="n">
        <f aca="false">HYPERLINK("http://clipc-services.ceda.ac.uk/dreq/u/590e34fe-9e49-11e5-803c-0d0b866b59f3.html","web")</f>
        <v>0</v>
      </c>
      <c r="G124" s="0" t="s">
        <v>57</v>
      </c>
      <c r="H124" s="0" t="s">
        <v>58</v>
      </c>
      <c r="I124" s="0" t="s">
        <v>438</v>
      </c>
      <c r="J124" s="0" t="s">
        <v>439</v>
      </c>
    </row>
    <row r="125" customFormat="false" ht="15" hidden="false" customHeight="false" outlineLevel="0" collapsed="false">
      <c r="A125" s="0" t="s">
        <v>405</v>
      </c>
      <c r="B125" s="0" t="s">
        <v>440</v>
      </c>
      <c r="C125" s="0" t="s">
        <v>80</v>
      </c>
      <c r="D125" s="0" t="s">
        <v>55</v>
      </c>
      <c r="E125" s="0" t="s">
        <v>441</v>
      </c>
      <c r="F125" s="0" t="n">
        <f aca="false">HYPERLINK("http://clipc-services.ceda.ac.uk/dreq/u/5914d6d8-9e49-11e5-803c-0d0b866b59f3.html","web")</f>
        <v>0</v>
      </c>
      <c r="G125" s="0" t="s">
        <v>57</v>
      </c>
      <c r="H125" s="0" t="s">
        <v>58</v>
      </c>
      <c r="I125" s="0" t="s">
        <v>442</v>
      </c>
      <c r="J125" s="0" t="s">
        <v>425</v>
      </c>
    </row>
    <row r="126" customFormat="false" ht="15" hidden="false" customHeight="false" outlineLevel="0" collapsed="false">
      <c r="A126" s="0" t="s">
        <v>405</v>
      </c>
      <c r="B126" s="0" t="s">
        <v>443</v>
      </c>
      <c r="C126" s="0" t="s">
        <v>80</v>
      </c>
      <c r="D126" s="0" t="s">
        <v>55</v>
      </c>
      <c r="E126" s="0" t="s">
        <v>444</v>
      </c>
      <c r="F126" s="0" t="n">
        <f aca="false">HYPERLINK("http://clipc-services.ceda.ac.uk/dreq/u/5917369e-9e49-11e5-803c-0d0b866b59f3.html","web")</f>
        <v>0</v>
      </c>
      <c r="G126" s="0" t="s">
        <v>57</v>
      </c>
      <c r="H126" s="0" t="s">
        <v>58</v>
      </c>
      <c r="I126" s="0" t="s">
        <v>444</v>
      </c>
      <c r="J126" s="0" t="s">
        <v>445</v>
      </c>
    </row>
    <row r="127" customFormat="false" ht="15" hidden="false" customHeight="false" outlineLevel="0" collapsed="false">
      <c r="A127" s="0" t="s">
        <v>405</v>
      </c>
      <c r="B127" s="0" t="s">
        <v>446</v>
      </c>
      <c r="C127" s="0" t="s">
        <v>54</v>
      </c>
      <c r="D127" s="0" t="s">
        <v>55</v>
      </c>
      <c r="E127" s="0" t="s">
        <v>447</v>
      </c>
      <c r="F127" s="0" t="n">
        <f aca="false">HYPERLINK("http://clipc-services.ceda.ac.uk/dreq/u/590c7920-9e49-11e5-803c-0d0b866b59f3.html","web")</f>
        <v>0</v>
      </c>
      <c r="G127" s="0" t="s">
        <v>57</v>
      </c>
      <c r="H127" s="0" t="s">
        <v>58</v>
      </c>
      <c r="I127" s="0" t="s">
        <v>448</v>
      </c>
      <c r="J127" s="0" t="s">
        <v>425</v>
      </c>
    </row>
    <row r="128" customFormat="false" ht="15" hidden="false" customHeight="false" outlineLevel="0" collapsed="false">
      <c r="A128" s="0" t="s">
        <v>405</v>
      </c>
      <c r="B128" s="0" t="s">
        <v>449</v>
      </c>
      <c r="C128" s="0" t="s">
        <v>54</v>
      </c>
      <c r="D128" s="0" t="s">
        <v>55</v>
      </c>
      <c r="E128" s="0" t="s">
        <v>450</v>
      </c>
      <c r="F128" s="0" t="n">
        <f aca="false">HYPERLINK("http://clipc-services.ceda.ac.uk/dreq/u/5913e674-9e49-11e5-803c-0d0b866b59f3.html","web")</f>
        <v>0</v>
      </c>
      <c r="G128" s="0" t="s">
        <v>57</v>
      </c>
      <c r="H128" s="0" t="s">
        <v>58</v>
      </c>
      <c r="I128" s="0" t="s">
        <v>451</v>
      </c>
      <c r="J128" s="0" t="s">
        <v>452</v>
      </c>
    </row>
    <row r="129" customFormat="false" ht="15" hidden="false" customHeight="false" outlineLevel="0" collapsed="false">
      <c r="A129" s="0" t="s">
        <v>405</v>
      </c>
      <c r="B129" s="0" t="s">
        <v>453</v>
      </c>
      <c r="C129" s="0" t="s">
        <v>80</v>
      </c>
      <c r="D129" s="0" t="s">
        <v>55</v>
      </c>
      <c r="E129" s="0" t="s">
        <v>454</v>
      </c>
      <c r="F129" s="0" t="n">
        <f aca="false">HYPERLINK("http://clipc-services.ceda.ac.uk/dreq/u/590dac64-9e49-11e5-803c-0d0b866b59f3.html","web")</f>
        <v>0</v>
      </c>
      <c r="G129" s="0" t="s">
        <v>57</v>
      </c>
      <c r="H129" s="0" t="s">
        <v>58</v>
      </c>
      <c r="I129" s="0" t="s">
        <v>455</v>
      </c>
      <c r="J129" s="0" t="s">
        <v>425</v>
      </c>
    </row>
    <row r="130" customFormat="false" ht="15" hidden="false" customHeight="false" outlineLevel="0" collapsed="false">
      <c r="A130" s="0" t="s">
        <v>405</v>
      </c>
      <c r="B130" s="0" t="s">
        <v>456</v>
      </c>
      <c r="C130" s="0" t="s">
        <v>80</v>
      </c>
      <c r="D130" s="0" t="s">
        <v>55</v>
      </c>
      <c r="E130" s="0" t="s">
        <v>457</v>
      </c>
      <c r="F130" s="0" t="n">
        <f aca="false">HYPERLINK("http://clipc-services.ceda.ac.uk/dreq/u/590f9d30-9e49-11e5-803c-0d0b866b59f3.html","web")</f>
        <v>0</v>
      </c>
      <c r="G130" s="0" t="s">
        <v>57</v>
      </c>
      <c r="H130" s="0" t="s">
        <v>58</v>
      </c>
      <c r="I130" s="0" t="s">
        <v>458</v>
      </c>
      <c r="J130" s="0" t="s">
        <v>445</v>
      </c>
    </row>
    <row r="131" customFormat="false" ht="15" hidden="false" customHeight="false" outlineLevel="0" collapsed="false">
      <c r="A131" s="0" t="s">
        <v>405</v>
      </c>
      <c r="B131" s="0" t="s">
        <v>459</v>
      </c>
      <c r="C131" s="0" t="s">
        <v>80</v>
      </c>
      <c r="D131" s="0" t="s">
        <v>55</v>
      </c>
      <c r="E131" s="0" t="s">
        <v>460</v>
      </c>
      <c r="F131" s="0" t="n">
        <f aca="false">HYPERLINK("http://clipc-services.ceda.ac.uk/dreq/u/5912f890-9e49-11e5-803c-0d0b866b59f3.html","web")</f>
        <v>0</v>
      </c>
      <c r="G131" s="0" t="s">
        <v>57</v>
      </c>
      <c r="H131" s="0" t="s">
        <v>58</v>
      </c>
      <c r="I131" s="0" t="s">
        <v>461</v>
      </c>
      <c r="J131" s="0" t="s">
        <v>425</v>
      </c>
    </row>
    <row r="132" customFormat="false" ht="15" hidden="false" customHeight="false" outlineLevel="0" collapsed="false">
      <c r="A132" s="0" t="s">
        <v>405</v>
      </c>
      <c r="B132" s="0" t="s">
        <v>462</v>
      </c>
      <c r="C132" s="0" t="s">
        <v>80</v>
      </c>
      <c r="D132" s="0" t="s">
        <v>55</v>
      </c>
      <c r="E132" s="0" t="s">
        <v>463</v>
      </c>
      <c r="F132" s="0" t="n">
        <f aca="false">HYPERLINK("http://clipc-services.ceda.ac.uk/dreq/u/0353bea4-dca0-11e5-81c9-5404a60d96b5.html","web")</f>
        <v>0</v>
      </c>
      <c r="G132" s="0" t="s">
        <v>57</v>
      </c>
      <c r="H132" s="0" t="s">
        <v>58</v>
      </c>
      <c r="I132" s="0" t="s">
        <v>464</v>
      </c>
      <c r="J132" s="0" t="s">
        <v>425</v>
      </c>
    </row>
    <row r="133" customFormat="false" ht="15" hidden="false" customHeight="false" outlineLevel="0" collapsed="false">
      <c r="A133" s="0" t="s">
        <v>405</v>
      </c>
      <c r="B133" s="0" t="s">
        <v>465</v>
      </c>
      <c r="C133" s="0" t="s">
        <v>80</v>
      </c>
      <c r="D133" s="0" t="s">
        <v>55</v>
      </c>
      <c r="E133" s="0" t="s">
        <v>466</v>
      </c>
      <c r="F133" s="0" t="n">
        <f aca="false">HYPERLINK("http://clipc-services.ceda.ac.uk/dreq/u/590dc60e-9e49-11e5-803c-0d0b866b59f3.html","web")</f>
        <v>0</v>
      </c>
      <c r="G133" s="0" t="s">
        <v>57</v>
      </c>
      <c r="H133" s="0" t="s">
        <v>58</v>
      </c>
      <c r="I133" s="0" t="s">
        <v>467</v>
      </c>
      <c r="J133" s="0" t="s">
        <v>425</v>
      </c>
    </row>
    <row r="134" customFormat="false" ht="15" hidden="false" customHeight="false" outlineLevel="0" collapsed="false">
      <c r="A134" s="0" t="s">
        <v>405</v>
      </c>
      <c r="B134" s="0" t="s">
        <v>468</v>
      </c>
      <c r="C134" s="0" t="s">
        <v>80</v>
      </c>
      <c r="D134" s="0" t="s">
        <v>55</v>
      </c>
      <c r="E134" s="0" t="s">
        <v>469</v>
      </c>
      <c r="F134" s="0" t="n">
        <f aca="false">HYPERLINK("http://clipc-services.ceda.ac.uk/dreq/u/590ee584-9e49-11e5-803c-0d0b866b59f3.html","web")</f>
        <v>0</v>
      </c>
      <c r="G134" s="0" t="s">
        <v>57</v>
      </c>
      <c r="H134" s="0" t="s">
        <v>58</v>
      </c>
      <c r="I134" s="0" t="s">
        <v>470</v>
      </c>
      <c r="J134" s="0" t="s">
        <v>425</v>
      </c>
    </row>
    <row r="135" customFormat="false" ht="15" hidden="false" customHeight="false" outlineLevel="0" collapsed="false">
      <c r="A135" s="0" t="s">
        <v>405</v>
      </c>
      <c r="B135" s="0" t="s">
        <v>471</v>
      </c>
      <c r="C135" s="0" t="s">
        <v>80</v>
      </c>
      <c r="D135" s="0" t="s">
        <v>55</v>
      </c>
      <c r="E135" s="0" t="s">
        <v>472</v>
      </c>
      <c r="F135" s="0" t="n">
        <f aca="false">HYPERLINK("http://clipc-services.ceda.ac.uk/dreq/u/590d95d0-9e49-11e5-803c-0d0b866b59f3.html","web")</f>
        <v>0</v>
      </c>
      <c r="G135" s="0" t="s">
        <v>57</v>
      </c>
      <c r="H135" s="0" t="s">
        <v>58</v>
      </c>
      <c r="I135" s="0" t="s">
        <v>473</v>
      </c>
      <c r="J135" s="0" t="s">
        <v>425</v>
      </c>
    </row>
    <row r="136" customFormat="false" ht="15" hidden="false" customHeight="false" outlineLevel="0" collapsed="false">
      <c r="A136" s="0" t="s">
        <v>405</v>
      </c>
      <c r="B136" s="0" t="s">
        <v>474</v>
      </c>
      <c r="C136" s="0" t="s">
        <v>80</v>
      </c>
      <c r="D136" s="0" t="s">
        <v>55</v>
      </c>
      <c r="E136" s="0" t="s">
        <v>475</v>
      </c>
      <c r="F136" s="0" t="n">
        <f aca="false">HYPERLINK("http://clipc-services.ceda.ac.uk/dreq/u/591357b8-9e49-11e5-803c-0d0b866b59f3.html","web")</f>
        <v>0</v>
      </c>
      <c r="G136" s="0" t="s">
        <v>57</v>
      </c>
      <c r="H136" s="0" t="s">
        <v>58</v>
      </c>
      <c r="I136" s="0" t="s">
        <v>476</v>
      </c>
      <c r="J136" s="0" t="s">
        <v>425</v>
      </c>
    </row>
    <row r="137" customFormat="false" ht="15" hidden="false" customHeight="false" outlineLevel="0" collapsed="false">
      <c r="A137" s="0" t="s">
        <v>405</v>
      </c>
      <c r="B137" s="0" t="s">
        <v>477</v>
      </c>
      <c r="C137" s="0" t="s">
        <v>80</v>
      </c>
      <c r="D137" s="0" t="s">
        <v>55</v>
      </c>
      <c r="E137" s="0" t="s">
        <v>478</v>
      </c>
      <c r="F137" s="0" t="n">
        <f aca="false">HYPERLINK("http://clipc-services.ceda.ac.uk/dreq/u/59149c7c-9e49-11e5-803c-0d0b866b59f3.html","web")</f>
        <v>0</v>
      </c>
      <c r="G137" s="0" t="s">
        <v>57</v>
      </c>
      <c r="H137" s="0" t="s">
        <v>58</v>
      </c>
      <c r="I137" s="0" t="s">
        <v>479</v>
      </c>
      <c r="J137" s="0" t="s">
        <v>425</v>
      </c>
    </row>
    <row r="138" customFormat="false" ht="15" hidden="false" customHeight="false" outlineLevel="0" collapsed="false">
      <c r="A138" s="0" t="s">
        <v>405</v>
      </c>
      <c r="B138" s="0" t="s">
        <v>480</v>
      </c>
      <c r="C138" s="0" t="s">
        <v>80</v>
      </c>
      <c r="D138" s="0" t="s">
        <v>55</v>
      </c>
      <c r="E138" s="0" t="s">
        <v>481</v>
      </c>
      <c r="F138" s="0" t="n">
        <f aca="false">HYPERLINK("http://clipc-services.ceda.ac.uk/dreq/u/590db4ac-9e49-11e5-803c-0d0b866b59f3.html","web")</f>
        <v>0</v>
      </c>
      <c r="G138" s="0" t="s">
        <v>57</v>
      </c>
      <c r="H138" s="0" t="s">
        <v>58</v>
      </c>
      <c r="I138" s="0" t="s">
        <v>482</v>
      </c>
      <c r="J138" s="0" t="s">
        <v>425</v>
      </c>
    </row>
    <row r="139" customFormat="false" ht="15" hidden="false" customHeight="false" outlineLevel="0" collapsed="false">
      <c r="A139" s="0" t="s">
        <v>405</v>
      </c>
      <c r="B139" s="0" t="s">
        <v>483</v>
      </c>
      <c r="C139" s="0" t="s">
        <v>80</v>
      </c>
      <c r="D139" s="0" t="s">
        <v>55</v>
      </c>
      <c r="E139" s="0" t="s">
        <v>484</v>
      </c>
      <c r="F139" s="0" t="n">
        <f aca="false">HYPERLINK("http://clipc-services.ceda.ac.uk/dreq/u/590d3518-9e49-11e5-803c-0d0b866b59f3.html","web")</f>
        <v>0</v>
      </c>
      <c r="G139" s="0" t="s">
        <v>57</v>
      </c>
      <c r="H139" s="0" t="s">
        <v>58</v>
      </c>
      <c r="I139" s="0" t="s">
        <v>485</v>
      </c>
      <c r="J139" s="0" t="s">
        <v>425</v>
      </c>
    </row>
    <row r="140" customFormat="false" ht="15" hidden="false" customHeight="false" outlineLevel="0" collapsed="false">
      <c r="A140" s="0" t="s">
        <v>405</v>
      </c>
      <c r="B140" s="0" t="s">
        <v>486</v>
      </c>
      <c r="C140" s="0" t="s">
        <v>80</v>
      </c>
      <c r="D140" s="0" t="s">
        <v>55</v>
      </c>
      <c r="E140" s="0" t="s">
        <v>487</v>
      </c>
      <c r="F140" s="0" t="n">
        <f aca="false">HYPERLINK("http://clipc-services.ceda.ac.uk/dreq/u/59146180-9e49-11e5-803c-0d0b866b59f3.html","web")</f>
        <v>0</v>
      </c>
      <c r="G140" s="0" t="s">
        <v>57</v>
      </c>
      <c r="H140" s="0" t="s">
        <v>58</v>
      </c>
      <c r="I140" s="0" t="s">
        <v>488</v>
      </c>
      <c r="J140" s="0" t="s">
        <v>452</v>
      </c>
    </row>
    <row r="141" customFormat="false" ht="15" hidden="false" customHeight="false" outlineLevel="0" collapsed="false">
      <c r="A141" s="0" t="s">
        <v>405</v>
      </c>
      <c r="B141" s="0" t="s">
        <v>489</v>
      </c>
      <c r="C141" s="0" t="s">
        <v>80</v>
      </c>
      <c r="D141" s="0" t="s">
        <v>55</v>
      </c>
      <c r="E141" s="0" t="s">
        <v>490</v>
      </c>
      <c r="F141" s="0" t="n">
        <f aca="false">HYPERLINK("http://clipc-services.ceda.ac.uk/dreq/u/59179aee-9e49-11e5-803c-0d0b866b59f3.html","web")</f>
        <v>0</v>
      </c>
      <c r="G141" s="0" t="s">
        <v>57</v>
      </c>
      <c r="H141" s="0" t="s">
        <v>58</v>
      </c>
      <c r="I141" s="0" t="s">
        <v>491</v>
      </c>
      <c r="J141" s="0" t="s">
        <v>445</v>
      </c>
    </row>
    <row r="142" customFormat="false" ht="15" hidden="false" customHeight="false" outlineLevel="0" collapsed="false">
      <c r="A142" s="0" t="s">
        <v>405</v>
      </c>
      <c r="B142" s="0" t="s">
        <v>492</v>
      </c>
      <c r="C142" s="0" t="s">
        <v>80</v>
      </c>
      <c r="D142" s="0" t="s">
        <v>55</v>
      </c>
      <c r="E142" s="0" t="s">
        <v>493</v>
      </c>
      <c r="F142" s="0" t="n">
        <f aca="false">HYPERLINK("http://clipc-services.ceda.ac.uk/dreq/u/5917ea6c-9e49-11e5-803c-0d0b866b59f3.html","web")</f>
        <v>0</v>
      </c>
      <c r="G142" s="0" t="s">
        <v>57</v>
      </c>
      <c r="H142" s="0" t="s">
        <v>58</v>
      </c>
      <c r="I142" s="0" t="s">
        <v>494</v>
      </c>
      <c r="J142" s="0" t="s">
        <v>445</v>
      </c>
    </row>
    <row r="143" customFormat="false" ht="15" hidden="false" customHeight="false" outlineLevel="0" collapsed="false">
      <c r="A143" s="0" t="s">
        <v>405</v>
      </c>
      <c r="B143" s="0" t="s">
        <v>495</v>
      </c>
      <c r="C143" s="0" t="s">
        <v>80</v>
      </c>
      <c r="D143" s="0" t="s">
        <v>55</v>
      </c>
      <c r="E143" s="0" t="s">
        <v>496</v>
      </c>
      <c r="F143" s="0" t="n">
        <f aca="false">HYPERLINK("http://clipc-services.ceda.ac.uk/dreq/u/59142a3a-9e49-11e5-803c-0d0b866b59f3.html","web")</f>
        <v>0</v>
      </c>
      <c r="G143" s="0" t="s">
        <v>57</v>
      </c>
      <c r="H143" s="0" t="s">
        <v>58</v>
      </c>
      <c r="I143" s="0" t="s">
        <v>497</v>
      </c>
      <c r="J143" s="0" t="s">
        <v>452</v>
      </c>
    </row>
    <row r="144" customFormat="false" ht="15" hidden="false" customHeight="false" outlineLevel="0" collapsed="false">
      <c r="A144" s="0" t="s">
        <v>405</v>
      </c>
      <c r="B144" s="0" t="s">
        <v>498</v>
      </c>
      <c r="C144" s="0" t="s">
        <v>80</v>
      </c>
      <c r="D144" s="0" t="s">
        <v>55</v>
      </c>
      <c r="E144" s="0" t="s">
        <v>499</v>
      </c>
      <c r="F144" s="0" t="n">
        <f aca="false">HYPERLINK("http://clipc-services.ceda.ac.uk/dreq/u/590e1ef6-9e49-11e5-803c-0d0b866b59f3.html","web")</f>
        <v>0</v>
      </c>
      <c r="G144" s="0" t="s">
        <v>57</v>
      </c>
      <c r="H144" s="0" t="s">
        <v>58</v>
      </c>
      <c r="I144" s="0" t="s">
        <v>500</v>
      </c>
      <c r="J144" s="0" t="s">
        <v>445</v>
      </c>
    </row>
    <row r="145" customFormat="false" ht="15" hidden="false" customHeight="false" outlineLevel="0" collapsed="false">
      <c r="A145" s="0" t="s">
        <v>405</v>
      </c>
      <c r="B145" s="0" t="s">
        <v>501</v>
      </c>
      <c r="C145" s="0" t="s">
        <v>80</v>
      </c>
      <c r="D145" s="0" t="s">
        <v>55</v>
      </c>
      <c r="E145" s="0" t="s">
        <v>502</v>
      </c>
      <c r="F145" s="0" t="n">
        <f aca="false">HYPERLINK("http://clipc-services.ceda.ac.uk/dreq/u/590de2ce-9e49-11e5-803c-0d0b866b59f3.html","web")</f>
        <v>0</v>
      </c>
      <c r="G145" s="0" t="s">
        <v>57</v>
      </c>
      <c r="H145" s="0" t="s">
        <v>58</v>
      </c>
      <c r="I145" s="0" t="s">
        <v>503</v>
      </c>
      <c r="J145" s="0" t="s">
        <v>425</v>
      </c>
    </row>
    <row r="146" customFormat="false" ht="15" hidden="false" customHeight="false" outlineLevel="0" collapsed="false">
      <c r="A146" s="0" t="s">
        <v>405</v>
      </c>
      <c r="B146" s="0" t="s">
        <v>504</v>
      </c>
      <c r="C146" s="0" t="s">
        <v>80</v>
      </c>
      <c r="D146" s="0" t="s">
        <v>55</v>
      </c>
      <c r="E146" s="0" t="s">
        <v>505</v>
      </c>
      <c r="F146" s="0" t="n">
        <f aca="false">HYPERLINK("http://clipc-services.ceda.ac.uk/dreq/u/59139246-9e49-11e5-803c-0d0b866b59f3.html","web")</f>
        <v>0</v>
      </c>
      <c r="G146" s="0" t="s">
        <v>57</v>
      </c>
      <c r="H146" s="0" t="s">
        <v>58</v>
      </c>
      <c r="I146" s="0" t="s">
        <v>506</v>
      </c>
      <c r="J146" s="0" t="s">
        <v>425</v>
      </c>
    </row>
    <row r="147" customFormat="false" ht="15" hidden="false" customHeight="false" outlineLevel="0" collapsed="false">
      <c r="A147" s="0" t="s">
        <v>405</v>
      </c>
      <c r="B147" s="0" t="s">
        <v>507</v>
      </c>
      <c r="C147" s="0" t="s">
        <v>80</v>
      </c>
      <c r="D147" s="0" t="s">
        <v>55</v>
      </c>
      <c r="E147" s="0" t="s">
        <v>508</v>
      </c>
      <c r="F147" s="0" t="n">
        <f aca="false">HYPERLINK("http://clipc-services.ceda.ac.uk/dreq/u/5914c95e-9e49-11e5-803c-0d0b866b59f3.html","web")</f>
        <v>0</v>
      </c>
      <c r="G147" s="0" t="s">
        <v>57</v>
      </c>
      <c r="H147" s="0" t="s">
        <v>58</v>
      </c>
      <c r="I147" s="0" t="s">
        <v>509</v>
      </c>
      <c r="J147" s="0" t="s">
        <v>425</v>
      </c>
    </row>
    <row r="148" customFormat="false" ht="15" hidden="false" customHeight="false" outlineLevel="0" collapsed="false">
      <c r="A148" s="0" t="s">
        <v>405</v>
      </c>
      <c r="B148" s="0" t="s">
        <v>510</v>
      </c>
      <c r="C148" s="0" t="s">
        <v>80</v>
      </c>
      <c r="D148" s="0" t="s">
        <v>55</v>
      </c>
      <c r="E148" s="0" t="s">
        <v>511</v>
      </c>
      <c r="F148" s="0" t="n">
        <f aca="false">HYPERLINK("http://clipc-services.ceda.ac.uk/dreq/u/590f2f8a-9e49-11e5-803c-0d0b866b59f3.html","web")</f>
        <v>0</v>
      </c>
      <c r="G148" s="0" t="s">
        <v>512</v>
      </c>
      <c r="H148" s="0" t="s">
        <v>513</v>
      </c>
      <c r="I148" s="0" t="s">
        <v>514</v>
      </c>
      <c r="J148" s="0" t="s">
        <v>445</v>
      </c>
    </row>
    <row r="149" customFormat="false" ht="15" hidden="false" customHeight="false" outlineLevel="0" collapsed="false">
      <c r="A149" s="0" t="s">
        <v>405</v>
      </c>
      <c r="B149" s="0" t="s">
        <v>515</v>
      </c>
      <c r="C149" s="0" t="s">
        <v>80</v>
      </c>
      <c r="D149" s="0" t="s">
        <v>55</v>
      </c>
      <c r="F149" s="0" t="n">
        <f aca="false">HYPERLINK("http://clipc-services.ceda.ac.uk/dreq/u/590ef524-9e49-11e5-803c-0d0b866b59f3.html","web")</f>
        <v>0</v>
      </c>
      <c r="G149" s="0" t="s">
        <v>57</v>
      </c>
      <c r="H149" s="0" t="s">
        <v>58</v>
      </c>
      <c r="I149" s="0" t="s">
        <v>516</v>
      </c>
      <c r="J149" s="0" t="s">
        <v>425</v>
      </c>
    </row>
    <row r="150" customFormat="false" ht="15" hidden="false" customHeight="false" outlineLevel="0" collapsed="false">
      <c r="A150" s="0" t="s">
        <v>405</v>
      </c>
      <c r="B150" s="0" t="s">
        <v>517</v>
      </c>
      <c r="C150" s="0" t="s">
        <v>80</v>
      </c>
      <c r="D150" s="0" t="s">
        <v>55</v>
      </c>
      <c r="E150" s="0" t="s">
        <v>518</v>
      </c>
      <c r="F150" s="0" t="n">
        <f aca="false">HYPERLINK("http://clipc-services.ceda.ac.uk/dreq/u/590ecbda-9e49-11e5-803c-0d0b866b59f3.html","web")</f>
        <v>0</v>
      </c>
      <c r="G150" s="0" t="s">
        <v>57</v>
      </c>
      <c r="H150" s="0" t="s">
        <v>58</v>
      </c>
      <c r="I150" s="0" t="s">
        <v>519</v>
      </c>
      <c r="J150" s="0" t="s">
        <v>425</v>
      </c>
    </row>
    <row r="151" customFormat="false" ht="15" hidden="false" customHeight="false" outlineLevel="0" collapsed="false">
      <c r="A151" s="0" t="s">
        <v>405</v>
      </c>
      <c r="B151" s="0" t="s">
        <v>520</v>
      </c>
      <c r="C151" s="0" t="s">
        <v>80</v>
      </c>
      <c r="D151" s="0" t="s">
        <v>55</v>
      </c>
      <c r="E151" s="0" t="s">
        <v>521</v>
      </c>
      <c r="F151" s="0" t="n">
        <f aca="false">HYPERLINK("http://clipc-services.ceda.ac.uk/dreq/u/5917ba9c-9e49-11e5-803c-0d0b866b59f3.html","web")</f>
        <v>0</v>
      </c>
      <c r="G151" s="0" t="s">
        <v>57</v>
      </c>
      <c r="H151" s="0" t="s">
        <v>58</v>
      </c>
      <c r="I151" s="0" t="s">
        <v>522</v>
      </c>
      <c r="J151" s="0" t="s">
        <v>425</v>
      </c>
    </row>
    <row r="152" customFormat="false" ht="15" hidden="false" customHeight="false" outlineLevel="0" collapsed="false">
      <c r="A152" s="0" t="s">
        <v>405</v>
      </c>
      <c r="B152" s="0" t="s">
        <v>523</v>
      </c>
      <c r="C152" s="0" t="s">
        <v>80</v>
      </c>
      <c r="D152" s="0" t="s">
        <v>55</v>
      </c>
      <c r="E152" s="0" t="s">
        <v>524</v>
      </c>
      <c r="F152" s="0" t="n">
        <f aca="false">HYPERLINK("http://clipc-services.ceda.ac.uk/dreq/u/590dce42-9e49-11e5-803c-0d0b866b59f3.html","web")</f>
        <v>0</v>
      </c>
      <c r="G152" s="0" t="s">
        <v>57</v>
      </c>
      <c r="H152" s="0" t="s">
        <v>58</v>
      </c>
      <c r="I152" s="0" t="s">
        <v>525</v>
      </c>
      <c r="J152" s="0" t="s">
        <v>425</v>
      </c>
    </row>
    <row r="153" customFormat="false" ht="15" hidden="false" customHeight="false" outlineLevel="0" collapsed="false">
      <c r="A153" s="0" t="s">
        <v>405</v>
      </c>
      <c r="B153" s="0" t="s">
        <v>526</v>
      </c>
      <c r="C153" s="0" t="s">
        <v>12</v>
      </c>
      <c r="D153" s="0" t="s">
        <v>55</v>
      </c>
      <c r="E153" s="0" t="s">
        <v>527</v>
      </c>
      <c r="F153" s="0" t="n">
        <f aca="false">HYPERLINK("http://clipc-services.ceda.ac.uk/dreq/u/590f4f2e-9e49-11e5-803c-0d0b866b59f3.html","web")</f>
        <v>0</v>
      </c>
      <c r="G153" s="0" t="s">
        <v>57</v>
      </c>
      <c r="H153" s="0" t="s">
        <v>58</v>
      </c>
      <c r="I153" s="0" t="s">
        <v>528</v>
      </c>
      <c r="J153" s="0" t="s">
        <v>409</v>
      </c>
    </row>
    <row r="154" customFormat="false" ht="15" hidden="false" customHeight="false" outlineLevel="0" collapsed="false">
      <c r="A154" s="0" t="s">
        <v>405</v>
      </c>
      <c r="B154" s="0" t="s">
        <v>529</v>
      </c>
      <c r="C154" s="0" t="s">
        <v>80</v>
      </c>
      <c r="D154" s="0" t="s">
        <v>55</v>
      </c>
      <c r="E154" s="0" t="s">
        <v>530</v>
      </c>
      <c r="F154" s="0" t="n">
        <f aca="false">HYPERLINK("http://clipc-services.ceda.ac.uk/dreq/u/59172e42-9e49-11e5-803c-0d0b866b59f3.html","web")</f>
        <v>0</v>
      </c>
      <c r="G154" s="0" t="s">
        <v>57</v>
      </c>
      <c r="H154" s="0" t="s">
        <v>58</v>
      </c>
      <c r="I154" s="0" t="s">
        <v>531</v>
      </c>
      <c r="J154" s="0" t="s">
        <v>425</v>
      </c>
    </row>
    <row r="155" customFormat="false" ht="15" hidden="false" customHeight="false" outlineLevel="0" collapsed="false">
      <c r="A155" s="0" t="s">
        <v>405</v>
      </c>
      <c r="B155" s="0" t="s">
        <v>532</v>
      </c>
      <c r="C155" s="0" t="s">
        <v>80</v>
      </c>
      <c r="D155" s="0" t="s">
        <v>55</v>
      </c>
      <c r="E155" s="0" t="s">
        <v>533</v>
      </c>
      <c r="F155" s="0" t="n">
        <f aca="false">HYPERLINK("http://clipc-services.ceda.ac.uk/dreq/u/59172bcc-9e49-11e5-803c-0d0b866b59f3.html","web")</f>
        <v>0</v>
      </c>
      <c r="G155" s="0" t="s">
        <v>57</v>
      </c>
      <c r="H155" s="0" t="s">
        <v>58</v>
      </c>
      <c r="I155" s="0" t="s">
        <v>531</v>
      </c>
      <c r="J155" s="0" t="s">
        <v>425</v>
      </c>
    </row>
    <row r="156" customFormat="false" ht="15" hidden="false" customHeight="false" outlineLevel="0" collapsed="false">
      <c r="A156" s="0" t="s">
        <v>405</v>
      </c>
      <c r="B156" s="0" t="s">
        <v>534</v>
      </c>
      <c r="C156" s="0" t="s">
        <v>80</v>
      </c>
      <c r="D156" s="0" t="s">
        <v>55</v>
      </c>
      <c r="E156" s="0" t="s">
        <v>535</v>
      </c>
      <c r="F156" s="0" t="n">
        <f aca="false">HYPERLINK("http://clipc-services.ceda.ac.uk/dreq/u/5913f77c-9e49-11e5-803c-0d0b866b59f3.html","web")</f>
        <v>0</v>
      </c>
      <c r="G156" s="0" t="s">
        <v>57</v>
      </c>
      <c r="H156" s="0" t="s">
        <v>58</v>
      </c>
      <c r="I156" s="0" t="s">
        <v>535</v>
      </c>
      <c r="J156" s="0" t="s">
        <v>536</v>
      </c>
    </row>
    <row r="157" customFormat="false" ht="15" hidden="false" customHeight="false" outlineLevel="0" collapsed="false">
      <c r="A157" s="0" t="s">
        <v>405</v>
      </c>
      <c r="B157" s="0" t="s">
        <v>537</v>
      </c>
      <c r="C157" s="0" t="s">
        <v>80</v>
      </c>
      <c r="D157" s="0" t="s">
        <v>55</v>
      </c>
      <c r="E157" s="0" t="s">
        <v>538</v>
      </c>
      <c r="F157" s="0" t="n">
        <f aca="false">HYPERLINK("http://clipc-services.ceda.ac.uk/dreq/u/591774d8-9e49-11e5-803c-0d0b866b59f3.html","web")</f>
        <v>0</v>
      </c>
      <c r="G157" s="0" t="s">
        <v>57</v>
      </c>
      <c r="H157" s="0" t="s">
        <v>58</v>
      </c>
      <c r="I157" s="0" t="s">
        <v>538</v>
      </c>
      <c r="J157" s="0" t="s">
        <v>536</v>
      </c>
    </row>
    <row r="158" customFormat="false" ht="15" hidden="false" customHeight="false" outlineLevel="0" collapsed="false">
      <c r="A158" s="0" t="s">
        <v>405</v>
      </c>
      <c r="B158" s="0" t="s">
        <v>539</v>
      </c>
      <c r="C158" s="0" t="s">
        <v>80</v>
      </c>
      <c r="D158" s="0" t="s">
        <v>55</v>
      </c>
      <c r="E158" s="0" t="s">
        <v>540</v>
      </c>
      <c r="F158" s="0" t="n">
        <f aca="false">HYPERLINK("http://clipc-services.ceda.ac.uk/dreq/u/590d2848-9e49-11e5-803c-0d0b866b59f3.html","web")</f>
        <v>0</v>
      </c>
      <c r="G158" s="0" t="s">
        <v>57</v>
      </c>
      <c r="H158" s="0" t="s">
        <v>58</v>
      </c>
      <c r="I158" s="0" t="s">
        <v>540</v>
      </c>
      <c r="J158" s="0" t="s">
        <v>425</v>
      </c>
    </row>
    <row r="159" customFormat="false" ht="15" hidden="false" customHeight="false" outlineLevel="0" collapsed="false">
      <c r="A159" s="0" t="s">
        <v>405</v>
      </c>
      <c r="B159" s="0" t="s">
        <v>541</v>
      </c>
      <c r="C159" s="0" t="s">
        <v>80</v>
      </c>
      <c r="D159" s="0" t="s">
        <v>55</v>
      </c>
      <c r="E159" s="0" t="s">
        <v>542</v>
      </c>
      <c r="F159" s="0" t="n">
        <f aca="false">HYPERLINK("http://clipc-services.ceda.ac.uk/dreq/u/59150da6-9e49-11e5-803c-0d0b866b59f3.html","web")</f>
        <v>0</v>
      </c>
      <c r="G159" s="0" t="s">
        <v>57</v>
      </c>
      <c r="H159" s="0" t="s">
        <v>58</v>
      </c>
      <c r="I159" s="0" t="s">
        <v>542</v>
      </c>
      <c r="J159" s="0" t="s">
        <v>425</v>
      </c>
    </row>
    <row r="160" customFormat="false" ht="15" hidden="false" customHeight="false" outlineLevel="0" collapsed="false">
      <c r="A160" s="0" t="s">
        <v>405</v>
      </c>
      <c r="B160" s="0" t="s">
        <v>543</v>
      </c>
      <c r="C160" s="0" t="s">
        <v>80</v>
      </c>
      <c r="D160" s="0" t="s">
        <v>55</v>
      </c>
      <c r="E160" s="0" t="s">
        <v>544</v>
      </c>
      <c r="F160" s="0" t="n">
        <f aca="false">HYPERLINK("http://clipc-services.ceda.ac.uk/dreq/u/590e9390-9e49-11e5-803c-0d0b866b59f3.html","web")</f>
        <v>0</v>
      </c>
      <c r="G160" s="0" t="s">
        <v>57</v>
      </c>
      <c r="H160" s="0" t="s">
        <v>58</v>
      </c>
      <c r="I160" s="0" t="s">
        <v>545</v>
      </c>
      <c r="J160" s="0" t="s">
        <v>425</v>
      </c>
    </row>
    <row r="161" customFormat="false" ht="15" hidden="false" customHeight="false" outlineLevel="0" collapsed="false">
      <c r="A161" s="0" t="s">
        <v>405</v>
      </c>
      <c r="B161" s="0" t="s">
        <v>546</v>
      </c>
      <c r="C161" s="0" t="s">
        <v>54</v>
      </c>
      <c r="D161" s="0" t="s">
        <v>55</v>
      </c>
      <c r="E161" s="0" t="s">
        <v>547</v>
      </c>
      <c r="F161" s="0" t="n">
        <f aca="false">HYPERLINK("http://clipc-services.ceda.ac.uk/dreq/u/590ed33c-9e49-11e5-803c-0d0b866b59f3.html","web")</f>
        <v>0</v>
      </c>
      <c r="G161" s="0" t="s">
        <v>57</v>
      </c>
      <c r="H161" s="0" t="s">
        <v>58</v>
      </c>
      <c r="I161" s="0" t="s">
        <v>548</v>
      </c>
      <c r="J161" s="0" t="s">
        <v>425</v>
      </c>
    </row>
    <row r="162" customFormat="false" ht="15" hidden="false" customHeight="false" outlineLevel="0" collapsed="false">
      <c r="A162" s="0" t="s">
        <v>405</v>
      </c>
      <c r="B162" s="0" t="s">
        <v>549</v>
      </c>
      <c r="C162" s="0" t="s">
        <v>54</v>
      </c>
      <c r="D162" s="0" t="s">
        <v>55</v>
      </c>
      <c r="E162" s="0" t="s">
        <v>550</v>
      </c>
      <c r="F162" s="0" t="n">
        <f aca="false">HYPERLINK("http://clipc-services.ceda.ac.uk/dreq/u/590d7654-9e49-11e5-803c-0d0b866b59f3.html","web")</f>
        <v>0</v>
      </c>
      <c r="G162" s="0" t="s">
        <v>57</v>
      </c>
      <c r="H162" s="0" t="s">
        <v>58</v>
      </c>
      <c r="I162" s="0" t="s">
        <v>551</v>
      </c>
      <c r="J162" s="0" t="s">
        <v>425</v>
      </c>
    </row>
    <row r="163" customFormat="false" ht="15" hidden="false" customHeight="false" outlineLevel="0" collapsed="false">
      <c r="A163" s="0" t="s">
        <v>405</v>
      </c>
      <c r="B163" s="0" t="s">
        <v>552</v>
      </c>
      <c r="C163" s="0" t="s">
        <v>54</v>
      </c>
      <c r="D163" s="0" t="s">
        <v>55</v>
      </c>
      <c r="E163" s="0" t="s">
        <v>553</v>
      </c>
      <c r="F163" s="0" t="n">
        <f aca="false">HYPERLINK("http://clipc-services.ceda.ac.uk/dreq/u/590e3ee0-9e49-11e5-803c-0d0b866b59f3.html","web")</f>
        <v>0</v>
      </c>
      <c r="G163" s="0" t="s">
        <v>57</v>
      </c>
      <c r="H163" s="0" t="s">
        <v>58</v>
      </c>
      <c r="I163" s="0" t="s">
        <v>554</v>
      </c>
      <c r="J163" s="0" t="s">
        <v>425</v>
      </c>
    </row>
    <row r="164" customFormat="false" ht="15" hidden="false" customHeight="false" outlineLevel="0" collapsed="false">
      <c r="A164" s="0" t="s">
        <v>405</v>
      </c>
      <c r="B164" s="0" t="s">
        <v>555</v>
      </c>
      <c r="C164" s="0" t="s">
        <v>54</v>
      </c>
      <c r="D164" s="0" t="s">
        <v>55</v>
      </c>
      <c r="E164" s="0" t="s">
        <v>556</v>
      </c>
      <c r="F164" s="0" t="n">
        <f aca="false">HYPERLINK("http://clipc-services.ceda.ac.uk/dreq/u/590d4fc6-9e49-11e5-803c-0d0b866b59f3.html","web")</f>
        <v>0</v>
      </c>
      <c r="G164" s="0" t="s">
        <v>57</v>
      </c>
      <c r="H164" s="0" t="s">
        <v>58</v>
      </c>
      <c r="I164" s="0" t="s">
        <v>557</v>
      </c>
      <c r="J164" s="0" t="s">
        <v>425</v>
      </c>
    </row>
    <row r="165" customFormat="false" ht="15" hidden="false" customHeight="false" outlineLevel="0" collapsed="false">
      <c r="A165" s="0" t="s">
        <v>405</v>
      </c>
      <c r="B165" s="0" t="s">
        <v>558</v>
      </c>
      <c r="C165" s="0" t="s">
        <v>54</v>
      </c>
      <c r="D165" s="0" t="s">
        <v>55</v>
      </c>
      <c r="E165" s="0" t="s">
        <v>559</v>
      </c>
      <c r="F165" s="0" t="n">
        <f aca="false">HYPERLINK("http://clipc-services.ceda.ac.uk/dreq/u/590df8a4-9e49-11e5-803c-0d0b866b59f3.html","web")</f>
        <v>0</v>
      </c>
      <c r="G165" s="0" t="s">
        <v>57</v>
      </c>
      <c r="H165" s="0" t="s">
        <v>58</v>
      </c>
      <c r="I165" s="0" t="s">
        <v>560</v>
      </c>
      <c r="J165" s="0" t="s">
        <v>425</v>
      </c>
    </row>
    <row r="166" customFormat="false" ht="15" hidden="false" customHeight="false" outlineLevel="0" collapsed="false">
      <c r="A166" s="0" t="s">
        <v>405</v>
      </c>
      <c r="B166" s="0" t="s">
        <v>561</v>
      </c>
      <c r="C166" s="0" t="s">
        <v>54</v>
      </c>
      <c r="D166" s="0" t="s">
        <v>55</v>
      </c>
      <c r="E166" s="0" t="s">
        <v>562</v>
      </c>
      <c r="F166" s="0" t="n">
        <f aca="false">HYPERLINK("http://clipc-services.ceda.ac.uk/dreq/u/590df5e8-9e49-11e5-803c-0d0b866b59f3.html","web")</f>
        <v>0</v>
      </c>
      <c r="G166" s="0" t="s">
        <v>57</v>
      </c>
      <c r="H166" s="0" t="s">
        <v>58</v>
      </c>
      <c r="I166" s="0" t="s">
        <v>563</v>
      </c>
      <c r="J166" s="0" t="s">
        <v>425</v>
      </c>
    </row>
    <row r="167" customFormat="false" ht="15" hidden="false" customHeight="false" outlineLevel="0" collapsed="false">
      <c r="A167" s="0" t="s">
        <v>405</v>
      </c>
      <c r="B167" s="0" t="s">
        <v>564</v>
      </c>
      <c r="C167" s="0" t="s">
        <v>54</v>
      </c>
      <c r="D167" s="0" t="s">
        <v>292</v>
      </c>
      <c r="E167" s="0" t="s">
        <v>565</v>
      </c>
      <c r="F167" s="0" t="n">
        <f aca="false">HYPERLINK("http://clipc-services.ceda.ac.uk/dreq/u/590e4bd8-9e49-11e5-803c-0d0b866b59f3.html","web")</f>
        <v>0</v>
      </c>
      <c r="G167" s="0" t="s">
        <v>57</v>
      </c>
      <c r="H167" s="0" t="s">
        <v>58</v>
      </c>
      <c r="I167" s="0" t="s">
        <v>566</v>
      </c>
      <c r="J167" s="0" t="s">
        <v>425</v>
      </c>
    </row>
    <row r="168" customFormat="false" ht="15" hidden="false" customHeight="false" outlineLevel="0" collapsed="false">
      <c r="A168" s="0" t="s">
        <v>405</v>
      </c>
      <c r="B168" s="0" t="s">
        <v>567</v>
      </c>
      <c r="C168" s="0" t="s">
        <v>54</v>
      </c>
      <c r="D168" s="0" t="s">
        <v>292</v>
      </c>
      <c r="E168" s="0" t="s">
        <v>568</v>
      </c>
      <c r="F168" s="0" t="n">
        <f aca="false">HYPERLINK("http://clipc-services.ceda.ac.uk/dreq/u/590ea16e-9e49-11e5-803c-0d0b866b59f3.html","web")</f>
        <v>0</v>
      </c>
      <c r="G168" s="0" t="s">
        <v>57</v>
      </c>
      <c r="H168" s="0" t="s">
        <v>58</v>
      </c>
      <c r="I168" s="0" t="s">
        <v>569</v>
      </c>
      <c r="J168" s="0" t="s">
        <v>425</v>
      </c>
    </row>
    <row r="169" customFormat="false" ht="15" hidden="false" customHeight="false" outlineLevel="0" collapsed="false">
      <c r="A169" s="0" t="s">
        <v>405</v>
      </c>
      <c r="B169" s="0" t="s">
        <v>570</v>
      </c>
      <c r="C169" s="0" t="s">
        <v>80</v>
      </c>
      <c r="D169" s="0" t="s">
        <v>292</v>
      </c>
      <c r="E169" s="0" t="s">
        <v>571</v>
      </c>
      <c r="F169" s="0" t="n">
        <f aca="false">HYPERLINK("http://clipc-services.ceda.ac.uk/dreq/u/590d7924-9e49-11e5-803c-0d0b866b59f3.html","web")</f>
        <v>0</v>
      </c>
      <c r="G169" s="0" t="s">
        <v>57</v>
      </c>
      <c r="H169" s="0" t="s">
        <v>58</v>
      </c>
      <c r="I169" s="0" t="s">
        <v>572</v>
      </c>
      <c r="J169" s="0" t="s">
        <v>425</v>
      </c>
    </row>
    <row r="170" customFormat="false" ht="15" hidden="false" customHeight="false" outlineLevel="0" collapsed="false">
      <c r="A170" s="0" t="s">
        <v>405</v>
      </c>
      <c r="B170" s="0" t="s">
        <v>573</v>
      </c>
      <c r="C170" s="0" t="s">
        <v>80</v>
      </c>
      <c r="D170" s="0" t="s">
        <v>292</v>
      </c>
      <c r="E170" s="0" t="s">
        <v>574</v>
      </c>
      <c r="F170" s="0" t="n">
        <f aca="false">HYPERLINK("http://clipc-services.ceda.ac.uk/dreq/u/590d70b4-9e49-11e5-803c-0d0b866b59f3.html","web")</f>
        <v>0</v>
      </c>
      <c r="G170" s="0" t="s">
        <v>57</v>
      </c>
      <c r="H170" s="0" t="s">
        <v>58</v>
      </c>
      <c r="I170" s="0" t="s">
        <v>575</v>
      </c>
      <c r="J170" s="0" t="s">
        <v>425</v>
      </c>
    </row>
    <row r="171" customFormat="false" ht="15" hidden="false" customHeight="false" outlineLevel="0" collapsed="false">
      <c r="A171" s="0" t="s">
        <v>405</v>
      </c>
      <c r="B171" s="0" t="s">
        <v>576</v>
      </c>
      <c r="C171" s="0" t="s">
        <v>80</v>
      </c>
      <c r="D171" s="0" t="s">
        <v>389</v>
      </c>
      <c r="E171" s="0" t="s">
        <v>577</v>
      </c>
      <c r="F171" s="0" t="n">
        <f aca="false">HYPERLINK("http://clipc-services.ceda.ac.uk/dreq/u/5917b45c-9e49-11e5-803c-0d0b866b59f3.html","web")</f>
        <v>0</v>
      </c>
      <c r="G171" s="0" t="s">
        <v>57</v>
      </c>
      <c r="H171" s="0" t="s">
        <v>58</v>
      </c>
      <c r="I171" s="0" t="s">
        <v>578</v>
      </c>
      <c r="J171" s="0" t="s">
        <v>425</v>
      </c>
    </row>
    <row r="172" customFormat="false" ht="15" hidden="false" customHeight="false" outlineLevel="0" collapsed="false">
      <c r="A172" s="0" t="s">
        <v>405</v>
      </c>
      <c r="B172" s="0" t="s">
        <v>579</v>
      </c>
      <c r="C172" s="0" t="s">
        <v>80</v>
      </c>
      <c r="D172" s="0" t="s">
        <v>389</v>
      </c>
      <c r="E172" s="0" t="s">
        <v>580</v>
      </c>
      <c r="F172" s="0" t="n">
        <f aca="false">HYPERLINK("http://clipc-services.ceda.ac.uk/dreq/u/590e9ed0-9e49-11e5-803c-0d0b866b59f3.html","web")</f>
        <v>0</v>
      </c>
      <c r="G172" s="0" t="s">
        <v>57</v>
      </c>
      <c r="H172" s="0" t="s">
        <v>58</v>
      </c>
      <c r="I172" s="0" t="s">
        <v>581</v>
      </c>
      <c r="J172" s="0" t="s">
        <v>425</v>
      </c>
    </row>
    <row r="173" customFormat="false" ht="15" hidden="false" customHeight="false" outlineLevel="0" collapsed="false">
      <c r="A173" s="0" t="s">
        <v>405</v>
      </c>
      <c r="B173" s="0" t="s">
        <v>582</v>
      </c>
      <c r="C173" s="0" t="s">
        <v>80</v>
      </c>
      <c r="D173" s="0" t="s">
        <v>389</v>
      </c>
      <c r="E173" s="0" t="s">
        <v>583</v>
      </c>
      <c r="F173" s="0" t="n">
        <f aca="false">HYPERLINK("http://clipc-services.ceda.ac.uk/dreq/u/5913c9aa-9e49-11e5-803c-0d0b866b59f3.html","web")</f>
        <v>0</v>
      </c>
      <c r="G173" s="0" t="s">
        <v>57</v>
      </c>
      <c r="H173" s="0" t="s">
        <v>58</v>
      </c>
      <c r="I173" s="0" t="s">
        <v>584</v>
      </c>
      <c r="J173" s="0" t="s">
        <v>425</v>
      </c>
    </row>
    <row r="174" customFormat="false" ht="15" hidden="false" customHeight="false" outlineLevel="0" collapsed="false">
      <c r="A174" s="0" t="s">
        <v>405</v>
      </c>
      <c r="B174" s="0" t="s">
        <v>585</v>
      </c>
      <c r="C174" s="0" t="s">
        <v>80</v>
      </c>
      <c r="D174" s="0" t="s">
        <v>389</v>
      </c>
      <c r="E174" s="0" t="s">
        <v>586</v>
      </c>
      <c r="F174" s="0" t="n">
        <f aca="false">HYPERLINK("http://clipc-services.ceda.ac.uk/dreq/u/590ee2fa-9e49-11e5-803c-0d0b866b59f3.html","web")</f>
        <v>0</v>
      </c>
      <c r="G174" s="0" t="s">
        <v>57</v>
      </c>
      <c r="H174" s="0" t="s">
        <v>58</v>
      </c>
      <c r="I174" s="0" t="s">
        <v>587</v>
      </c>
      <c r="J174" s="0" t="s">
        <v>425</v>
      </c>
    </row>
    <row r="175" customFormat="false" ht="15" hidden="false" customHeight="false" outlineLevel="0" collapsed="false">
      <c r="A175" s="0" t="s">
        <v>405</v>
      </c>
      <c r="B175" s="0" t="s">
        <v>588</v>
      </c>
      <c r="C175" s="0" t="s">
        <v>80</v>
      </c>
      <c r="D175" s="0" t="s">
        <v>389</v>
      </c>
      <c r="E175" s="0" t="s">
        <v>589</v>
      </c>
      <c r="F175" s="0" t="n">
        <f aca="false">HYPERLINK("http://clipc-services.ceda.ac.uk/dreq/u/59139a70-9e49-11e5-803c-0d0b866b59f3.html","web")</f>
        <v>0</v>
      </c>
      <c r="G175" s="0" t="s">
        <v>57</v>
      </c>
      <c r="H175" s="0" t="s">
        <v>58</v>
      </c>
      <c r="I175" s="0" t="s">
        <v>590</v>
      </c>
      <c r="J175" s="0" t="s">
        <v>425</v>
      </c>
    </row>
    <row r="176" customFormat="false" ht="15" hidden="false" customHeight="false" outlineLevel="0" collapsed="false">
      <c r="A176" s="0" t="s">
        <v>405</v>
      </c>
      <c r="B176" s="0" t="s">
        <v>591</v>
      </c>
      <c r="C176" s="0" t="s">
        <v>80</v>
      </c>
      <c r="D176" s="0" t="s">
        <v>389</v>
      </c>
      <c r="E176" s="0" t="s">
        <v>592</v>
      </c>
      <c r="F176" s="0" t="n">
        <f aca="false">HYPERLINK("http://clipc-services.ceda.ac.uk/dreq/u/59139548-9e49-11e5-803c-0d0b866b59f3.html","web")</f>
        <v>0</v>
      </c>
      <c r="G176" s="0" t="s">
        <v>57</v>
      </c>
      <c r="H176" s="0" t="s">
        <v>58</v>
      </c>
      <c r="I176" s="0" t="s">
        <v>593</v>
      </c>
      <c r="J176" s="0" t="s">
        <v>425</v>
      </c>
    </row>
    <row r="177" customFormat="false" ht="15" hidden="false" customHeight="false" outlineLevel="0" collapsed="false">
      <c r="A177" s="0" t="s">
        <v>405</v>
      </c>
      <c r="B177" s="0" t="s">
        <v>594</v>
      </c>
      <c r="C177" s="0" t="s">
        <v>80</v>
      </c>
      <c r="D177" s="0" t="s">
        <v>595</v>
      </c>
      <c r="E177" s="0" t="s">
        <v>596</v>
      </c>
      <c r="F177" s="0" t="n">
        <f aca="false">HYPERLINK("http://clipc-services.ceda.ac.uk/dreq/u/73097b4c-7a68-11e6-8db2-ac72891c3257.html","web")</f>
        <v>0</v>
      </c>
      <c r="G177" s="0" t="s">
        <v>57</v>
      </c>
      <c r="H177" s="0" t="s">
        <v>58</v>
      </c>
      <c r="I177" s="0" t="s">
        <v>597</v>
      </c>
      <c r="J177" s="0" t="s">
        <v>425</v>
      </c>
    </row>
    <row r="178" customFormat="false" ht="15" hidden="false" customHeight="false" outlineLevel="0" collapsed="false">
      <c r="A178" s="0" t="s">
        <v>405</v>
      </c>
      <c r="B178" s="0" t="s">
        <v>598</v>
      </c>
      <c r="C178" s="0" t="s">
        <v>80</v>
      </c>
      <c r="D178" s="0" t="s">
        <v>595</v>
      </c>
      <c r="E178" s="0" t="s">
        <v>599</v>
      </c>
      <c r="F178" s="0" t="n">
        <f aca="false">HYPERLINK("http://clipc-services.ceda.ac.uk/dreq/u/7309b2ce-7a68-11e6-8db2-ac72891c3257.html","web")</f>
        <v>0</v>
      </c>
      <c r="G178" s="0" t="s">
        <v>57</v>
      </c>
      <c r="H178" s="0" t="s">
        <v>58</v>
      </c>
      <c r="I178" s="0" t="s">
        <v>600</v>
      </c>
      <c r="J178" s="0" t="s">
        <v>425</v>
      </c>
    </row>
    <row r="179" customFormat="false" ht="15" hidden="false" customHeight="false" outlineLevel="0" collapsed="false"/>
    <row r="180" customFormat="false" ht="15" hidden="false" customHeight="false" outlineLevel="0" collapsed="false">
      <c r="A180" s="0" t="s">
        <v>601</v>
      </c>
      <c r="B180" s="0" t="s">
        <v>602</v>
      </c>
      <c r="C180" s="0" t="s">
        <v>12</v>
      </c>
      <c r="D180" s="0" t="s">
        <v>603</v>
      </c>
      <c r="E180" s="0" t="s">
        <v>604</v>
      </c>
      <c r="F180" s="0" t="n">
        <f aca="false">HYPERLINK("http://clipc-services.ceda.ac.uk/dreq/u/c8b1814845661bcad37910e70a59b285.html","web")</f>
        <v>0</v>
      </c>
      <c r="G180" s="0" t="s">
        <v>605</v>
      </c>
      <c r="H180" s="0" t="s">
        <v>606</v>
      </c>
      <c r="I180" s="0" t="s">
        <v>604</v>
      </c>
      <c r="J180" s="0" t="s">
        <v>607</v>
      </c>
    </row>
    <row r="181" customFormat="false" ht="15" hidden="false" customHeight="false" outlineLevel="0" collapsed="false">
      <c r="A181" s="0" t="s">
        <v>601</v>
      </c>
      <c r="B181" s="0" t="s">
        <v>608</v>
      </c>
      <c r="C181" s="0" t="s">
        <v>12</v>
      </c>
      <c r="D181" s="0" t="s">
        <v>603</v>
      </c>
      <c r="E181" s="0" t="s">
        <v>609</v>
      </c>
      <c r="F181" s="0" t="n">
        <f aca="false">HYPERLINK("http://clipc-services.ceda.ac.uk/dreq/u/93a0ba1f23bfc41b720ea68951d28144.html","web")</f>
        <v>0</v>
      </c>
      <c r="G181" s="0" t="s">
        <v>610</v>
      </c>
      <c r="H181" s="0" t="s">
        <v>606</v>
      </c>
      <c r="I181" s="0" t="s">
        <v>609</v>
      </c>
      <c r="J181" s="0" t="s">
        <v>607</v>
      </c>
    </row>
    <row r="182" customFormat="false" ht="15" hidden="false" customHeight="false" outlineLevel="0" collapsed="false">
      <c r="A182" s="0" t="s">
        <v>601</v>
      </c>
      <c r="B182" s="0" t="s">
        <v>611</v>
      </c>
      <c r="C182" s="0" t="s">
        <v>12</v>
      </c>
      <c r="D182" s="0" t="s">
        <v>603</v>
      </c>
      <c r="E182" s="0" t="s">
        <v>612</v>
      </c>
      <c r="F182" s="0" t="n">
        <f aca="false">HYPERLINK("http://clipc-services.ceda.ac.uk/dreq/u/52f043533a691ca5721460e316c3a328.html","web")</f>
        <v>0</v>
      </c>
      <c r="G182" s="0" t="s">
        <v>613</v>
      </c>
      <c r="H182" s="0" t="s">
        <v>614</v>
      </c>
      <c r="I182" s="0" t="s">
        <v>615</v>
      </c>
      <c r="J182" s="0" t="s">
        <v>607</v>
      </c>
    </row>
    <row r="183" customFormat="false" ht="15" hidden="false" customHeight="false" outlineLevel="0" collapsed="false">
      <c r="A183" s="0" t="s">
        <v>601</v>
      </c>
      <c r="B183" s="0" t="s">
        <v>616</v>
      </c>
      <c r="C183" s="0" t="s">
        <v>12</v>
      </c>
      <c r="D183" s="0" t="s">
        <v>603</v>
      </c>
      <c r="E183" s="0" t="s">
        <v>617</v>
      </c>
      <c r="F183" s="0" t="n">
        <f aca="false">HYPERLINK("http://clipc-services.ceda.ac.uk/dreq/u/2a6093caf9e5cd42fb2fba6bdb73d6db.html","web")</f>
        <v>0</v>
      </c>
      <c r="G183" s="0" t="s">
        <v>618</v>
      </c>
      <c r="H183" s="0" t="s">
        <v>606</v>
      </c>
      <c r="I183" s="0" t="s">
        <v>617</v>
      </c>
      <c r="J183" s="0" t="s">
        <v>607</v>
      </c>
    </row>
    <row r="184" customFormat="false" ht="15" hidden="false" customHeight="false" outlineLevel="0" collapsed="false">
      <c r="A184" s="0" t="s">
        <v>601</v>
      </c>
      <c r="B184" s="0" t="s">
        <v>619</v>
      </c>
      <c r="C184" s="0" t="s">
        <v>12</v>
      </c>
      <c r="D184" s="0" t="s">
        <v>603</v>
      </c>
      <c r="E184" s="0" t="s">
        <v>620</v>
      </c>
      <c r="F184" s="0" t="n">
        <f aca="false">HYPERLINK("http://clipc-services.ceda.ac.uk/dreq/u/a1d576b3fc447c37d782926441428ffd.html","web")</f>
        <v>0</v>
      </c>
      <c r="G184" s="0" t="s">
        <v>621</v>
      </c>
      <c r="H184" s="0" t="s">
        <v>606</v>
      </c>
      <c r="I184" s="0" t="s">
        <v>615</v>
      </c>
      <c r="J184" s="0" t="s">
        <v>607</v>
      </c>
    </row>
    <row r="185" customFormat="false" ht="15" hidden="false" customHeight="false" outlineLevel="0" collapsed="false">
      <c r="A185" s="0" t="s">
        <v>601</v>
      </c>
      <c r="B185" s="0" t="s">
        <v>622</v>
      </c>
      <c r="C185" s="0" t="s">
        <v>12</v>
      </c>
      <c r="D185" s="0" t="s">
        <v>603</v>
      </c>
      <c r="E185" s="0" t="s">
        <v>623</v>
      </c>
      <c r="F185" s="0" t="n">
        <f aca="false">HYPERLINK("http://clipc-services.ceda.ac.uk/dreq/u/6e30ba1e2c19dcbd85faa176d4eae596.html","web")</f>
        <v>0</v>
      </c>
      <c r="G185" s="0" t="s">
        <v>624</v>
      </c>
      <c r="H185" s="0" t="s">
        <v>606</v>
      </c>
      <c r="I185" s="0" t="s">
        <v>625</v>
      </c>
      <c r="J185" s="0" t="s">
        <v>607</v>
      </c>
    </row>
    <row r="186" customFormat="false" ht="15" hidden="false" customHeight="false" outlineLevel="0" collapsed="false">
      <c r="A186" s="0" t="s">
        <v>601</v>
      </c>
      <c r="B186" s="0" t="s">
        <v>210</v>
      </c>
      <c r="C186" s="0" t="s">
        <v>12</v>
      </c>
      <c r="D186" s="0" t="s">
        <v>55</v>
      </c>
      <c r="E186" s="0" t="s">
        <v>626</v>
      </c>
      <c r="F186" s="0" t="n">
        <f aca="false">HYPERLINK("http://clipc-services.ceda.ac.uk/dreq/u/b045cae1f65ba99831648f136b309e91.html","web")</f>
        <v>0</v>
      </c>
      <c r="G186" s="0" t="s">
        <v>212</v>
      </c>
      <c r="H186" s="0" t="s">
        <v>213</v>
      </c>
      <c r="I186" s="0" t="s">
        <v>214</v>
      </c>
      <c r="J186" s="0" t="s">
        <v>627</v>
      </c>
    </row>
    <row r="187" customFormat="false" ht="15" hidden="false" customHeight="false" outlineLevel="0" collapsed="false">
      <c r="A187" s="0" t="s">
        <v>601</v>
      </c>
      <c r="B187" s="0" t="s">
        <v>216</v>
      </c>
      <c r="C187" s="0" t="s">
        <v>12</v>
      </c>
      <c r="D187" s="0" t="s">
        <v>55</v>
      </c>
      <c r="E187" s="0" t="s">
        <v>217</v>
      </c>
      <c r="F187" s="0" t="n">
        <f aca="false">HYPERLINK("http://clipc-services.ceda.ac.uk/dreq/u/bb4d31072e09cd4935f1c20a2c533bbd.html","web")</f>
        <v>0</v>
      </c>
      <c r="G187" s="0" t="s">
        <v>218</v>
      </c>
      <c r="H187" s="0" t="s">
        <v>213</v>
      </c>
      <c r="I187" s="0" t="s">
        <v>219</v>
      </c>
      <c r="J187" s="0" t="s">
        <v>628</v>
      </c>
    </row>
    <row r="188" customFormat="false" ht="15" hidden="false" customHeight="false" outlineLevel="0" collapsed="false">
      <c r="A188" s="0" t="s">
        <v>601</v>
      </c>
      <c r="B188" s="0" t="s">
        <v>220</v>
      </c>
      <c r="C188" s="0" t="s">
        <v>12</v>
      </c>
      <c r="D188" s="0" t="s">
        <v>55</v>
      </c>
      <c r="E188" s="0" t="s">
        <v>221</v>
      </c>
      <c r="F188" s="0" t="n">
        <f aca="false">HYPERLINK("http://clipc-services.ceda.ac.uk/dreq/u/987be9b68c051baf4f0c5b6e8c26b4d8.html","web")</f>
        <v>0</v>
      </c>
      <c r="G188" s="0" t="s">
        <v>222</v>
      </c>
      <c r="H188" s="0" t="s">
        <v>213</v>
      </c>
      <c r="I188" s="0" t="s">
        <v>223</v>
      </c>
      <c r="J188" s="0" t="s">
        <v>628</v>
      </c>
    </row>
    <row r="189" customFormat="false" ht="15" hidden="false" customHeight="false" outlineLevel="0" collapsed="false">
      <c r="A189" s="0" t="s">
        <v>601</v>
      </c>
      <c r="B189" s="0" t="s">
        <v>224</v>
      </c>
      <c r="C189" s="0" t="s">
        <v>12</v>
      </c>
      <c r="D189" s="0" t="s">
        <v>55</v>
      </c>
      <c r="E189" s="0" t="s">
        <v>629</v>
      </c>
      <c r="F189" s="0" t="n">
        <f aca="false">HYPERLINK("http://clipc-services.ceda.ac.uk/dreq/u/ce9ab9b945fcc86013ad10431d8f252e.html","web")</f>
        <v>0</v>
      </c>
      <c r="G189" s="0" t="s">
        <v>226</v>
      </c>
      <c r="H189" s="0" t="s">
        <v>213</v>
      </c>
      <c r="J189" s="0" t="s">
        <v>628</v>
      </c>
    </row>
    <row r="190" customFormat="false" ht="15" hidden="false" customHeight="false" outlineLevel="0" collapsed="false">
      <c r="A190" s="0" t="s">
        <v>601</v>
      </c>
      <c r="B190" s="0" t="s">
        <v>227</v>
      </c>
      <c r="C190" s="0" t="s">
        <v>12</v>
      </c>
      <c r="D190" s="0" t="s">
        <v>228</v>
      </c>
      <c r="E190" s="0" t="s">
        <v>630</v>
      </c>
      <c r="F190" s="0" t="n">
        <f aca="false">HYPERLINK("http://clipc-services.ceda.ac.uk/dreq/u/0bbbf303ac691061a69938846f32b23b.html","web")</f>
        <v>0</v>
      </c>
      <c r="G190" s="0" t="s">
        <v>230</v>
      </c>
      <c r="H190" s="0" t="s">
        <v>213</v>
      </c>
      <c r="I190" s="0" t="s">
        <v>231</v>
      </c>
      <c r="J190" s="0" t="s">
        <v>628</v>
      </c>
    </row>
    <row r="191" customFormat="false" ht="15" hidden="false" customHeight="false" outlineLevel="0" collapsed="false">
      <c r="A191" s="0" t="s">
        <v>601</v>
      </c>
      <c r="B191" s="0" t="s">
        <v>232</v>
      </c>
      <c r="C191" s="0" t="s">
        <v>12</v>
      </c>
      <c r="D191" s="0" t="s">
        <v>233</v>
      </c>
      <c r="E191" s="0" t="s">
        <v>631</v>
      </c>
      <c r="F191" s="0" t="n">
        <f aca="false">HYPERLINK("http://clipc-services.ceda.ac.uk/dreq/u/fe9d4b45792f7d6430fe2a9c9b7234b1.html","web")</f>
        <v>0</v>
      </c>
      <c r="G191" s="0" t="s">
        <v>235</v>
      </c>
      <c r="H191" s="0" t="s">
        <v>213</v>
      </c>
      <c r="I191" s="0" t="s">
        <v>236</v>
      </c>
      <c r="J191" s="0" t="s">
        <v>628</v>
      </c>
    </row>
    <row r="192" customFormat="false" ht="15" hidden="false" customHeight="false" outlineLevel="0" collapsed="false">
      <c r="A192" s="0" t="s">
        <v>601</v>
      </c>
      <c r="B192" s="0" t="s">
        <v>237</v>
      </c>
      <c r="C192" s="0" t="s">
        <v>12</v>
      </c>
      <c r="D192" s="0" t="s">
        <v>238</v>
      </c>
      <c r="E192" s="0" t="s">
        <v>632</v>
      </c>
      <c r="F192" s="0" t="n">
        <f aca="false">HYPERLINK("http://clipc-services.ceda.ac.uk/dreq/u/7308096ae00ff52340909b2a59415f82.html","web")</f>
        <v>0</v>
      </c>
      <c r="G192" s="0" t="s">
        <v>240</v>
      </c>
      <c r="H192" s="0" t="s">
        <v>213</v>
      </c>
      <c r="I192" s="0" t="s">
        <v>241</v>
      </c>
      <c r="J192" s="0" t="s">
        <v>628</v>
      </c>
    </row>
    <row r="193" customFormat="false" ht="15" hidden="false" customHeight="false" outlineLevel="0" collapsed="false"/>
    <row r="194" customFormat="false" ht="15" hidden="false" customHeight="false" outlineLevel="0" collapsed="false">
      <c r="A194" s="0" t="s">
        <v>633</v>
      </c>
      <c r="B194" s="0" t="s">
        <v>79</v>
      </c>
      <c r="C194" s="0" t="s">
        <v>12</v>
      </c>
      <c r="D194" s="0" t="s">
        <v>81</v>
      </c>
      <c r="E194" s="0" t="s">
        <v>634</v>
      </c>
      <c r="F194" s="0" t="n">
        <f aca="false">HYPERLINK("http://clipc-services.ceda.ac.uk/dreq/u/42625c97b8fe75124a345962c4430982.html","web")</f>
        <v>0</v>
      </c>
      <c r="G194" s="0" t="s">
        <v>57</v>
      </c>
      <c r="H194" s="0" t="s">
        <v>58</v>
      </c>
      <c r="I194" s="0" t="s">
        <v>83</v>
      </c>
      <c r="J194" s="0" t="s">
        <v>635</v>
      </c>
    </row>
    <row r="195" customFormat="false" ht="15" hidden="false" customHeight="false" outlineLevel="0" collapsed="false">
      <c r="A195" s="0" t="s">
        <v>633</v>
      </c>
      <c r="B195" s="0" t="s">
        <v>85</v>
      </c>
      <c r="C195" s="0" t="s">
        <v>80</v>
      </c>
      <c r="D195" s="0" t="s">
        <v>81</v>
      </c>
      <c r="E195" s="0" t="s">
        <v>636</v>
      </c>
      <c r="F195" s="0" t="n">
        <f aca="false">HYPERLINK("http://clipc-services.ceda.ac.uk/dreq/u/3ab8e10027d7014f18f9391890369235.html","web")</f>
        <v>0</v>
      </c>
      <c r="G195" s="0" t="s">
        <v>57</v>
      </c>
      <c r="H195" s="0" t="s">
        <v>58</v>
      </c>
      <c r="I195" s="0" t="s">
        <v>87</v>
      </c>
      <c r="J195" s="0" t="s">
        <v>637</v>
      </c>
    </row>
    <row r="196" customFormat="false" ht="15" hidden="false" customHeight="false" outlineLevel="0" collapsed="false">
      <c r="A196" s="0" t="s">
        <v>633</v>
      </c>
      <c r="B196" s="0" t="s">
        <v>638</v>
      </c>
      <c r="C196" s="0" t="s">
        <v>12</v>
      </c>
      <c r="D196" s="0" t="s">
        <v>55</v>
      </c>
      <c r="E196" s="0" t="s">
        <v>639</v>
      </c>
      <c r="F196" s="0" t="n">
        <f aca="false">HYPERLINK("http://clipc-services.ceda.ac.uk/dreq/u/c96c470c-c5f0-11e6-ac20-5404a60d96b5.html","web")</f>
        <v>0</v>
      </c>
      <c r="G196" s="0" t="s">
        <v>640</v>
      </c>
      <c r="H196" s="0" t="s">
        <v>641</v>
      </c>
      <c r="I196" s="0" t="s">
        <v>642</v>
      </c>
      <c r="J196" s="0" t="s">
        <v>643</v>
      </c>
    </row>
    <row r="197" customFormat="false" ht="15" hidden="false" customHeight="false" outlineLevel="0" collapsed="false">
      <c r="A197" s="0" t="s">
        <v>633</v>
      </c>
      <c r="B197" s="0" t="s">
        <v>644</v>
      </c>
      <c r="C197" s="0" t="s">
        <v>80</v>
      </c>
      <c r="D197" s="0" t="s">
        <v>55</v>
      </c>
      <c r="E197" s="0" t="s">
        <v>645</v>
      </c>
      <c r="F197" s="0" t="n">
        <f aca="false">HYPERLINK("http://clipc-services.ceda.ac.uk/dreq/u/4a62506a657921cdde7c173c0ae09b98.html","web")</f>
        <v>0</v>
      </c>
      <c r="G197" s="0" t="s">
        <v>57</v>
      </c>
      <c r="H197" s="0" t="s">
        <v>58</v>
      </c>
      <c r="I197" s="0" t="s">
        <v>646</v>
      </c>
      <c r="J197" s="0" t="s">
        <v>637</v>
      </c>
    </row>
    <row r="198" customFormat="false" ht="15" hidden="false" customHeight="false" outlineLevel="0" collapsed="false">
      <c r="A198" s="0" t="s">
        <v>633</v>
      </c>
      <c r="B198" s="0" t="s">
        <v>647</v>
      </c>
      <c r="C198" s="0" t="s">
        <v>80</v>
      </c>
      <c r="D198" s="0" t="s">
        <v>55</v>
      </c>
      <c r="E198" s="0" t="s">
        <v>648</v>
      </c>
      <c r="F198" s="0" t="n">
        <f aca="false">HYPERLINK("http://clipc-services.ceda.ac.uk/dreq/u/0940cbee6105037e4b7aa5579004f124.html","web")</f>
        <v>0</v>
      </c>
      <c r="G198" s="0" t="s">
        <v>57</v>
      </c>
      <c r="H198" s="0" t="s">
        <v>58</v>
      </c>
      <c r="I198" s="0" t="s">
        <v>649</v>
      </c>
      <c r="J198" s="0" t="s">
        <v>650</v>
      </c>
    </row>
    <row r="199" customFormat="false" ht="15" hidden="false" customHeight="false" outlineLevel="0" collapsed="false">
      <c r="A199" s="0" t="s">
        <v>633</v>
      </c>
      <c r="B199" s="0" t="s">
        <v>651</v>
      </c>
      <c r="C199" s="0" t="s">
        <v>12</v>
      </c>
      <c r="D199" s="0" t="s">
        <v>55</v>
      </c>
      <c r="E199" s="0" t="s">
        <v>652</v>
      </c>
      <c r="F199" s="0" t="n">
        <f aca="false">HYPERLINK("http://clipc-services.ceda.ac.uk/dreq/u/e9e21426e4810d0bb2d3dddb24dbf4dc.html","web")</f>
        <v>0</v>
      </c>
      <c r="G199" s="0" t="s">
        <v>57</v>
      </c>
      <c r="H199" s="0" t="s">
        <v>58</v>
      </c>
      <c r="I199" s="0" t="s">
        <v>653</v>
      </c>
      <c r="J199" s="0" t="s">
        <v>637</v>
      </c>
    </row>
    <row r="200" customFormat="false" ht="15" hidden="false" customHeight="false" outlineLevel="0" collapsed="false">
      <c r="A200" s="0" t="s">
        <v>633</v>
      </c>
      <c r="B200" s="0" t="s">
        <v>654</v>
      </c>
      <c r="C200" s="0" t="s">
        <v>12</v>
      </c>
      <c r="D200" s="0" t="s">
        <v>389</v>
      </c>
      <c r="E200" s="0" t="s">
        <v>655</v>
      </c>
      <c r="F200" s="0" t="n">
        <f aca="false">HYPERLINK("http://clipc-services.ceda.ac.uk/dreq/u/69c17331aebbebfc295d5b7af7f0ef8b.html","web")</f>
        <v>0</v>
      </c>
      <c r="G200" s="0" t="s">
        <v>57</v>
      </c>
      <c r="H200" s="0" t="s">
        <v>58</v>
      </c>
      <c r="I200" s="0" t="s">
        <v>656</v>
      </c>
      <c r="J200" s="0" t="s">
        <v>657</v>
      </c>
    </row>
    <row r="201" customFormat="false" ht="15" hidden="false" customHeight="false" outlineLevel="0" collapsed="false">
      <c r="A201" s="0" t="s">
        <v>633</v>
      </c>
      <c r="B201" s="0" t="s">
        <v>658</v>
      </c>
      <c r="C201" s="0" t="s">
        <v>12</v>
      </c>
      <c r="D201" s="0" t="s">
        <v>81</v>
      </c>
      <c r="E201" s="0" t="s">
        <v>659</v>
      </c>
      <c r="F201" s="0" t="n">
        <f aca="false">HYPERLINK("http://clipc-services.ceda.ac.uk/dreq/u/9122e7b627c429163fd0857dc366e14e.html","web")</f>
        <v>0</v>
      </c>
      <c r="G201" s="0" t="s">
        <v>57</v>
      </c>
      <c r="H201" s="0" t="s">
        <v>58</v>
      </c>
      <c r="I201" s="0" t="s">
        <v>660</v>
      </c>
      <c r="J201" s="0" t="s">
        <v>661</v>
      </c>
    </row>
    <row r="202" customFormat="false" ht="15" hidden="false" customHeight="false" outlineLevel="0" collapsed="false">
      <c r="A202" s="0" t="s">
        <v>633</v>
      </c>
      <c r="B202" s="0" t="s">
        <v>61</v>
      </c>
      <c r="C202" s="0" t="s">
        <v>80</v>
      </c>
      <c r="D202" s="0" t="s">
        <v>55</v>
      </c>
      <c r="E202" s="0" t="s">
        <v>662</v>
      </c>
      <c r="F202" s="0" t="n">
        <f aca="false">HYPERLINK("http://clipc-services.ceda.ac.uk/dreq/u/314e3eb73c9ccbdd132899317d87d856.html","web")</f>
        <v>0</v>
      </c>
      <c r="G202" s="0" t="s">
        <v>57</v>
      </c>
      <c r="H202" s="0" t="s">
        <v>58</v>
      </c>
      <c r="I202" s="0" t="s">
        <v>63</v>
      </c>
      <c r="J202" s="0" t="s">
        <v>643</v>
      </c>
    </row>
    <row r="203" customFormat="false" ht="15" hidden="false" customHeight="false" outlineLevel="0" collapsed="false">
      <c r="A203" s="0" t="s">
        <v>633</v>
      </c>
      <c r="B203" s="0" t="s">
        <v>384</v>
      </c>
      <c r="C203" s="0" t="s">
        <v>12</v>
      </c>
      <c r="D203" s="0" t="s">
        <v>81</v>
      </c>
      <c r="E203" s="0" t="s">
        <v>385</v>
      </c>
      <c r="F203" s="0" t="n">
        <f aca="false">HYPERLINK("http://clipc-services.ceda.ac.uk/dreq/u/4bccb8dcdb0ffe97dc89475c91ed66cc.html","web")</f>
        <v>0</v>
      </c>
      <c r="G203" s="0" t="s">
        <v>57</v>
      </c>
      <c r="H203" s="0" t="s">
        <v>58</v>
      </c>
      <c r="I203" s="0" t="s">
        <v>386</v>
      </c>
      <c r="J203" s="0" t="s">
        <v>650</v>
      </c>
    </row>
    <row r="204" customFormat="false" ht="15" hidden="false" customHeight="false" outlineLevel="0" collapsed="false">
      <c r="A204" s="0" t="s">
        <v>633</v>
      </c>
      <c r="B204" s="0" t="s">
        <v>388</v>
      </c>
      <c r="C204" s="0" t="s">
        <v>12</v>
      </c>
      <c r="D204" s="0" t="s">
        <v>389</v>
      </c>
      <c r="E204" s="0" t="s">
        <v>390</v>
      </c>
      <c r="F204" s="0" t="n">
        <f aca="false">HYPERLINK("http://clipc-services.ceda.ac.uk/dreq/u/6901f6894f7382d628084809e7208c4b.html","web")</f>
        <v>0</v>
      </c>
      <c r="G204" s="0" t="s">
        <v>57</v>
      </c>
      <c r="H204" s="0" t="s">
        <v>58</v>
      </c>
      <c r="I204" s="0" t="s">
        <v>391</v>
      </c>
      <c r="J204" s="0" t="s">
        <v>650</v>
      </c>
    </row>
    <row r="205" customFormat="false" ht="15" hidden="false" customHeight="false" outlineLevel="0" collapsed="false">
      <c r="A205" s="0" t="s">
        <v>633</v>
      </c>
      <c r="B205" s="0" t="s">
        <v>663</v>
      </c>
      <c r="C205" s="0" t="s">
        <v>12</v>
      </c>
      <c r="D205" s="0" t="s">
        <v>55</v>
      </c>
      <c r="E205" s="0" t="s">
        <v>664</v>
      </c>
      <c r="F205" s="0" t="n">
        <f aca="false">HYPERLINK("http://clipc-services.ceda.ac.uk/dreq/u/3a9ebed36fac6d76f1c7d70b6cf06991.html","web")</f>
        <v>0</v>
      </c>
      <c r="G205" s="0" t="s">
        <v>57</v>
      </c>
      <c r="H205" s="0" t="s">
        <v>58</v>
      </c>
      <c r="I205" s="0" t="s">
        <v>665</v>
      </c>
      <c r="J205" s="0" t="s">
        <v>650</v>
      </c>
    </row>
    <row r="206" customFormat="false" ht="15" hidden="false" customHeight="false" outlineLevel="0" collapsed="false">
      <c r="A206" s="0" t="s">
        <v>633</v>
      </c>
      <c r="B206" s="0" t="s">
        <v>392</v>
      </c>
      <c r="C206" s="0" t="s">
        <v>12</v>
      </c>
      <c r="D206" s="0" t="s">
        <v>389</v>
      </c>
      <c r="E206" s="0" t="s">
        <v>393</v>
      </c>
      <c r="F206" s="0" t="n">
        <f aca="false">HYPERLINK("http://clipc-services.ceda.ac.uk/dreq/u/dbba7f5717d68960a82b228e03dea7b7.html","web")</f>
        <v>0</v>
      </c>
      <c r="G206" s="0" t="s">
        <v>57</v>
      </c>
      <c r="H206" s="0" t="s">
        <v>58</v>
      </c>
      <c r="I206" s="0" t="s">
        <v>394</v>
      </c>
      <c r="J206" s="0" t="s">
        <v>650</v>
      </c>
    </row>
    <row r="207" customFormat="false" ht="15" hidden="false" customHeight="false" outlineLevel="0" collapsed="false">
      <c r="A207" s="0" t="s">
        <v>633</v>
      </c>
      <c r="B207" s="0" t="s">
        <v>666</v>
      </c>
      <c r="C207" s="0" t="s">
        <v>12</v>
      </c>
      <c r="D207" s="0" t="s">
        <v>55</v>
      </c>
      <c r="E207" s="0" t="s">
        <v>667</v>
      </c>
      <c r="F207" s="0" t="n">
        <f aca="false">HYPERLINK("http://clipc-services.ceda.ac.uk/dreq/u/0086e9daf8d4fb6cb305e03119d2ac2d.html","web")</f>
        <v>0</v>
      </c>
      <c r="G207" s="0" t="s">
        <v>57</v>
      </c>
      <c r="H207" s="0" t="s">
        <v>58</v>
      </c>
      <c r="I207" s="0" t="s">
        <v>668</v>
      </c>
      <c r="J207" s="0" t="s">
        <v>650</v>
      </c>
    </row>
    <row r="208" customFormat="false" ht="15" hidden="false" customHeight="false" outlineLevel="0" collapsed="false">
      <c r="A208" s="0" t="s">
        <v>633</v>
      </c>
      <c r="B208" s="0" t="s">
        <v>395</v>
      </c>
      <c r="C208" s="0" t="s">
        <v>12</v>
      </c>
      <c r="D208" s="0" t="s">
        <v>389</v>
      </c>
      <c r="E208" s="0" t="s">
        <v>396</v>
      </c>
      <c r="F208" s="0" t="n">
        <f aca="false">HYPERLINK("http://clipc-services.ceda.ac.uk/dreq/u/d4ee4806-b00f-11e6-a1f0-ac72891c3257.html","web")</f>
        <v>0</v>
      </c>
      <c r="G208" s="0" t="s">
        <v>57</v>
      </c>
      <c r="H208" s="0" t="s">
        <v>58</v>
      </c>
      <c r="I208" s="0" t="s">
        <v>397</v>
      </c>
      <c r="J208" s="0" t="s">
        <v>643</v>
      </c>
    </row>
    <row r="209" customFormat="false" ht="15" hidden="false" customHeight="false" outlineLevel="0" collapsed="false">
      <c r="A209" s="0" t="s">
        <v>633</v>
      </c>
      <c r="B209" s="0" t="s">
        <v>64</v>
      </c>
      <c r="C209" s="0" t="s">
        <v>54</v>
      </c>
      <c r="D209" s="0" t="s">
        <v>55</v>
      </c>
      <c r="E209" s="0" t="s">
        <v>65</v>
      </c>
      <c r="F209" s="0" t="n">
        <f aca="false">HYPERLINK("http://clipc-services.ceda.ac.uk/dreq/u/d4eb6956-b00f-11e6-a1f0-ac72891c3257.html","web")</f>
        <v>0</v>
      </c>
      <c r="G209" s="0" t="s">
        <v>57</v>
      </c>
      <c r="H209" s="0" t="s">
        <v>58</v>
      </c>
      <c r="J209" s="0" t="s">
        <v>643</v>
      </c>
    </row>
    <row r="210" customFormat="false" ht="15" hidden="false" customHeight="false" outlineLevel="0" collapsed="false">
      <c r="A210" s="0" t="s">
        <v>633</v>
      </c>
      <c r="B210" s="0" t="s">
        <v>398</v>
      </c>
      <c r="C210" s="0" t="s">
        <v>12</v>
      </c>
      <c r="D210" s="0" t="s">
        <v>81</v>
      </c>
      <c r="E210" s="0" t="s">
        <v>399</v>
      </c>
      <c r="F210" s="0" t="n">
        <f aca="false">HYPERLINK("http://clipc-services.ceda.ac.uk/dreq/u/1bb6dca6b08a4e887ded8a455ef04941.html","web")</f>
        <v>0</v>
      </c>
      <c r="G210" s="0" t="s">
        <v>57</v>
      </c>
      <c r="H210" s="0" t="s">
        <v>58</v>
      </c>
      <c r="I210" s="0" t="s">
        <v>400</v>
      </c>
      <c r="J210" s="0" t="s">
        <v>669</v>
      </c>
    </row>
    <row r="211" customFormat="false" ht="15" hidden="false" customHeight="false" outlineLevel="0" collapsed="false">
      <c r="A211" s="0" t="s">
        <v>633</v>
      </c>
      <c r="B211" s="0" t="s">
        <v>670</v>
      </c>
      <c r="C211" s="0" t="s">
        <v>12</v>
      </c>
      <c r="D211" s="0" t="s">
        <v>55</v>
      </c>
      <c r="E211" s="0" t="s">
        <v>671</v>
      </c>
      <c r="F211" s="0" t="n">
        <f aca="false">HYPERLINK("http://clipc-services.ceda.ac.uk/dreq/u/c96d62fe-c5f0-11e6-ac20-5404a60d96b5.html","web")</f>
        <v>0</v>
      </c>
      <c r="G211" s="0" t="s">
        <v>672</v>
      </c>
      <c r="H211" s="0" t="s">
        <v>641</v>
      </c>
      <c r="I211" s="0" t="s">
        <v>673</v>
      </c>
      <c r="J211" s="0" t="s">
        <v>643</v>
      </c>
    </row>
    <row r="212" customFormat="false" ht="15" hidden="false" customHeight="false" outlineLevel="0" collapsed="false">
      <c r="A212" s="0" t="s">
        <v>633</v>
      </c>
      <c r="B212" s="0" t="s">
        <v>674</v>
      </c>
      <c r="C212" s="0" t="s">
        <v>12</v>
      </c>
      <c r="D212" s="0" t="s">
        <v>55</v>
      </c>
      <c r="E212" s="0" t="s">
        <v>675</v>
      </c>
      <c r="F212" s="0" t="n">
        <f aca="false">HYPERLINK("http://clipc-services.ceda.ac.uk/dreq/u/5edcb9a162e51d0a2c8d42a75bed04ef.html","web")</f>
        <v>0</v>
      </c>
      <c r="G212" s="0" t="s">
        <v>57</v>
      </c>
      <c r="H212" s="0" t="s">
        <v>58</v>
      </c>
      <c r="I212" s="0" t="s">
        <v>676</v>
      </c>
      <c r="J212" s="0" t="s">
        <v>677</v>
      </c>
    </row>
    <row r="213" customFormat="false" ht="15" hidden="false" customHeight="false" outlineLevel="0" collapsed="false">
      <c r="A213" s="0" t="s">
        <v>633</v>
      </c>
      <c r="B213" s="0" t="s">
        <v>678</v>
      </c>
      <c r="C213" s="0" t="s">
        <v>54</v>
      </c>
      <c r="D213" s="0" t="s">
        <v>55</v>
      </c>
      <c r="E213" s="0" t="s">
        <v>679</v>
      </c>
      <c r="F213" s="0" t="n">
        <f aca="false">HYPERLINK("http://clipc-services.ceda.ac.uk/dreq/u/1c502fa4d453b20feafa63a862eaeb57.html","web")</f>
        <v>0</v>
      </c>
      <c r="G213" s="0" t="s">
        <v>57</v>
      </c>
      <c r="H213" s="0" t="s">
        <v>58</v>
      </c>
      <c r="I213" s="0" t="s">
        <v>680</v>
      </c>
      <c r="J213" s="0" t="s">
        <v>681</v>
      </c>
    </row>
    <row r="214" customFormat="false" ht="15" hidden="false" customHeight="false" outlineLevel="0" collapsed="false">
      <c r="A214" s="0" t="s">
        <v>633</v>
      </c>
      <c r="B214" s="0" t="s">
        <v>682</v>
      </c>
      <c r="C214" s="0" t="s">
        <v>12</v>
      </c>
      <c r="D214" s="0" t="s">
        <v>55</v>
      </c>
      <c r="E214" s="0" t="s">
        <v>683</v>
      </c>
      <c r="F214" s="0" t="n">
        <f aca="false">HYPERLINK("http://clipc-services.ceda.ac.uk/dreq/u/d4ee907c-b00f-11e6-a1f0-ac72891c3257.html","web")</f>
        <v>0</v>
      </c>
      <c r="G214" s="0" t="s">
        <v>57</v>
      </c>
      <c r="H214" s="0" t="s">
        <v>58</v>
      </c>
      <c r="I214" s="0" t="s">
        <v>684</v>
      </c>
      <c r="J214" s="0" t="s">
        <v>643</v>
      </c>
    </row>
    <row r="215" customFormat="false" ht="15" hidden="false" customHeight="false" outlineLevel="0" collapsed="false">
      <c r="A215" s="0" t="s">
        <v>633</v>
      </c>
      <c r="B215" s="0" t="s">
        <v>685</v>
      </c>
      <c r="C215" s="0" t="s">
        <v>12</v>
      </c>
      <c r="D215" s="0" t="s">
        <v>55</v>
      </c>
      <c r="E215" s="0" t="s">
        <v>686</v>
      </c>
      <c r="F215" s="0" t="n">
        <f aca="false">HYPERLINK("http://clipc-services.ceda.ac.uk/dreq/u/c96d9daa-c5f0-11e6-ac20-5404a60d96b5.html","web")</f>
        <v>0</v>
      </c>
      <c r="G215" s="0" t="s">
        <v>57</v>
      </c>
      <c r="H215" s="0" t="s">
        <v>58</v>
      </c>
      <c r="I215" s="0" t="s">
        <v>137</v>
      </c>
      <c r="J215" s="0" t="s">
        <v>643</v>
      </c>
    </row>
    <row r="216" customFormat="false" ht="15" hidden="false" customHeight="false" outlineLevel="0" collapsed="false">
      <c r="A216" s="0" t="s">
        <v>633</v>
      </c>
      <c r="B216" s="0" t="s">
        <v>687</v>
      </c>
      <c r="C216" s="0" t="s">
        <v>12</v>
      </c>
      <c r="D216" s="0" t="s">
        <v>55</v>
      </c>
      <c r="E216" s="0" t="s">
        <v>688</v>
      </c>
      <c r="F216" s="0" t="n">
        <f aca="false">HYPERLINK("http://clipc-services.ceda.ac.uk/dreq/u/d4ee9e5a-b00f-11e6-a1f0-ac72891c3257.html","web")</f>
        <v>0</v>
      </c>
      <c r="G216" s="0" t="s">
        <v>57</v>
      </c>
      <c r="H216" s="0" t="s">
        <v>58</v>
      </c>
      <c r="I216" s="0" t="s">
        <v>684</v>
      </c>
      <c r="J216" s="0" t="s">
        <v>643</v>
      </c>
    </row>
    <row r="217" customFormat="false" ht="15" hidden="false" customHeight="false" outlineLevel="0" collapsed="false">
      <c r="A217" s="0" t="s">
        <v>633</v>
      </c>
      <c r="B217" s="0" t="s">
        <v>689</v>
      </c>
      <c r="C217" s="0" t="s">
        <v>12</v>
      </c>
      <c r="D217" s="0" t="s">
        <v>55</v>
      </c>
      <c r="E217" s="0" t="s">
        <v>690</v>
      </c>
      <c r="F217" s="0" t="n">
        <f aca="false">HYPERLINK("http://clipc-services.ceda.ac.uk/dreq/u/c96db98e-c5f0-11e6-ac20-5404a60d96b5.html","web")</f>
        <v>0</v>
      </c>
      <c r="G217" s="0" t="s">
        <v>57</v>
      </c>
      <c r="H217" s="0" t="s">
        <v>58</v>
      </c>
      <c r="I217" s="0" t="s">
        <v>140</v>
      </c>
      <c r="J217" s="0" t="s">
        <v>643</v>
      </c>
    </row>
    <row r="218" customFormat="false" ht="15" hidden="false" customHeight="false" outlineLevel="0" collapsed="false">
      <c r="A218" s="0" t="s">
        <v>633</v>
      </c>
      <c r="B218" s="0" t="s">
        <v>691</v>
      </c>
      <c r="C218" s="0" t="s">
        <v>12</v>
      </c>
      <c r="D218" s="0" t="s">
        <v>81</v>
      </c>
      <c r="E218" s="0" t="s">
        <v>692</v>
      </c>
      <c r="F218" s="0" t="n">
        <f aca="false">HYPERLINK("http://clipc-services.ceda.ac.uk/dreq/u/d4eeac2e-b00f-11e6-a1f0-ac72891c3257.html","web")</f>
        <v>0</v>
      </c>
      <c r="G218" s="0" t="s">
        <v>57</v>
      </c>
      <c r="H218" s="0" t="s">
        <v>58</v>
      </c>
      <c r="I218" s="0" t="s">
        <v>693</v>
      </c>
      <c r="J218" s="0" t="s">
        <v>643</v>
      </c>
    </row>
    <row r="219" customFormat="false" ht="15" hidden="false" customHeight="false" outlineLevel="0" collapsed="false">
      <c r="A219" s="0" t="s">
        <v>633</v>
      </c>
      <c r="B219" s="0" t="s">
        <v>694</v>
      </c>
      <c r="C219" s="0" t="s">
        <v>12</v>
      </c>
      <c r="D219" s="0" t="s">
        <v>55</v>
      </c>
      <c r="E219" s="0" t="s">
        <v>695</v>
      </c>
      <c r="F219" s="0" t="n">
        <f aca="false">HYPERLINK("http://clipc-services.ceda.ac.uk/dreq/u/c96de29c-c5f0-11e6-ac20-5404a60d96b5.html","web")</f>
        <v>0</v>
      </c>
      <c r="G219" s="0" t="s">
        <v>57</v>
      </c>
      <c r="H219" s="0" t="s">
        <v>58</v>
      </c>
      <c r="I219" s="0" t="s">
        <v>696</v>
      </c>
      <c r="J219" s="0" t="s">
        <v>643</v>
      </c>
    </row>
    <row r="220" customFormat="false" ht="15" hidden="false" customHeight="false" outlineLevel="0" collapsed="false">
      <c r="A220" s="0" t="s">
        <v>633</v>
      </c>
      <c r="B220" s="0" t="s">
        <v>697</v>
      </c>
      <c r="C220" s="0" t="s">
        <v>12</v>
      </c>
      <c r="D220" s="0" t="s">
        <v>55</v>
      </c>
      <c r="E220" s="0" t="s">
        <v>698</v>
      </c>
      <c r="F220" s="0" t="n">
        <f aca="false">HYPERLINK("http://clipc-services.ceda.ac.uk/dreq/u/c96df0fc-c5f0-11e6-ac20-5404a60d96b5.html","web")</f>
        <v>0</v>
      </c>
      <c r="G220" s="0" t="s">
        <v>57</v>
      </c>
      <c r="H220" s="0" t="s">
        <v>58</v>
      </c>
      <c r="I220" s="0" t="s">
        <v>146</v>
      </c>
      <c r="J220" s="0" t="s">
        <v>643</v>
      </c>
    </row>
    <row r="221" customFormat="false" ht="15" hidden="false" customHeight="false" outlineLevel="0" collapsed="false">
      <c r="A221" s="0" t="s">
        <v>633</v>
      </c>
      <c r="B221" s="0" t="s">
        <v>53</v>
      </c>
      <c r="C221" s="0" t="s">
        <v>12</v>
      </c>
      <c r="D221" s="0" t="s">
        <v>55</v>
      </c>
      <c r="E221" s="0" t="s">
        <v>699</v>
      </c>
      <c r="F221" s="0" t="n">
        <f aca="false">HYPERLINK("http://clipc-services.ceda.ac.uk/dreq/u/1c757370cf83e5619efc0de4d1241f47.html","web")</f>
        <v>0</v>
      </c>
      <c r="G221" s="0" t="s">
        <v>57</v>
      </c>
      <c r="H221" s="0" t="s">
        <v>58</v>
      </c>
      <c r="I221" s="0" t="s">
        <v>59</v>
      </c>
      <c r="J221" s="0" t="s">
        <v>643</v>
      </c>
    </row>
    <row r="222" customFormat="false" ht="15" hidden="false" customHeight="false" outlineLevel="0" collapsed="false">
      <c r="A222" s="0" t="s">
        <v>633</v>
      </c>
      <c r="B222" s="0" t="s">
        <v>700</v>
      </c>
      <c r="C222" s="0" t="s">
        <v>54</v>
      </c>
      <c r="D222" s="0" t="s">
        <v>55</v>
      </c>
      <c r="E222" s="0" t="s">
        <v>701</v>
      </c>
      <c r="F222" s="0" t="n">
        <f aca="false">HYPERLINK("http://clipc-services.ceda.ac.uk/dreq/u/c96e0c22-c5f0-11e6-ac20-5404a60d96b5.html","web")</f>
        <v>0</v>
      </c>
      <c r="G222" s="0" t="s">
        <v>57</v>
      </c>
      <c r="H222" s="0" t="s">
        <v>58</v>
      </c>
      <c r="I222" s="0" t="s">
        <v>702</v>
      </c>
      <c r="J222" s="0" t="s">
        <v>643</v>
      </c>
    </row>
    <row r="223" customFormat="false" ht="15" hidden="false" customHeight="false" outlineLevel="0" collapsed="false">
      <c r="A223" s="0" t="s">
        <v>633</v>
      </c>
      <c r="B223" s="0" t="s">
        <v>703</v>
      </c>
      <c r="C223" s="0" t="s">
        <v>12</v>
      </c>
      <c r="D223" s="0" t="s">
        <v>704</v>
      </c>
      <c r="E223" s="0" t="s">
        <v>705</v>
      </c>
      <c r="F223" s="0" t="n">
        <f aca="false">HYPERLINK("http://clipc-services.ceda.ac.uk/dreq/u/59cc645887ed0a072bb553283e15f732.html","web")</f>
        <v>0</v>
      </c>
      <c r="G223" s="0" t="s">
        <v>57</v>
      </c>
      <c r="H223" s="0" t="s">
        <v>58</v>
      </c>
      <c r="I223" s="0" t="s">
        <v>706</v>
      </c>
      <c r="J223" s="0" t="s">
        <v>650</v>
      </c>
    </row>
    <row r="224" customFormat="false" ht="15" hidden="false" customHeight="false" outlineLevel="0" collapsed="false">
      <c r="A224" s="0" t="s">
        <v>633</v>
      </c>
      <c r="B224" s="0" t="s">
        <v>707</v>
      </c>
      <c r="C224" s="0" t="s">
        <v>54</v>
      </c>
      <c r="D224" s="0" t="s">
        <v>55</v>
      </c>
      <c r="E224" s="0" t="s">
        <v>708</v>
      </c>
      <c r="F224" s="0" t="n">
        <f aca="false">HYPERLINK("http://clipc-services.ceda.ac.uk/dreq/u/c96e439a-c5f0-11e6-ac20-5404a60d96b5.html","web")</f>
        <v>0</v>
      </c>
      <c r="G224" s="0" t="s">
        <v>57</v>
      </c>
      <c r="H224" s="0" t="s">
        <v>58</v>
      </c>
      <c r="I224" s="0" t="s">
        <v>709</v>
      </c>
      <c r="J224" s="0" t="s">
        <v>643</v>
      </c>
    </row>
    <row r="225" customFormat="false" ht="15" hidden="false" customHeight="false" outlineLevel="0" collapsed="false">
      <c r="A225" s="0" t="s">
        <v>633</v>
      </c>
      <c r="B225" s="0" t="s">
        <v>710</v>
      </c>
      <c r="C225" s="0" t="s">
        <v>54</v>
      </c>
      <c r="D225" s="0" t="s">
        <v>55</v>
      </c>
      <c r="E225" s="0" t="s">
        <v>711</v>
      </c>
      <c r="F225" s="0" t="n">
        <f aca="false">HYPERLINK("http://clipc-services.ceda.ac.uk/dreq/u/c96e6d66-c5f0-11e6-ac20-5404a60d96b5.html","web")</f>
        <v>0</v>
      </c>
      <c r="G225" s="0" t="s">
        <v>57</v>
      </c>
      <c r="H225" s="0" t="s">
        <v>58</v>
      </c>
      <c r="I225" s="0" t="s">
        <v>712</v>
      </c>
      <c r="J225" s="0" t="s">
        <v>643</v>
      </c>
    </row>
    <row r="226" customFormat="false" ht="15" hidden="false" customHeight="false" outlineLevel="0" collapsed="false">
      <c r="A226" s="0" t="s">
        <v>633</v>
      </c>
      <c r="B226" s="0" t="s">
        <v>713</v>
      </c>
      <c r="C226" s="0" t="s">
        <v>54</v>
      </c>
      <c r="D226" s="0" t="s">
        <v>55</v>
      </c>
      <c r="E226" s="0" t="s">
        <v>714</v>
      </c>
      <c r="F226" s="0" t="n">
        <f aca="false">HYPERLINK("http://clipc-services.ceda.ac.uk/dreq/u/c96e7b08-c5f0-11e6-ac20-5404a60d96b5.html","web")</f>
        <v>0</v>
      </c>
      <c r="G226" s="0" t="s">
        <v>57</v>
      </c>
      <c r="H226" s="0" t="s">
        <v>58</v>
      </c>
      <c r="I226" s="0" t="s">
        <v>715</v>
      </c>
      <c r="J226" s="0" t="s">
        <v>643</v>
      </c>
    </row>
    <row r="227" customFormat="false" ht="15" hidden="false" customHeight="false" outlineLevel="0" collapsed="false">
      <c r="A227" s="0" t="s">
        <v>633</v>
      </c>
      <c r="B227" s="0" t="s">
        <v>401</v>
      </c>
      <c r="C227" s="0" t="s">
        <v>12</v>
      </c>
      <c r="D227" s="0" t="s">
        <v>402</v>
      </c>
      <c r="E227" s="0" t="s">
        <v>403</v>
      </c>
      <c r="F227" s="0" t="n">
        <f aca="false">HYPERLINK("http://clipc-services.ceda.ac.uk/dreq/u/1f5bb8c9dd54043a9d5f71dfe38f5a19.html","web")</f>
        <v>0</v>
      </c>
      <c r="G227" s="0" t="s">
        <v>57</v>
      </c>
      <c r="H227" s="0" t="s">
        <v>58</v>
      </c>
      <c r="I227" s="0" t="s">
        <v>404</v>
      </c>
      <c r="J227" s="0" t="s">
        <v>716</v>
      </c>
    </row>
    <row r="228" customFormat="false" ht="15" hidden="false" customHeight="false" outlineLevel="0" collapsed="false">
      <c r="A228" s="0" t="s">
        <v>633</v>
      </c>
      <c r="B228" s="0" t="s">
        <v>717</v>
      </c>
      <c r="C228" s="0" t="s">
        <v>54</v>
      </c>
      <c r="D228" s="0" t="s">
        <v>55</v>
      </c>
      <c r="E228" s="0" t="s">
        <v>718</v>
      </c>
      <c r="F228" s="0" t="n">
        <f aca="false">HYPERLINK("http://clipc-services.ceda.ac.uk/dreq/u/c96ea5e2-c5f0-11e6-ac20-5404a60d96b5.html","web")</f>
        <v>0</v>
      </c>
      <c r="G228" s="0" t="s">
        <v>57</v>
      </c>
      <c r="H228" s="0" t="s">
        <v>58</v>
      </c>
      <c r="I228" s="0" t="s">
        <v>165</v>
      </c>
      <c r="J228" s="0" t="s">
        <v>643</v>
      </c>
    </row>
    <row r="229" customFormat="false" ht="15" hidden="false" customHeight="false" outlineLevel="0" collapsed="false">
      <c r="A229" s="0" t="s">
        <v>633</v>
      </c>
      <c r="B229" s="0" t="s">
        <v>719</v>
      </c>
      <c r="C229" s="0" t="s">
        <v>12</v>
      </c>
      <c r="D229" s="0" t="s">
        <v>402</v>
      </c>
      <c r="E229" s="0" t="s">
        <v>720</v>
      </c>
      <c r="F229" s="0" t="n">
        <f aca="false">HYPERLINK("http://clipc-services.ceda.ac.uk/dreq/u/32cbc6ae59c0abfe8e9c526e548452cc.html","web")</f>
        <v>0</v>
      </c>
      <c r="G229" s="0" t="s">
        <v>57</v>
      </c>
      <c r="H229" s="0" t="s">
        <v>58</v>
      </c>
      <c r="I229" s="0" t="s">
        <v>721</v>
      </c>
      <c r="J229" s="0" t="s">
        <v>650</v>
      </c>
    </row>
    <row r="230" customFormat="false" ht="15" hidden="false" customHeight="false" outlineLevel="0" collapsed="false">
      <c r="A230" s="0" t="s">
        <v>633</v>
      </c>
      <c r="B230" s="0" t="s">
        <v>722</v>
      </c>
      <c r="C230" s="0" t="s">
        <v>54</v>
      </c>
      <c r="D230" s="0" t="s">
        <v>55</v>
      </c>
      <c r="E230" s="0" t="s">
        <v>723</v>
      </c>
      <c r="F230" s="0" t="n">
        <f aca="false">HYPERLINK("http://clipc-services.ceda.ac.uk/dreq/u/c96eb3e8-c5f0-11e6-ac20-5404a60d96b5.html","web")</f>
        <v>0</v>
      </c>
      <c r="G230" s="0" t="s">
        <v>57</v>
      </c>
      <c r="H230" s="0" t="s">
        <v>58</v>
      </c>
      <c r="I230" s="0" t="s">
        <v>168</v>
      </c>
      <c r="J230" s="0" t="s">
        <v>643</v>
      </c>
    </row>
    <row r="231" customFormat="false" ht="15" hidden="false" customHeight="false" outlineLevel="0" collapsed="false">
      <c r="A231" s="0" t="s">
        <v>633</v>
      </c>
      <c r="B231" s="0" t="s">
        <v>724</v>
      </c>
      <c r="C231" s="0" t="s">
        <v>80</v>
      </c>
      <c r="D231" s="0" t="s">
        <v>55</v>
      </c>
      <c r="E231" s="0" t="s">
        <v>725</v>
      </c>
      <c r="F231" s="0" t="n">
        <f aca="false">HYPERLINK("http://clipc-services.ceda.ac.uk/dreq/u/26542cc98f984d1b098796374a7ed264.html","web")</f>
        <v>0</v>
      </c>
      <c r="G231" s="0" t="s">
        <v>57</v>
      </c>
      <c r="H231" s="0" t="s">
        <v>58</v>
      </c>
      <c r="I231" s="0" t="s">
        <v>726</v>
      </c>
      <c r="J231" s="0" t="s">
        <v>681</v>
      </c>
    </row>
    <row r="232" customFormat="false" ht="15" hidden="false" customHeight="false" outlineLevel="0" collapsed="false">
      <c r="A232" s="0" t="s">
        <v>633</v>
      </c>
      <c r="B232" s="0" t="s">
        <v>727</v>
      </c>
      <c r="C232" s="0" t="s">
        <v>80</v>
      </c>
      <c r="D232" s="0" t="s">
        <v>55</v>
      </c>
      <c r="E232" s="0" t="s">
        <v>728</v>
      </c>
      <c r="F232" s="0" t="n">
        <f aca="false">HYPERLINK("http://clipc-services.ceda.ac.uk/dreq/u/fa3149feef6236e0cc3207a977d2d0a5.html","web")</f>
        <v>0</v>
      </c>
      <c r="G232" s="0" t="s">
        <v>57</v>
      </c>
      <c r="H232" s="0" t="s">
        <v>58</v>
      </c>
      <c r="I232" s="0" t="s">
        <v>729</v>
      </c>
      <c r="J232" s="0" t="s">
        <v>681</v>
      </c>
    </row>
    <row r="233" customFormat="false" ht="15" hidden="false" customHeight="false" outlineLevel="0" collapsed="false">
      <c r="A233" s="0" t="s">
        <v>633</v>
      </c>
      <c r="B233" s="0" t="s">
        <v>730</v>
      </c>
      <c r="C233" s="0" t="s">
        <v>80</v>
      </c>
      <c r="D233" s="0" t="s">
        <v>402</v>
      </c>
      <c r="E233" s="0" t="s">
        <v>731</v>
      </c>
      <c r="F233" s="0" t="n">
        <f aca="false">HYPERLINK("http://clipc-services.ceda.ac.uk/dreq/u/e332882b170bce82d39f02b78fd87e79.html","web")</f>
        <v>0</v>
      </c>
      <c r="G233" s="0" t="s">
        <v>57</v>
      </c>
      <c r="H233" s="0" t="s">
        <v>58</v>
      </c>
      <c r="I233" s="0" t="s">
        <v>732</v>
      </c>
      <c r="J233" s="0" t="s">
        <v>733</v>
      </c>
    </row>
    <row r="234" customFormat="false" ht="15" hidden="false" customHeight="false" outlineLevel="0" collapsed="false">
      <c r="A234" s="0" t="s">
        <v>633</v>
      </c>
      <c r="B234" s="0" t="s">
        <v>734</v>
      </c>
      <c r="C234" s="0" t="s">
        <v>80</v>
      </c>
      <c r="D234" s="0" t="s">
        <v>402</v>
      </c>
      <c r="E234" s="0" t="s">
        <v>735</v>
      </c>
      <c r="F234" s="0" t="n">
        <f aca="false">HYPERLINK("http://clipc-services.ceda.ac.uk/dreq/u/2e1651d57e5cc5036810331a67ef6ed7.html","web")</f>
        <v>0</v>
      </c>
      <c r="G234" s="0" t="s">
        <v>57</v>
      </c>
      <c r="H234" s="0" t="s">
        <v>58</v>
      </c>
      <c r="I234" s="0" t="s">
        <v>732</v>
      </c>
      <c r="J234" s="0" t="s">
        <v>733</v>
      </c>
    </row>
    <row r="235" customFormat="false" ht="15" hidden="false" customHeight="false" outlineLevel="0" collapsed="false">
      <c r="A235" s="0" t="s">
        <v>633</v>
      </c>
      <c r="B235" s="0" t="s">
        <v>736</v>
      </c>
      <c r="C235" s="0" t="s">
        <v>80</v>
      </c>
      <c r="D235" s="0" t="s">
        <v>402</v>
      </c>
      <c r="E235" s="0" t="s">
        <v>737</v>
      </c>
      <c r="F235" s="0" t="n">
        <f aca="false">HYPERLINK("http://clipc-services.ceda.ac.uk/dreq/u/9e64d2aadc59070a13e29979b6c9541b.html","web")</f>
        <v>0</v>
      </c>
      <c r="G235" s="0" t="s">
        <v>57</v>
      </c>
      <c r="H235" s="0" t="s">
        <v>58</v>
      </c>
      <c r="I235" s="0" t="s">
        <v>732</v>
      </c>
      <c r="J235" s="0" t="s">
        <v>733</v>
      </c>
    </row>
    <row r="236" customFormat="false" ht="15" hidden="false" customHeight="false" outlineLevel="0" collapsed="false">
      <c r="A236" s="0" t="s">
        <v>633</v>
      </c>
      <c r="B236" s="0" t="s">
        <v>738</v>
      </c>
      <c r="C236" s="0" t="s">
        <v>80</v>
      </c>
      <c r="D236" s="0" t="s">
        <v>402</v>
      </c>
      <c r="E236" s="0" t="s">
        <v>739</v>
      </c>
      <c r="F236" s="0" t="n">
        <f aca="false">HYPERLINK("http://clipc-services.ceda.ac.uk/dreq/u/d0f7da4833bd90226f521ddbf0dbcb63.html","web")</f>
        <v>0</v>
      </c>
      <c r="G236" s="0" t="s">
        <v>57</v>
      </c>
      <c r="H236" s="0" t="s">
        <v>58</v>
      </c>
      <c r="I236" s="0" t="s">
        <v>732</v>
      </c>
      <c r="J236" s="0" t="s">
        <v>733</v>
      </c>
    </row>
    <row r="237" customFormat="false" ht="15" hidden="false" customHeight="false" outlineLevel="0" collapsed="false">
      <c r="A237" s="0" t="s">
        <v>633</v>
      </c>
      <c r="B237" s="0" t="s">
        <v>199</v>
      </c>
      <c r="C237" s="0" t="s">
        <v>80</v>
      </c>
      <c r="D237" s="0" t="s">
        <v>55</v>
      </c>
      <c r="E237" s="0" t="s">
        <v>740</v>
      </c>
      <c r="F237" s="0" t="n">
        <f aca="false">HYPERLINK("http://clipc-services.ceda.ac.uk/dreq/u/5912cab4-9e49-11e5-803c-0d0b866b59f3.html","web")</f>
        <v>0</v>
      </c>
      <c r="G237" s="0" t="s">
        <v>202</v>
      </c>
      <c r="H237" s="0" t="s">
        <v>203</v>
      </c>
      <c r="I237" s="0" t="s">
        <v>204</v>
      </c>
      <c r="J237" s="0" t="s">
        <v>741</v>
      </c>
    </row>
    <row r="238" customFormat="false" ht="15" hidden="false" customHeight="false" outlineLevel="0" collapsed="false">
      <c r="A238" s="0" t="s">
        <v>633</v>
      </c>
      <c r="B238" s="0" t="s">
        <v>742</v>
      </c>
      <c r="C238" s="0" t="s">
        <v>80</v>
      </c>
      <c r="D238" s="0" t="s">
        <v>55</v>
      </c>
      <c r="E238" s="0" t="s">
        <v>743</v>
      </c>
      <c r="F238" s="0" t="n">
        <f aca="false">HYPERLINK("http://clipc-services.ceda.ac.uk/dreq/u/70ecea904324e6f3b891276634412350.html","web")</f>
        <v>0</v>
      </c>
      <c r="G238" s="0" t="s">
        <v>57</v>
      </c>
      <c r="H238" s="0" t="s">
        <v>58</v>
      </c>
      <c r="I238" s="0" t="s">
        <v>744</v>
      </c>
      <c r="J238" s="0" t="s">
        <v>733</v>
      </c>
    </row>
    <row r="239" customFormat="false" ht="15" hidden="false" customHeight="false" outlineLevel="0" collapsed="false">
      <c r="A239" s="0" t="s">
        <v>633</v>
      </c>
      <c r="B239" s="0" t="s">
        <v>745</v>
      </c>
      <c r="C239" s="0" t="s">
        <v>12</v>
      </c>
      <c r="D239" s="0" t="s">
        <v>55</v>
      </c>
      <c r="E239" s="0" t="s">
        <v>746</v>
      </c>
      <c r="F239" s="0" t="n">
        <f aca="false">HYPERLINK("http://clipc-services.ceda.ac.uk/dreq/u/f718ef1940e6feab018d81f508bd87c2.html","web")</f>
        <v>0</v>
      </c>
      <c r="G239" s="0" t="s">
        <v>57</v>
      </c>
      <c r="H239" s="0" t="s">
        <v>58</v>
      </c>
      <c r="I239" s="0" t="s">
        <v>747</v>
      </c>
      <c r="J239" s="0" t="s">
        <v>677</v>
      </c>
    </row>
    <row r="240" customFormat="false" ht="15" hidden="false" customHeight="false" outlineLevel="0" collapsed="false">
      <c r="A240" s="0" t="s">
        <v>633</v>
      </c>
      <c r="B240" s="0" t="s">
        <v>748</v>
      </c>
      <c r="C240" s="0" t="s">
        <v>12</v>
      </c>
      <c r="D240" s="0" t="s">
        <v>55</v>
      </c>
      <c r="E240" s="0" t="s">
        <v>749</v>
      </c>
      <c r="F240" s="0" t="n">
        <f aca="false">HYPERLINK("http://clipc-services.ceda.ac.uk/dreq/u/4d42d6e262fdc2c20cf8e2e82826e0c8.html","web")</f>
        <v>0</v>
      </c>
      <c r="G240" s="0" t="s">
        <v>57</v>
      </c>
      <c r="H240" s="0" t="s">
        <v>58</v>
      </c>
      <c r="I240" s="0" t="s">
        <v>750</v>
      </c>
      <c r="J240" s="0" t="s">
        <v>751</v>
      </c>
    </row>
    <row r="241" customFormat="false" ht="15" hidden="false" customHeight="false" outlineLevel="0" collapsed="false">
      <c r="A241" s="0" t="s">
        <v>633</v>
      </c>
      <c r="B241" s="0" t="s">
        <v>752</v>
      </c>
      <c r="C241" s="0" t="s">
        <v>12</v>
      </c>
      <c r="D241" s="0" t="s">
        <v>55</v>
      </c>
      <c r="E241" s="0" t="s">
        <v>753</v>
      </c>
      <c r="F241" s="0" t="n">
        <f aca="false">HYPERLINK("http://clipc-services.ceda.ac.uk/dreq/u/604242476d85346b48bd6d791ed05583.html","web")</f>
        <v>0</v>
      </c>
      <c r="G241" s="0" t="s">
        <v>754</v>
      </c>
      <c r="H241" s="0" t="s">
        <v>755</v>
      </c>
      <c r="I241" s="0" t="s">
        <v>756</v>
      </c>
      <c r="J241" s="0" t="s">
        <v>751</v>
      </c>
    </row>
    <row r="242" customFormat="false" ht="15" hidden="false" customHeight="false" outlineLevel="0" collapsed="false">
      <c r="A242" s="0" t="s">
        <v>633</v>
      </c>
      <c r="B242" s="0" t="s">
        <v>757</v>
      </c>
      <c r="C242" s="0" t="s">
        <v>80</v>
      </c>
      <c r="D242" s="0" t="s">
        <v>55</v>
      </c>
      <c r="E242" s="0" t="s">
        <v>758</v>
      </c>
      <c r="F242" s="0" t="n">
        <f aca="false">HYPERLINK("http://clipc-services.ceda.ac.uk/dreq/u/1418ccb847c5c235176620baf22d7b33.html","web")</f>
        <v>0</v>
      </c>
      <c r="G242" s="0" t="s">
        <v>57</v>
      </c>
      <c r="H242" s="0" t="s">
        <v>58</v>
      </c>
      <c r="I242" s="0" t="s">
        <v>759</v>
      </c>
      <c r="J242" s="0" t="s">
        <v>760</v>
      </c>
    </row>
    <row r="243" customFormat="false" ht="15" hidden="false" customHeight="false" outlineLevel="0" collapsed="false">
      <c r="A243" s="0" t="s">
        <v>633</v>
      </c>
      <c r="B243" s="0" t="s">
        <v>761</v>
      </c>
      <c r="C243" s="0" t="s">
        <v>80</v>
      </c>
      <c r="D243" s="0" t="s">
        <v>55</v>
      </c>
      <c r="E243" s="0" t="s">
        <v>762</v>
      </c>
      <c r="F243" s="0" t="n">
        <f aca="false">HYPERLINK("http://clipc-services.ceda.ac.uk/dreq/u/af7707ac309cab4b2f2ce461f89ab741.html","web")</f>
        <v>0</v>
      </c>
      <c r="G243" s="0" t="s">
        <v>57</v>
      </c>
      <c r="H243" s="0" t="s">
        <v>58</v>
      </c>
      <c r="I243" s="0" t="s">
        <v>763</v>
      </c>
      <c r="J243" s="0" t="s">
        <v>733</v>
      </c>
    </row>
    <row r="244" customFormat="false" ht="15" hidden="false" customHeight="false" outlineLevel="0" collapsed="false">
      <c r="A244" s="0" t="s">
        <v>633</v>
      </c>
      <c r="B244" s="0" t="s">
        <v>764</v>
      </c>
      <c r="C244" s="0" t="s">
        <v>80</v>
      </c>
      <c r="D244" s="0" t="s">
        <v>55</v>
      </c>
      <c r="E244" s="0" t="s">
        <v>765</v>
      </c>
      <c r="F244" s="0" t="n">
        <f aca="false">HYPERLINK("http://clipc-services.ceda.ac.uk/dreq/u/11f31866ee4fca2f68e25ccd529ede8a.html","web")</f>
        <v>0</v>
      </c>
      <c r="G244" s="0" t="s">
        <v>57</v>
      </c>
      <c r="H244" s="0" t="s">
        <v>58</v>
      </c>
      <c r="I244" s="0" t="s">
        <v>766</v>
      </c>
      <c r="J244" s="0" t="s">
        <v>733</v>
      </c>
    </row>
    <row r="245" customFormat="false" ht="15" hidden="false" customHeight="false" outlineLevel="0" collapsed="false">
      <c r="A245" s="0" t="s">
        <v>633</v>
      </c>
      <c r="B245" s="0" t="s">
        <v>767</v>
      </c>
      <c r="C245" s="0" t="s">
        <v>80</v>
      </c>
      <c r="D245" s="0" t="s">
        <v>55</v>
      </c>
      <c r="E245" s="0" t="s">
        <v>768</v>
      </c>
      <c r="F245" s="0" t="n">
        <f aca="false">HYPERLINK("http://clipc-services.ceda.ac.uk/dreq/u/155ede0bff2578a736e6379552483f4e.html","web")</f>
        <v>0</v>
      </c>
      <c r="G245" s="0" t="s">
        <v>57</v>
      </c>
      <c r="H245" s="0" t="s">
        <v>58</v>
      </c>
      <c r="I245" s="0" t="s">
        <v>769</v>
      </c>
      <c r="J245" s="0" t="s">
        <v>741</v>
      </c>
    </row>
    <row r="246" customFormat="false" ht="15" hidden="false" customHeight="false" outlineLevel="0" collapsed="false">
      <c r="A246" s="0" t="s">
        <v>633</v>
      </c>
      <c r="B246" s="0" t="s">
        <v>770</v>
      </c>
      <c r="C246" s="0" t="s">
        <v>80</v>
      </c>
      <c r="D246" s="0" t="s">
        <v>55</v>
      </c>
      <c r="E246" s="0" t="s">
        <v>771</v>
      </c>
      <c r="F246" s="0" t="n">
        <f aca="false">HYPERLINK("http://clipc-services.ceda.ac.uk/dreq/u/22fae57fa6f2e7e2744a3a9fe3c0dbca.html","web")</f>
        <v>0</v>
      </c>
      <c r="G246" s="0" t="s">
        <v>57</v>
      </c>
      <c r="H246" s="0" t="s">
        <v>58</v>
      </c>
      <c r="I246" s="0" t="s">
        <v>772</v>
      </c>
      <c r="J246" s="0" t="s">
        <v>741</v>
      </c>
    </row>
    <row r="247" customFormat="false" ht="15" hidden="false" customHeight="false" outlineLevel="0" collapsed="false">
      <c r="A247" s="0" t="s">
        <v>633</v>
      </c>
      <c r="B247" s="0" t="s">
        <v>773</v>
      </c>
      <c r="C247" s="0" t="s">
        <v>80</v>
      </c>
      <c r="D247" s="0" t="s">
        <v>81</v>
      </c>
      <c r="E247" s="0" t="s">
        <v>774</v>
      </c>
      <c r="F247" s="0" t="n">
        <f aca="false">HYPERLINK("http://clipc-services.ceda.ac.uk/dreq/u/bd938fec017c18d3eee106db55f924c5.html","web")</f>
        <v>0</v>
      </c>
      <c r="G247" s="0" t="s">
        <v>775</v>
      </c>
      <c r="H247" s="0" t="s">
        <v>776</v>
      </c>
      <c r="I247" s="0" t="s">
        <v>777</v>
      </c>
      <c r="J247" s="0" t="s">
        <v>741</v>
      </c>
    </row>
    <row r="248" customFormat="false" ht="15" hidden="false" customHeight="false" outlineLevel="0" collapsed="false">
      <c r="A248" s="0" t="s">
        <v>633</v>
      </c>
      <c r="B248" s="0" t="s">
        <v>778</v>
      </c>
      <c r="C248" s="0" t="s">
        <v>80</v>
      </c>
      <c r="D248" s="0" t="s">
        <v>55</v>
      </c>
      <c r="E248" s="0" t="s">
        <v>774</v>
      </c>
      <c r="F248" s="0" t="n">
        <f aca="false">HYPERLINK("http://clipc-services.ceda.ac.uk/dreq/u/bd938fec017c18d3eee106db55f924c5.html","web")</f>
        <v>0</v>
      </c>
      <c r="G248" s="0" t="s">
        <v>57</v>
      </c>
      <c r="H248" s="0" t="s">
        <v>58</v>
      </c>
      <c r="I248" s="0" t="s">
        <v>777</v>
      </c>
      <c r="J248" s="0" t="s">
        <v>741</v>
      </c>
    </row>
    <row r="249" customFormat="false" ht="15" hidden="false" customHeight="false" outlineLevel="0" collapsed="false">
      <c r="A249" s="0" t="s">
        <v>633</v>
      </c>
      <c r="B249" s="0" t="s">
        <v>779</v>
      </c>
      <c r="C249" s="0" t="s">
        <v>80</v>
      </c>
      <c r="D249" s="0" t="s">
        <v>55</v>
      </c>
      <c r="E249" s="0" t="s">
        <v>780</v>
      </c>
      <c r="F249" s="0" t="n">
        <f aca="false">HYPERLINK("http://clipc-services.ceda.ac.uk/dreq/u/b16fab4e82317586d4bc72d786a6a1db.html","web")</f>
        <v>0</v>
      </c>
      <c r="G249" s="0" t="s">
        <v>781</v>
      </c>
      <c r="H249" s="0" t="s">
        <v>776</v>
      </c>
      <c r="I249" s="0" t="s">
        <v>766</v>
      </c>
      <c r="J249" s="0" t="s">
        <v>741</v>
      </c>
    </row>
    <row r="250" customFormat="false" ht="15" hidden="false" customHeight="false" outlineLevel="0" collapsed="false">
      <c r="A250" s="0" t="s">
        <v>633</v>
      </c>
      <c r="B250" s="0" t="s">
        <v>782</v>
      </c>
      <c r="C250" s="0" t="s">
        <v>80</v>
      </c>
      <c r="D250" s="0" t="s">
        <v>55</v>
      </c>
      <c r="E250" s="0" t="s">
        <v>783</v>
      </c>
      <c r="F250" s="0" t="n">
        <f aca="false">HYPERLINK("http://clipc-services.ceda.ac.uk/dreq/u/ad2c59f6784b7b6a8b2a95424a1a642d.html","web")</f>
        <v>0</v>
      </c>
      <c r="G250" s="0" t="s">
        <v>784</v>
      </c>
      <c r="H250" s="0" t="s">
        <v>776</v>
      </c>
      <c r="I250" s="0" t="s">
        <v>785</v>
      </c>
      <c r="J250" s="0" t="s">
        <v>741</v>
      </c>
    </row>
    <row r="251" customFormat="false" ht="15" hidden="false" customHeight="false" outlineLevel="0" collapsed="false">
      <c r="A251" s="0" t="s">
        <v>633</v>
      </c>
      <c r="B251" s="0" t="s">
        <v>786</v>
      </c>
      <c r="C251" s="0" t="s">
        <v>80</v>
      </c>
      <c r="D251" s="0" t="s">
        <v>55</v>
      </c>
      <c r="E251" s="0" t="s">
        <v>787</v>
      </c>
      <c r="F251" s="0" t="n">
        <f aca="false">HYPERLINK("http://clipc-services.ceda.ac.uk/dreq/u/e60a812c3a4351f1747a8bf9fb48aec8.html","web")</f>
        <v>0</v>
      </c>
      <c r="G251" s="0" t="s">
        <v>788</v>
      </c>
      <c r="H251" s="0" t="s">
        <v>776</v>
      </c>
      <c r="I251" s="0" t="s">
        <v>766</v>
      </c>
      <c r="J251" s="0" t="s">
        <v>741</v>
      </c>
    </row>
    <row r="252" customFormat="false" ht="15" hidden="false" customHeight="false" outlineLevel="0" collapsed="false">
      <c r="A252" s="0" t="s">
        <v>633</v>
      </c>
      <c r="B252" s="0" t="s">
        <v>789</v>
      </c>
      <c r="C252" s="0" t="s">
        <v>12</v>
      </c>
      <c r="D252" s="0" t="s">
        <v>55</v>
      </c>
      <c r="E252" s="0" t="s">
        <v>790</v>
      </c>
      <c r="F252" s="0" t="n">
        <f aca="false">HYPERLINK("http://clipc-services.ceda.ac.uk/dreq/u/0312fb7cbaaff353e66b17c21fb13482.html","web")</f>
        <v>0</v>
      </c>
      <c r="G252" s="0" t="s">
        <v>791</v>
      </c>
      <c r="H252" s="0" t="s">
        <v>755</v>
      </c>
      <c r="I252" s="0" t="s">
        <v>792</v>
      </c>
      <c r="J252" s="0" t="s">
        <v>677</v>
      </c>
    </row>
    <row r="253" customFormat="false" ht="15" hidden="false" customHeight="false" outlineLevel="0" collapsed="false">
      <c r="A253" s="0" t="s">
        <v>633</v>
      </c>
      <c r="B253" s="0" t="s">
        <v>193</v>
      </c>
      <c r="C253" s="0" t="s">
        <v>54</v>
      </c>
      <c r="D253" s="0" t="s">
        <v>81</v>
      </c>
      <c r="E253" s="0" t="s">
        <v>194</v>
      </c>
      <c r="F253" s="0" t="n">
        <f aca="false">HYPERLINK("http://clipc-services.ceda.ac.uk/dreq/u/28a54e8b5b73c4ae915a82ed99c74459.html","web")</f>
        <v>0</v>
      </c>
      <c r="G253" s="0" t="s">
        <v>57</v>
      </c>
      <c r="H253" s="0" t="s">
        <v>58</v>
      </c>
      <c r="I253" s="0" t="s">
        <v>188</v>
      </c>
      <c r="J253" s="0" t="s">
        <v>643</v>
      </c>
    </row>
    <row r="254" customFormat="false" ht="15" hidden="false" customHeight="false" outlineLevel="0" collapsed="false">
      <c r="A254" s="0" t="s">
        <v>633</v>
      </c>
      <c r="B254" s="0" t="s">
        <v>183</v>
      </c>
      <c r="C254" s="0" t="s">
        <v>54</v>
      </c>
      <c r="D254" s="0" t="s">
        <v>81</v>
      </c>
      <c r="E254" s="0" t="s">
        <v>184</v>
      </c>
      <c r="F254" s="0" t="n">
        <f aca="false">HYPERLINK("http://clipc-services.ceda.ac.uk/dreq/u/4f309d6b2d689c19254dccc24c66e32d.html","web")</f>
        <v>0</v>
      </c>
      <c r="G254" s="0" t="s">
        <v>57</v>
      </c>
      <c r="H254" s="0" t="s">
        <v>58</v>
      </c>
      <c r="I254" s="0" t="s">
        <v>185</v>
      </c>
      <c r="J254" s="0" t="s">
        <v>793</v>
      </c>
    </row>
    <row r="255" customFormat="false" ht="15" hidden="false" customHeight="false" outlineLevel="0" collapsed="false">
      <c r="A255" s="0" t="s">
        <v>633</v>
      </c>
      <c r="B255" s="0" t="s">
        <v>794</v>
      </c>
      <c r="C255" s="0" t="s">
        <v>80</v>
      </c>
      <c r="D255" s="0" t="s">
        <v>55</v>
      </c>
      <c r="E255" s="0" t="s">
        <v>795</v>
      </c>
      <c r="F255" s="0" t="n">
        <f aca="false">HYPERLINK("http://clipc-services.ceda.ac.uk/dreq/u/f1b2785c2f21b3ca1fbe97a1152920f6.html","web")</f>
        <v>0</v>
      </c>
      <c r="G255" s="0" t="s">
        <v>57</v>
      </c>
      <c r="H255" s="0" t="s">
        <v>58</v>
      </c>
      <c r="I255" s="0" t="s">
        <v>796</v>
      </c>
      <c r="J255" s="0" t="s">
        <v>797</v>
      </c>
    </row>
    <row r="256" customFormat="false" ht="15" hidden="false" customHeight="false" outlineLevel="0" collapsed="false">
      <c r="A256" s="0" t="s">
        <v>633</v>
      </c>
      <c r="B256" s="0" t="s">
        <v>798</v>
      </c>
      <c r="C256" s="0" t="s">
        <v>54</v>
      </c>
      <c r="D256" s="0" t="s">
        <v>55</v>
      </c>
      <c r="E256" s="0" t="s">
        <v>799</v>
      </c>
      <c r="F256" s="0" t="n">
        <f aca="false">HYPERLINK("http://clipc-services.ceda.ac.uk/dreq/u/ba8065ebbce734a631b427699ddbaf7e.html","web")</f>
        <v>0</v>
      </c>
      <c r="G256" s="0" t="s">
        <v>57</v>
      </c>
      <c r="H256" s="0" t="s">
        <v>58</v>
      </c>
      <c r="I256" s="0" t="s">
        <v>800</v>
      </c>
      <c r="J256" s="0" t="s">
        <v>797</v>
      </c>
    </row>
    <row r="257" customFormat="false" ht="15" hidden="false" customHeight="false" outlineLevel="0" collapsed="false">
      <c r="A257" s="0" t="s">
        <v>633</v>
      </c>
      <c r="B257" s="0" t="s">
        <v>801</v>
      </c>
      <c r="C257" s="0" t="s">
        <v>80</v>
      </c>
      <c r="D257" s="0" t="s">
        <v>55</v>
      </c>
      <c r="E257" s="0" t="s">
        <v>802</v>
      </c>
      <c r="F257" s="0" t="n">
        <f aca="false">HYPERLINK("http://clipc-services.ceda.ac.uk/dreq/u/3f25d295551edcd3949776cccca7656c.html","web")</f>
        <v>0</v>
      </c>
      <c r="G257" s="0" t="s">
        <v>57</v>
      </c>
      <c r="H257" s="0" t="s">
        <v>58</v>
      </c>
      <c r="I257" s="0" t="s">
        <v>803</v>
      </c>
      <c r="J257" s="0" t="s">
        <v>797</v>
      </c>
    </row>
    <row r="258" customFormat="false" ht="15" hidden="false" customHeight="false" outlineLevel="0" collapsed="false">
      <c r="A258" s="0" t="s">
        <v>633</v>
      </c>
      <c r="B258" s="0" t="s">
        <v>804</v>
      </c>
      <c r="C258" s="0" t="s">
        <v>54</v>
      </c>
      <c r="D258" s="0" t="s">
        <v>55</v>
      </c>
      <c r="E258" s="0" t="s">
        <v>805</v>
      </c>
      <c r="F258" s="0" t="n">
        <f aca="false">HYPERLINK("http://clipc-services.ceda.ac.uk/dreq/u/883fe8c76f1bd133e9075182240b1ca0.html","web")</f>
        <v>0</v>
      </c>
      <c r="G258" s="0" t="s">
        <v>57</v>
      </c>
      <c r="H258" s="0" t="s">
        <v>58</v>
      </c>
      <c r="I258" s="0" t="s">
        <v>806</v>
      </c>
      <c r="J258" s="0" t="s">
        <v>797</v>
      </c>
    </row>
    <row r="259" customFormat="false" ht="15" hidden="false" customHeight="false" outlineLevel="0" collapsed="false">
      <c r="A259" s="0" t="s">
        <v>633</v>
      </c>
      <c r="B259" s="0" t="s">
        <v>807</v>
      </c>
      <c r="C259" s="0" t="s">
        <v>80</v>
      </c>
      <c r="D259" s="0" t="s">
        <v>55</v>
      </c>
      <c r="E259" s="0" t="s">
        <v>808</v>
      </c>
      <c r="F259" s="0" t="n">
        <f aca="false">HYPERLINK("http://clipc-services.ceda.ac.uk/dreq/u/1dfd4bb59374157f2bcd5338c90a54b4.html","web")</f>
        <v>0</v>
      </c>
      <c r="G259" s="0" t="s">
        <v>57</v>
      </c>
      <c r="H259" s="0" t="s">
        <v>58</v>
      </c>
      <c r="I259" s="0" t="s">
        <v>809</v>
      </c>
      <c r="J259" s="0" t="s">
        <v>797</v>
      </c>
    </row>
    <row r="260" customFormat="false" ht="15" hidden="false" customHeight="false" outlineLevel="0" collapsed="false">
      <c r="A260" s="0" t="s">
        <v>633</v>
      </c>
      <c r="B260" s="0" t="s">
        <v>810</v>
      </c>
      <c r="C260" s="0" t="s">
        <v>54</v>
      </c>
      <c r="D260" s="0" t="s">
        <v>55</v>
      </c>
      <c r="E260" s="0" t="s">
        <v>811</v>
      </c>
      <c r="F260" s="0" t="n">
        <f aca="false">HYPERLINK("http://clipc-services.ceda.ac.uk/dreq/u/86b89f8138a6ec9830def56892753017.html","web")</f>
        <v>0</v>
      </c>
      <c r="G260" s="0" t="s">
        <v>57</v>
      </c>
      <c r="H260" s="0" t="s">
        <v>58</v>
      </c>
      <c r="I260" s="0" t="s">
        <v>812</v>
      </c>
      <c r="J260" s="0" t="s">
        <v>797</v>
      </c>
    </row>
    <row r="261" customFormat="false" ht="15" hidden="false" customHeight="false" outlineLevel="0" collapsed="false">
      <c r="A261" s="0" t="s">
        <v>633</v>
      </c>
      <c r="B261" s="0" t="s">
        <v>813</v>
      </c>
      <c r="C261" s="0" t="s">
        <v>12</v>
      </c>
      <c r="D261" s="0" t="s">
        <v>55</v>
      </c>
      <c r="E261" s="0" t="s">
        <v>814</v>
      </c>
      <c r="F261" s="0" t="n">
        <f aca="false">HYPERLINK("http://clipc-services.ceda.ac.uk/dreq/u/f240d371c4585a7647bd775cc97abbee.html","web")</f>
        <v>0</v>
      </c>
      <c r="G261" s="0" t="s">
        <v>57</v>
      </c>
      <c r="H261" s="0" t="s">
        <v>58</v>
      </c>
      <c r="I261" s="0" t="s">
        <v>815</v>
      </c>
      <c r="J261" s="0" t="s">
        <v>816</v>
      </c>
    </row>
    <row r="262" customFormat="false" ht="15" hidden="false" customHeight="false" outlineLevel="0" collapsed="false">
      <c r="A262" s="0" t="s">
        <v>633</v>
      </c>
      <c r="B262" s="0" t="s">
        <v>817</v>
      </c>
      <c r="C262" s="0" t="s">
        <v>80</v>
      </c>
      <c r="D262" s="0" t="s">
        <v>55</v>
      </c>
      <c r="E262" s="0" t="s">
        <v>818</v>
      </c>
      <c r="F262" s="0" t="n">
        <f aca="false">HYPERLINK("http://clipc-services.ceda.ac.uk/dreq/u/c971e98c-c5f0-11e6-ac20-5404a60d96b5.html","web")</f>
        <v>0</v>
      </c>
      <c r="G262" s="0" t="s">
        <v>57</v>
      </c>
      <c r="H262" s="0" t="s">
        <v>58</v>
      </c>
      <c r="I262" s="0" t="s">
        <v>819</v>
      </c>
      <c r="J262" s="0" t="s">
        <v>643</v>
      </c>
    </row>
    <row r="263" customFormat="false" ht="15" hidden="false" customHeight="false" outlineLevel="0" collapsed="false">
      <c r="A263" s="0" t="s">
        <v>633</v>
      </c>
      <c r="B263" s="0" t="s">
        <v>820</v>
      </c>
      <c r="C263" s="0" t="s">
        <v>80</v>
      </c>
      <c r="D263" s="0" t="s">
        <v>55</v>
      </c>
      <c r="E263" s="0" t="s">
        <v>821</v>
      </c>
      <c r="F263" s="0" t="n">
        <f aca="false">HYPERLINK("http://clipc-services.ceda.ac.uk/dreq/u/e527e1f0-dd83-11e5-9194-ac72891c3257.html","web")</f>
        <v>0</v>
      </c>
      <c r="G263" s="0" t="s">
        <v>57</v>
      </c>
      <c r="H263" s="0" t="s">
        <v>58</v>
      </c>
      <c r="I263" s="0" t="s">
        <v>822</v>
      </c>
      <c r="J263" s="0" t="s">
        <v>643</v>
      </c>
    </row>
    <row r="264" customFormat="false" ht="15" hidden="false" customHeight="false" outlineLevel="0" collapsed="false">
      <c r="A264" s="0" t="s">
        <v>633</v>
      </c>
      <c r="B264" s="0" t="s">
        <v>823</v>
      </c>
      <c r="C264" s="0" t="s">
        <v>54</v>
      </c>
      <c r="D264" s="0" t="s">
        <v>55</v>
      </c>
      <c r="E264" s="0" t="s">
        <v>824</v>
      </c>
      <c r="F264" s="0" t="n">
        <f aca="false">HYPERLINK("http://clipc-services.ceda.ac.uk/dreq/u/e5289ab4-dd83-11e5-9194-ac72891c3257.html","web")</f>
        <v>0</v>
      </c>
      <c r="G264" s="0" t="s">
        <v>57</v>
      </c>
      <c r="H264" s="0" t="s">
        <v>58</v>
      </c>
      <c r="I264" s="0" t="s">
        <v>825</v>
      </c>
      <c r="J264" s="0" t="s">
        <v>643</v>
      </c>
    </row>
    <row r="265" customFormat="false" ht="15" hidden="false" customHeight="false" outlineLevel="0" collapsed="false">
      <c r="A265" s="0" t="s">
        <v>633</v>
      </c>
      <c r="B265" s="0" t="s">
        <v>826</v>
      </c>
      <c r="C265" s="0" t="s">
        <v>54</v>
      </c>
      <c r="D265" s="0" t="s">
        <v>55</v>
      </c>
      <c r="E265" s="0" t="s">
        <v>827</v>
      </c>
      <c r="F265" s="0" t="n">
        <f aca="false">HYPERLINK("http://clipc-services.ceda.ac.uk/dreq/u/28d5c13c016320943983914bc63e6abd.html","web")</f>
        <v>0</v>
      </c>
      <c r="G265" s="0" t="s">
        <v>57</v>
      </c>
      <c r="H265" s="0" t="s">
        <v>58</v>
      </c>
      <c r="I265" s="0" t="s">
        <v>828</v>
      </c>
      <c r="J265" s="0" t="s">
        <v>681</v>
      </c>
    </row>
    <row r="266" customFormat="false" ht="15" hidden="false" customHeight="false" outlineLevel="0" collapsed="false">
      <c r="A266" s="0" t="s">
        <v>633</v>
      </c>
      <c r="B266" s="0" t="s">
        <v>829</v>
      </c>
      <c r="C266" s="0" t="s">
        <v>54</v>
      </c>
      <c r="D266" s="0" t="s">
        <v>55</v>
      </c>
      <c r="E266" s="0" t="s">
        <v>830</v>
      </c>
      <c r="F266" s="0" t="n">
        <f aca="false">HYPERLINK("http://clipc-services.ceda.ac.uk/dreq/u/351cb82f1f858d9c0e1094eaf477c9bc.html","web")</f>
        <v>0</v>
      </c>
      <c r="G266" s="0" t="s">
        <v>57</v>
      </c>
      <c r="H266" s="0" t="s">
        <v>58</v>
      </c>
      <c r="I266" s="0" t="s">
        <v>831</v>
      </c>
      <c r="J266" s="0" t="s">
        <v>681</v>
      </c>
    </row>
    <row r="267" customFormat="false" ht="15" hidden="false" customHeight="false" outlineLevel="0" collapsed="false">
      <c r="A267" s="0" t="s">
        <v>633</v>
      </c>
      <c r="B267" s="0" t="s">
        <v>832</v>
      </c>
      <c r="C267" s="0" t="s">
        <v>54</v>
      </c>
      <c r="D267" s="0" t="s">
        <v>55</v>
      </c>
      <c r="E267" s="0" t="s">
        <v>181</v>
      </c>
      <c r="F267" s="0" t="n">
        <f aca="false">HYPERLINK("http://clipc-services.ceda.ac.uk/dreq/u/c1a2f2eeee3b74cd94a2946050785278.html","web")</f>
        <v>0</v>
      </c>
      <c r="G267" s="0" t="s">
        <v>57</v>
      </c>
      <c r="H267" s="0" t="s">
        <v>58</v>
      </c>
      <c r="I267" s="0" t="s">
        <v>833</v>
      </c>
      <c r="J267" s="0" t="s">
        <v>681</v>
      </c>
    </row>
    <row r="268" customFormat="false" ht="15" hidden="false" customHeight="false" outlineLevel="0" collapsed="false">
      <c r="A268" s="0" t="s">
        <v>633</v>
      </c>
      <c r="B268" s="0" t="s">
        <v>834</v>
      </c>
      <c r="C268" s="0" t="s">
        <v>12</v>
      </c>
      <c r="D268" s="0" t="s">
        <v>835</v>
      </c>
      <c r="E268" s="0" t="s">
        <v>836</v>
      </c>
      <c r="F268" s="0" t="n">
        <f aca="false">HYPERLINK("http://clipc-services.ceda.ac.uk/dreq/u/4500aac3ce5985eff562e6a170a88574.html","web")</f>
        <v>0</v>
      </c>
      <c r="G268" s="0" t="s">
        <v>57</v>
      </c>
      <c r="H268" s="0" t="s">
        <v>58</v>
      </c>
      <c r="I268" s="0" t="s">
        <v>837</v>
      </c>
      <c r="J268" s="0" t="s">
        <v>838</v>
      </c>
    </row>
    <row r="269" customFormat="false" ht="15" hidden="false" customHeight="false" outlineLevel="0" collapsed="false">
      <c r="A269" s="0" t="s">
        <v>633</v>
      </c>
      <c r="B269" s="0" t="s">
        <v>839</v>
      </c>
      <c r="C269" s="0" t="s">
        <v>54</v>
      </c>
      <c r="D269" s="0" t="s">
        <v>835</v>
      </c>
      <c r="E269" s="0" t="s">
        <v>840</v>
      </c>
      <c r="F269" s="0" t="n">
        <f aca="false">HYPERLINK("http://clipc-services.ceda.ac.uk/dreq/u/5ad003b9cbc58ca2c9117bb2d144605f.html","web")</f>
        <v>0</v>
      </c>
      <c r="G269" s="0" t="s">
        <v>57</v>
      </c>
      <c r="H269" s="0" t="s">
        <v>58</v>
      </c>
      <c r="I269" s="0" t="s">
        <v>841</v>
      </c>
      <c r="J269" s="0" t="s">
        <v>681</v>
      </c>
    </row>
    <row r="270" customFormat="false" ht="15" hidden="false" customHeight="false" outlineLevel="0" collapsed="false">
      <c r="A270" s="0" t="s">
        <v>633</v>
      </c>
      <c r="B270" s="0" t="s">
        <v>842</v>
      </c>
      <c r="C270" s="0" t="s">
        <v>54</v>
      </c>
      <c r="D270" s="0" t="s">
        <v>835</v>
      </c>
      <c r="E270" s="0" t="s">
        <v>843</v>
      </c>
      <c r="F270" s="0" t="n">
        <f aca="false">HYPERLINK("http://clipc-services.ceda.ac.uk/dreq/u/f0260f7e851aaf39ac2349b365db89b5.html","web")</f>
        <v>0</v>
      </c>
      <c r="G270" s="0" t="s">
        <v>57</v>
      </c>
      <c r="H270" s="0" t="s">
        <v>58</v>
      </c>
      <c r="I270" s="0" t="s">
        <v>841</v>
      </c>
      <c r="J270" s="0" t="s">
        <v>844</v>
      </c>
    </row>
    <row r="271" customFormat="false" ht="15" hidden="false" customHeight="false" outlineLevel="0" collapsed="false">
      <c r="A271" s="0" t="s">
        <v>633</v>
      </c>
      <c r="B271" s="0" t="s">
        <v>845</v>
      </c>
      <c r="C271" s="0" t="s">
        <v>12</v>
      </c>
      <c r="D271" s="0" t="s">
        <v>835</v>
      </c>
      <c r="E271" s="0" t="s">
        <v>846</v>
      </c>
      <c r="F271" s="0" t="n">
        <f aca="false">HYPERLINK("http://clipc-services.ceda.ac.uk/dreq/u/6308b546e0eb4e1962d36ba5b98904ee.html","web")</f>
        <v>0</v>
      </c>
      <c r="G271" s="0" t="s">
        <v>57</v>
      </c>
      <c r="H271" s="0" t="s">
        <v>58</v>
      </c>
      <c r="I271" s="0" t="s">
        <v>847</v>
      </c>
      <c r="J271" s="0" t="s">
        <v>838</v>
      </c>
    </row>
    <row r="272" customFormat="false" ht="15" hidden="false" customHeight="false" outlineLevel="0" collapsed="false">
      <c r="A272" s="0" t="s">
        <v>633</v>
      </c>
      <c r="B272" s="0" t="s">
        <v>848</v>
      </c>
      <c r="C272" s="0" t="s">
        <v>80</v>
      </c>
      <c r="D272" s="0" t="s">
        <v>55</v>
      </c>
      <c r="E272" s="0" t="s">
        <v>849</v>
      </c>
      <c r="F272" s="0" t="n">
        <f aca="false">HYPERLINK("http://clipc-services.ceda.ac.uk/dreq/u/5fc649c5cc7f4737f3a81d1c6b151b26.html","web")</f>
        <v>0</v>
      </c>
      <c r="G272" s="0" t="s">
        <v>57</v>
      </c>
      <c r="H272" s="0" t="s">
        <v>58</v>
      </c>
      <c r="I272" s="0" t="s">
        <v>850</v>
      </c>
      <c r="J272" s="0" t="s">
        <v>681</v>
      </c>
    </row>
    <row r="273" customFormat="false" ht="15" hidden="false" customHeight="false" outlineLevel="0" collapsed="false">
      <c r="A273" s="0" t="s">
        <v>633</v>
      </c>
      <c r="B273" s="0" t="s">
        <v>851</v>
      </c>
      <c r="C273" s="0" t="s">
        <v>12</v>
      </c>
      <c r="D273" s="0" t="s">
        <v>852</v>
      </c>
      <c r="E273" s="0" t="s">
        <v>853</v>
      </c>
      <c r="F273" s="0" t="n">
        <f aca="false">HYPERLINK("http://clipc-services.ceda.ac.uk/dreq/u/88d79ec028b6e797cd2db6f00f9b6910.html","web")</f>
        <v>0</v>
      </c>
      <c r="G273" s="0" t="s">
        <v>57</v>
      </c>
      <c r="H273" s="0" t="s">
        <v>58</v>
      </c>
      <c r="I273" s="0" t="s">
        <v>854</v>
      </c>
      <c r="J273" s="0" t="s">
        <v>816</v>
      </c>
    </row>
    <row r="274" customFormat="false" ht="15" hidden="false" customHeight="false" outlineLevel="0" collapsed="false">
      <c r="A274" s="0" t="s">
        <v>633</v>
      </c>
      <c r="B274" s="0" t="s">
        <v>855</v>
      </c>
      <c r="C274" s="0" t="s">
        <v>54</v>
      </c>
      <c r="D274" s="0" t="s">
        <v>852</v>
      </c>
      <c r="E274" s="0" t="s">
        <v>856</v>
      </c>
      <c r="F274" s="0" t="n">
        <f aca="false">HYPERLINK("http://clipc-services.ceda.ac.uk/dreq/u/011e37046b327b256ca0e6b5f8722699.html","web")</f>
        <v>0</v>
      </c>
      <c r="G274" s="0" t="s">
        <v>57</v>
      </c>
      <c r="H274" s="0" t="s">
        <v>58</v>
      </c>
      <c r="I274" s="0" t="s">
        <v>857</v>
      </c>
      <c r="J274" s="0" t="s">
        <v>858</v>
      </c>
    </row>
    <row r="275" customFormat="false" ht="15" hidden="false" customHeight="false" outlineLevel="0" collapsed="false">
      <c r="A275" s="0" t="s">
        <v>633</v>
      </c>
      <c r="B275" s="0" t="s">
        <v>859</v>
      </c>
      <c r="C275" s="0" t="s">
        <v>54</v>
      </c>
      <c r="D275" s="0" t="s">
        <v>852</v>
      </c>
      <c r="E275" s="0" t="s">
        <v>860</v>
      </c>
      <c r="F275" s="0" t="n">
        <f aca="false">HYPERLINK("http://clipc-services.ceda.ac.uk/dreq/u/abe5993d07b8b52e770ed957b060f9ed.html","web")</f>
        <v>0</v>
      </c>
      <c r="G275" s="0" t="s">
        <v>57</v>
      </c>
      <c r="H275" s="0" t="s">
        <v>58</v>
      </c>
      <c r="I275" s="0" t="s">
        <v>861</v>
      </c>
      <c r="J275" s="0" t="s">
        <v>643</v>
      </c>
    </row>
    <row r="276" customFormat="false" ht="15" hidden="false" customHeight="false" outlineLevel="0" collapsed="false">
      <c r="A276" s="0" t="s">
        <v>633</v>
      </c>
      <c r="B276" s="0" t="s">
        <v>195</v>
      </c>
      <c r="C276" s="0" t="s">
        <v>12</v>
      </c>
      <c r="D276" s="0" t="s">
        <v>852</v>
      </c>
      <c r="E276" s="0" t="s">
        <v>196</v>
      </c>
      <c r="F276" s="0" t="n">
        <f aca="false">HYPERLINK("http://clipc-services.ceda.ac.uk/dreq/u/f64c4ac230024801b1f140d806a00972.html","web")</f>
        <v>0</v>
      </c>
      <c r="G276" s="0" t="s">
        <v>57</v>
      </c>
      <c r="H276" s="0" t="s">
        <v>58</v>
      </c>
      <c r="I276" s="0" t="s">
        <v>197</v>
      </c>
      <c r="J276" s="0" t="s">
        <v>862</v>
      </c>
    </row>
    <row r="277" customFormat="false" ht="15" hidden="false" customHeight="false" outlineLevel="0" collapsed="false">
      <c r="A277" s="0" t="s">
        <v>633</v>
      </c>
      <c r="B277" s="0" t="s">
        <v>863</v>
      </c>
      <c r="C277" s="0" t="s">
        <v>12</v>
      </c>
      <c r="D277" s="0" t="s">
        <v>852</v>
      </c>
      <c r="E277" s="0" t="s">
        <v>864</v>
      </c>
      <c r="F277" s="0" t="n">
        <f aca="false">HYPERLINK("http://clipc-services.ceda.ac.uk/dreq/u/02e40424bc4b63c1ae535165def98421.html","web")</f>
        <v>0</v>
      </c>
      <c r="G277" s="0" t="s">
        <v>57</v>
      </c>
      <c r="H277" s="0" t="s">
        <v>58</v>
      </c>
      <c r="I277" s="0" t="s">
        <v>865</v>
      </c>
      <c r="J277" s="0" t="s">
        <v>677</v>
      </c>
    </row>
    <row r="278" customFormat="false" ht="15" hidden="false" customHeight="false" outlineLevel="0" collapsed="false">
      <c r="A278" s="0" t="s">
        <v>633</v>
      </c>
      <c r="B278" s="0" t="s">
        <v>866</v>
      </c>
      <c r="C278" s="0" t="s">
        <v>54</v>
      </c>
      <c r="D278" s="0" t="s">
        <v>55</v>
      </c>
      <c r="E278" s="0" t="s">
        <v>867</v>
      </c>
      <c r="F278" s="0" t="n">
        <f aca="false">HYPERLINK("http://clipc-services.ceda.ac.uk/dreq/u/e799552047be54bf13ccbe494c73cc81.html","web")</f>
        <v>0</v>
      </c>
      <c r="G278" s="0" t="s">
        <v>57</v>
      </c>
      <c r="H278" s="0" t="s">
        <v>58</v>
      </c>
      <c r="I278" s="0" t="s">
        <v>868</v>
      </c>
      <c r="J278" s="0" t="s">
        <v>797</v>
      </c>
    </row>
    <row r="279" customFormat="false" ht="15" hidden="false" customHeight="false" outlineLevel="0" collapsed="false">
      <c r="A279" s="0" t="s">
        <v>633</v>
      </c>
      <c r="B279" s="0" t="s">
        <v>869</v>
      </c>
      <c r="C279" s="0" t="s">
        <v>54</v>
      </c>
      <c r="D279" s="0" t="s">
        <v>55</v>
      </c>
      <c r="E279" s="0" t="s">
        <v>870</v>
      </c>
      <c r="F279" s="0" t="n">
        <f aca="false">HYPERLINK("http://clipc-services.ceda.ac.uk/dreq/u/5895b847e6247f0058199d1b26772655.html","web")</f>
        <v>0</v>
      </c>
      <c r="G279" s="0" t="s">
        <v>57</v>
      </c>
      <c r="H279" s="0" t="s">
        <v>58</v>
      </c>
      <c r="I279" s="0" t="s">
        <v>871</v>
      </c>
      <c r="J279" s="0" t="s">
        <v>872</v>
      </c>
    </row>
    <row r="280" customFormat="false" ht="15" hidden="false" customHeight="false" outlineLevel="0" collapsed="false">
      <c r="A280" s="0" t="s">
        <v>633</v>
      </c>
      <c r="B280" s="0" t="s">
        <v>873</v>
      </c>
      <c r="C280" s="0" t="s">
        <v>54</v>
      </c>
      <c r="D280" s="0" t="s">
        <v>55</v>
      </c>
      <c r="E280" s="0" t="s">
        <v>874</v>
      </c>
      <c r="F280" s="0" t="n">
        <f aca="false">HYPERLINK("http://clipc-services.ceda.ac.uk/dreq/u/6c2e81334ca2f0de1813f46d64ee1924.html","web")</f>
        <v>0</v>
      </c>
      <c r="G280" s="0" t="s">
        <v>57</v>
      </c>
      <c r="H280" s="0" t="s">
        <v>58</v>
      </c>
      <c r="I280" s="0" t="s">
        <v>875</v>
      </c>
      <c r="J280" s="0" t="s">
        <v>681</v>
      </c>
    </row>
    <row r="281" customFormat="false" ht="15" hidden="false" customHeight="false" outlineLevel="0" collapsed="false">
      <c r="A281" s="0" t="s">
        <v>633</v>
      </c>
      <c r="B281" s="0" t="s">
        <v>876</v>
      </c>
      <c r="C281" s="0" t="s">
        <v>54</v>
      </c>
      <c r="D281" s="0" t="s">
        <v>852</v>
      </c>
      <c r="E281" s="0" t="s">
        <v>877</v>
      </c>
      <c r="F281" s="0" t="n">
        <f aca="false">HYPERLINK("http://clipc-services.ceda.ac.uk/dreq/u/96b53e6411f945d703ee5d081faee987.html","web")</f>
        <v>0</v>
      </c>
      <c r="G281" s="0" t="s">
        <v>57</v>
      </c>
      <c r="H281" s="0" t="s">
        <v>58</v>
      </c>
      <c r="I281" s="0" t="s">
        <v>878</v>
      </c>
      <c r="J281" s="0" t="s">
        <v>681</v>
      </c>
    </row>
    <row r="282" customFormat="false" ht="15" hidden="false" customHeight="false" outlineLevel="0" collapsed="false">
      <c r="A282" s="0" t="s">
        <v>633</v>
      </c>
      <c r="B282" s="0" t="s">
        <v>879</v>
      </c>
      <c r="C282" s="0" t="s">
        <v>54</v>
      </c>
      <c r="D282" s="0" t="s">
        <v>852</v>
      </c>
      <c r="E282" s="0" t="s">
        <v>880</v>
      </c>
      <c r="F282" s="0" t="n">
        <f aca="false">HYPERLINK("http://clipc-services.ceda.ac.uk/dreq/u/b385b4f43e7385eb7bfe4e2175bb086d.html","web")</f>
        <v>0</v>
      </c>
      <c r="G282" s="0" t="s">
        <v>57</v>
      </c>
      <c r="H282" s="0" t="s">
        <v>58</v>
      </c>
      <c r="I282" s="0" t="s">
        <v>881</v>
      </c>
      <c r="J282" s="0" t="s">
        <v>681</v>
      </c>
    </row>
    <row r="283" customFormat="false" ht="15" hidden="false" customHeight="false" outlineLevel="0" collapsed="false">
      <c r="A283" s="0" t="s">
        <v>633</v>
      </c>
      <c r="B283" s="0" t="s">
        <v>882</v>
      </c>
      <c r="C283" s="0" t="s">
        <v>54</v>
      </c>
      <c r="D283" s="0" t="s">
        <v>55</v>
      </c>
      <c r="E283" s="0" t="s">
        <v>883</v>
      </c>
      <c r="F283" s="0" t="n">
        <f aca="false">HYPERLINK("http://clipc-services.ceda.ac.uk/dreq/u/01f509c26cfbd2f30789d91b026e0016.html","web")</f>
        <v>0</v>
      </c>
      <c r="G283" s="0" t="s">
        <v>57</v>
      </c>
      <c r="H283" s="0" t="s">
        <v>58</v>
      </c>
      <c r="I283" s="0" t="s">
        <v>884</v>
      </c>
      <c r="J283" s="0" t="s">
        <v>733</v>
      </c>
    </row>
    <row r="284" customFormat="false" ht="15" hidden="false" customHeight="false" outlineLevel="0" collapsed="false">
      <c r="A284" s="0" t="s">
        <v>633</v>
      </c>
      <c r="B284" s="0" t="s">
        <v>885</v>
      </c>
      <c r="C284" s="0" t="s">
        <v>54</v>
      </c>
      <c r="D284" s="0" t="s">
        <v>55</v>
      </c>
      <c r="E284" s="0" t="s">
        <v>886</v>
      </c>
      <c r="F284" s="0" t="n">
        <f aca="false">HYPERLINK("http://clipc-services.ceda.ac.uk/dreq/u/d254e68c03491d17660ec44e7565f9e2.html","web")</f>
        <v>0</v>
      </c>
      <c r="G284" s="0" t="s">
        <v>57</v>
      </c>
      <c r="H284" s="0" t="s">
        <v>58</v>
      </c>
      <c r="I284" s="0" t="s">
        <v>887</v>
      </c>
      <c r="J284" s="0" t="s">
        <v>681</v>
      </c>
    </row>
    <row r="285" customFormat="false" ht="15" hidden="false" customHeight="false" outlineLevel="0" collapsed="false">
      <c r="A285" s="0" t="s">
        <v>633</v>
      </c>
      <c r="B285" s="0" t="s">
        <v>888</v>
      </c>
      <c r="C285" s="0" t="s">
        <v>80</v>
      </c>
      <c r="D285" s="0" t="s">
        <v>852</v>
      </c>
      <c r="E285" s="0" t="s">
        <v>889</v>
      </c>
      <c r="F285" s="0" t="n">
        <f aca="false">HYPERLINK("http://clipc-services.ceda.ac.uk/dreq/u/13654e951d583dc7d02b5c23485e6eb5.html","web")</f>
        <v>0</v>
      </c>
      <c r="G285" s="0" t="s">
        <v>57</v>
      </c>
      <c r="H285" s="0" t="s">
        <v>58</v>
      </c>
      <c r="I285" s="0" t="s">
        <v>890</v>
      </c>
      <c r="J285" s="0" t="s">
        <v>891</v>
      </c>
    </row>
    <row r="286" customFormat="false" ht="15" hidden="false" customHeight="false" outlineLevel="0" collapsed="false">
      <c r="A286" s="0" t="s">
        <v>633</v>
      </c>
      <c r="B286" s="0" t="s">
        <v>892</v>
      </c>
      <c r="C286" s="0" t="s">
        <v>80</v>
      </c>
      <c r="D286" s="0" t="s">
        <v>852</v>
      </c>
      <c r="E286" s="0" t="s">
        <v>893</v>
      </c>
      <c r="F286" s="0" t="n">
        <f aca="false">HYPERLINK("http://clipc-services.ceda.ac.uk/dreq/u/b4ae9d56d038ff977f0db7f578841c5a.html","web")</f>
        <v>0</v>
      </c>
      <c r="G286" s="0" t="s">
        <v>57</v>
      </c>
      <c r="H286" s="0" t="s">
        <v>58</v>
      </c>
      <c r="I286" s="0" t="s">
        <v>894</v>
      </c>
      <c r="J286" s="0" t="s">
        <v>793</v>
      </c>
    </row>
    <row r="287" customFormat="false" ht="15" hidden="false" customHeight="false" outlineLevel="0" collapsed="false">
      <c r="A287" s="0" t="s">
        <v>633</v>
      </c>
      <c r="B287" s="0" t="s">
        <v>91</v>
      </c>
      <c r="C287" s="0" t="s">
        <v>80</v>
      </c>
      <c r="D287" s="0" t="s">
        <v>852</v>
      </c>
      <c r="E287" s="0" t="s">
        <v>92</v>
      </c>
      <c r="F287" s="0" t="n">
        <f aca="false">HYPERLINK("http://clipc-services.ceda.ac.uk/dreq/u/54eb2f6651441ff52f9aea4d43a83024.html","web")</f>
        <v>0</v>
      </c>
      <c r="G287" s="0" t="s">
        <v>57</v>
      </c>
      <c r="H287" s="0" t="s">
        <v>58</v>
      </c>
      <c r="I287" s="0" t="s">
        <v>93</v>
      </c>
      <c r="J287" s="0" t="s">
        <v>895</v>
      </c>
    </row>
    <row r="288" customFormat="false" ht="15" hidden="false" customHeight="false" outlineLevel="0" collapsed="false">
      <c r="A288" s="0" t="s">
        <v>633</v>
      </c>
      <c r="B288" s="0" t="s">
        <v>896</v>
      </c>
      <c r="C288" s="0" t="s">
        <v>80</v>
      </c>
      <c r="D288" s="0" t="s">
        <v>852</v>
      </c>
      <c r="E288" s="0" t="s">
        <v>897</v>
      </c>
      <c r="F288" s="0" t="n">
        <f aca="false">HYPERLINK("http://clipc-services.ceda.ac.uk/dreq/u/be62c57dff12142bf51fc73c70cfb050.html","web")</f>
        <v>0</v>
      </c>
      <c r="G288" s="0" t="s">
        <v>57</v>
      </c>
      <c r="H288" s="0" t="s">
        <v>58</v>
      </c>
      <c r="I288" s="0" t="s">
        <v>898</v>
      </c>
      <c r="J288" s="0" t="s">
        <v>895</v>
      </c>
    </row>
    <row r="289" customFormat="false" ht="15" hidden="false" customHeight="false" outlineLevel="0" collapsed="false">
      <c r="A289" s="0" t="s">
        <v>633</v>
      </c>
      <c r="B289" s="0" t="s">
        <v>899</v>
      </c>
      <c r="C289" s="0" t="s">
        <v>80</v>
      </c>
      <c r="D289" s="0" t="s">
        <v>852</v>
      </c>
      <c r="E289" s="0" t="s">
        <v>900</v>
      </c>
      <c r="F289" s="0" t="n">
        <f aca="false">HYPERLINK("http://clipc-services.ceda.ac.uk/dreq/u/b0a9616ddee15d1f3740ce445bd82fb1.html","web")</f>
        <v>0</v>
      </c>
      <c r="G289" s="0" t="s">
        <v>57</v>
      </c>
      <c r="H289" s="0" t="s">
        <v>58</v>
      </c>
      <c r="I289" s="0" t="s">
        <v>901</v>
      </c>
      <c r="J289" s="0" t="s">
        <v>643</v>
      </c>
    </row>
    <row r="290" customFormat="false" ht="15" hidden="false" customHeight="false" outlineLevel="0" collapsed="false">
      <c r="A290" s="0" t="s">
        <v>633</v>
      </c>
      <c r="B290" s="0" t="s">
        <v>902</v>
      </c>
      <c r="C290" s="0" t="s">
        <v>80</v>
      </c>
      <c r="D290" s="0" t="s">
        <v>852</v>
      </c>
      <c r="E290" s="0" t="s">
        <v>903</v>
      </c>
      <c r="F290" s="0" t="n">
        <f aca="false">HYPERLINK("http://clipc-services.ceda.ac.uk/dreq/u/c85ac4ad4664c34898cdb9af2418c45a.html","web")</f>
        <v>0</v>
      </c>
      <c r="G290" s="0" t="s">
        <v>57</v>
      </c>
      <c r="H290" s="0" t="s">
        <v>58</v>
      </c>
      <c r="I290" s="0" t="s">
        <v>904</v>
      </c>
      <c r="J290" s="0" t="s">
        <v>643</v>
      </c>
    </row>
    <row r="291" customFormat="false" ht="15" hidden="false" customHeight="false" outlineLevel="0" collapsed="false">
      <c r="A291" s="0" t="s">
        <v>633</v>
      </c>
      <c r="B291" s="0" t="s">
        <v>905</v>
      </c>
      <c r="C291" s="0" t="s">
        <v>80</v>
      </c>
      <c r="D291" s="0" t="s">
        <v>852</v>
      </c>
      <c r="E291" s="0" t="s">
        <v>906</v>
      </c>
      <c r="F291" s="0" t="n">
        <f aca="false">HYPERLINK("http://clipc-services.ceda.ac.uk/dreq/u/5880ab9386066d5d620774a46840cc25.html","web")</f>
        <v>0</v>
      </c>
      <c r="G291" s="0" t="s">
        <v>57</v>
      </c>
      <c r="H291" s="0" t="s">
        <v>58</v>
      </c>
      <c r="I291" s="0" t="s">
        <v>907</v>
      </c>
      <c r="J291" s="0" t="s">
        <v>643</v>
      </c>
    </row>
    <row r="292" customFormat="false" ht="15" hidden="false" customHeight="false" outlineLevel="0" collapsed="false">
      <c r="A292" s="0" t="s">
        <v>633</v>
      </c>
      <c r="B292" s="0" t="s">
        <v>908</v>
      </c>
      <c r="C292" s="0" t="s">
        <v>80</v>
      </c>
      <c r="D292" s="0" t="s">
        <v>852</v>
      </c>
      <c r="E292" s="0" t="s">
        <v>909</v>
      </c>
      <c r="F292" s="0" t="n">
        <f aca="false">HYPERLINK("http://clipc-services.ceda.ac.uk/dreq/u/9a7cb6c8481412d525ba1101f82b892d.html","web")</f>
        <v>0</v>
      </c>
      <c r="G292" s="0" t="s">
        <v>57</v>
      </c>
      <c r="H292" s="0" t="s">
        <v>58</v>
      </c>
      <c r="I292" s="0" t="s">
        <v>910</v>
      </c>
      <c r="J292" s="0" t="s">
        <v>643</v>
      </c>
    </row>
    <row r="293" customFormat="false" ht="15" hidden="false" customHeight="false" outlineLevel="0" collapsed="false">
      <c r="A293" s="0" t="s">
        <v>633</v>
      </c>
      <c r="B293" s="0" t="s">
        <v>911</v>
      </c>
      <c r="C293" s="0" t="s">
        <v>80</v>
      </c>
      <c r="D293" s="0" t="s">
        <v>852</v>
      </c>
      <c r="E293" s="0" t="s">
        <v>912</v>
      </c>
      <c r="F293" s="0" t="n">
        <f aca="false">HYPERLINK("http://clipc-services.ceda.ac.uk/dreq/u/e9dc036ef43db84bc4651ce95b0fed94.html","web")</f>
        <v>0</v>
      </c>
      <c r="G293" s="0" t="s">
        <v>57</v>
      </c>
      <c r="H293" s="0" t="s">
        <v>58</v>
      </c>
      <c r="I293" s="0" t="s">
        <v>913</v>
      </c>
      <c r="J293" s="0" t="s">
        <v>643</v>
      </c>
    </row>
    <row r="294" customFormat="false" ht="15" hidden="false" customHeight="false" outlineLevel="0" collapsed="false">
      <c r="A294" s="0" t="s">
        <v>633</v>
      </c>
      <c r="B294" s="0" t="s">
        <v>914</v>
      </c>
      <c r="C294" s="0" t="s">
        <v>80</v>
      </c>
      <c r="D294" s="0" t="s">
        <v>852</v>
      </c>
      <c r="E294" s="0" t="s">
        <v>915</v>
      </c>
      <c r="F294" s="0" t="n">
        <f aca="false">HYPERLINK("http://clipc-services.ceda.ac.uk/dreq/u/30a7a10d4c71066f19eae9a89ddfafba.html","web")</f>
        <v>0</v>
      </c>
      <c r="G294" s="0" t="s">
        <v>57</v>
      </c>
      <c r="H294" s="0" t="s">
        <v>58</v>
      </c>
      <c r="I294" s="0" t="s">
        <v>916</v>
      </c>
      <c r="J294" s="0" t="s">
        <v>643</v>
      </c>
    </row>
    <row r="295" customFormat="false" ht="15" hidden="false" customHeight="false" outlineLevel="0" collapsed="false">
      <c r="A295" s="0" t="s">
        <v>633</v>
      </c>
      <c r="B295" s="0" t="s">
        <v>917</v>
      </c>
      <c r="C295" s="0" t="s">
        <v>80</v>
      </c>
      <c r="D295" s="0" t="s">
        <v>852</v>
      </c>
      <c r="E295" s="0" t="s">
        <v>918</v>
      </c>
      <c r="F295" s="0" t="n">
        <f aca="false">HYPERLINK("http://clipc-services.ceda.ac.uk/dreq/u/d90bac355dae4e53a6d0e5df81a090ad.html","web")</f>
        <v>0</v>
      </c>
      <c r="G295" s="0" t="s">
        <v>57</v>
      </c>
      <c r="H295" s="0" t="s">
        <v>58</v>
      </c>
      <c r="I295" s="0" t="s">
        <v>919</v>
      </c>
      <c r="J295" s="0" t="s">
        <v>891</v>
      </c>
    </row>
    <row r="296" customFormat="false" ht="15" hidden="false" customHeight="false" outlineLevel="0" collapsed="false">
      <c r="A296" s="0" t="s">
        <v>633</v>
      </c>
      <c r="B296" s="0" t="s">
        <v>920</v>
      </c>
      <c r="C296" s="0" t="s">
        <v>80</v>
      </c>
      <c r="D296" s="0" t="s">
        <v>852</v>
      </c>
      <c r="E296" s="0" t="s">
        <v>921</v>
      </c>
      <c r="F296" s="0" t="n">
        <f aca="false">HYPERLINK("http://clipc-services.ceda.ac.uk/dreq/u/b50af258aff9f9ca19fdf1ec4b039a55.html","web")</f>
        <v>0</v>
      </c>
      <c r="G296" s="0" t="s">
        <v>57</v>
      </c>
      <c r="H296" s="0" t="s">
        <v>58</v>
      </c>
      <c r="I296" s="0" t="s">
        <v>922</v>
      </c>
      <c r="J296" s="0" t="s">
        <v>923</v>
      </c>
    </row>
    <row r="297" customFormat="false" ht="15" hidden="false" customHeight="false" outlineLevel="0" collapsed="false">
      <c r="A297" s="0" t="s">
        <v>633</v>
      </c>
      <c r="B297" s="0" t="s">
        <v>135</v>
      </c>
      <c r="C297" s="0" t="s">
        <v>80</v>
      </c>
      <c r="D297" s="0" t="s">
        <v>852</v>
      </c>
      <c r="E297" s="0" t="s">
        <v>136</v>
      </c>
      <c r="F297" s="0" t="n">
        <f aca="false">HYPERLINK("http://clipc-services.ceda.ac.uk/dreq/u/c2705ac5fb7561a3aa5744c1163bf2d7.html","web")</f>
        <v>0</v>
      </c>
      <c r="G297" s="0" t="s">
        <v>57</v>
      </c>
      <c r="H297" s="0" t="s">
        <v>58</v>
      </c>
      <c r="I297" s="0" t="s">
        <v>137</v>
      </c>
      <c r="J297" s="0" t="s">
        <v>924</v>
      </c>
    </row>
    <row r="298" customFormat="false" ht="15" hidden="false" customHeight="false" outlineLevel="0" collapsed="false">
      <c r="A298" s="0" t="s">
        <v>633</v>
      </c>
      <c r="B298" s="0" t="s">
        <v>138</v>
      </c>
      <c r="C298" s="0" t="s">
        <v>80</v>
      </c>
      <c r="D298" s="0" t="s">
        <v>852</v>
      </c>
      <c r="E298" s="0" t="s">
        <v>139</v>
      </c>
      <c r="F298" s="0" t="n">
        <f aca="false">HYPERLINK("http://clipc-services.ceda.ac.uk/dreq/u/96acc3ed79b2bd5e4dbd613a4c27720f.html","web")</f>
        <v>0</v>
      </c>
      <c r="G298" s="0" t="s">
        <v>57</v>
      </c>
      <c r="H298" s="0" t="s">
        <v>58</v>
      </c>
      <c r="I298" s="0" t="s">
        <v>140</v>
      </c>
      <c r="J298" s="0" t="s">
        <v>891</v>
      </c>
    </row>
    <row r="299" customFormat="false" ht="15" hidden="false" customHeight="false" outlineLevel="0" collapsed="false">
      <c r="A299" s="0" t="s">
        <v>633</v>
      </c>
      <c r="B299" s="0" t="s">
        <v>925</v>
      </c>
      <c r="C299" s="0" t="s">
        <v>80</v>
      </c>
      <c r="D299" s="0" t="s">
        <v>852</v>
      </c>
      <c r="E299" s="0" t="s">
        <v>926</v>
      </c>
      <c r="F299" s="0" t="n">
        <f aca="false">HYPERLINK("http://clipc-services.ceda.ac.uk/dreq/u/5a887812bc95f4c8377af5051a2566fe.html","web")</f>
        <v>0</v>
      </c>
      <c r="G299" s="0" t="s">
        <v>57</v>
      </c>
      <c r="H299" s="0" t="s">
        <v>58</v>
      </c>
      <c r="I299" s="0" t="s">
        <v>140</v>
      </c>
      <c r="J299" s="0" t="s">
        <v>793</v>
      </c>
    </row>
    <row r="300" customFormat="false" ht="15" hidden="false" customHeight="false" outlineLevel="0" collapsed="false">
      <c r="A300" s="0" t="s">
        <v>633</v>
      </c>
      <c r="B300" s="0" t="s">
        <v>927</v>
      </c>
      <c r="C300" s="0" t="s">
        <v>80</v>
      </c>
      <c r="D300" s="0" t="s">
        <v>852</v>
      </c>
      <c r="E300" s="0" t="s">
        <v>928</v>
      </c>
      <c r="F300" s="0" t="n">
        <f aca="false">HYPERLINK("http://clipc-services.ceda.ac.uk/dreq/u/72366111fcb3d2a0d14dc917e8fca8eb.html","web")</f>
        <v>0</v>
      </c>
      <c r="G300" s="0" t="s">
        <v>57</v>
      </c>
      <c r="H300" s="0" t="s">
        <v>58</v>
      </c>
      <c r="I300" s="0" t="s">
        <v>929</v>
      </c>
      <c r="J300" s="0" t="s">
        <v>891</v>
      </c>
    </row>
    <row r="301" customFormat="false" ht="15" hidden="false" customHeight="false" outlineLevel="0" collapsed="false">
      <c r="A301" s="0" t="s">
        <v>633</v>
      </c>
      <c r="B301" s="0" t="s">
        <v>141</v>
      </c>
      <c r="C301" s="0" t="s">
        <v>80</v>
      </c>
      <c r="D301" s="0" t="s">
        <v>852</v>
      </c>
      <c r="E301" s="0" t="s">
        <v>142</v>
      </c>
      <c r="F301" s="0" t="n">
        <f aca="false">HYPERLINK("http://clipc-services.ceda.ac.uk/dreq/u/5250c73892803497448e18ba0310c423.html","web")</f>
        <v>0</v>
      </c>
      <c r="G301" s="0" t="s">
        <v>57</v>
      </c>
      <c r="H301" s="0" t="s">
        <v>58</v>
      </c>
      <c r="I301" s="0" t="s">
        <v>143</v>
      </c>
      <c r="J301" s="0" t="s">
        <v>891</v>
      </c>
    </row>
    <row r="302" customFormat="false" ht="15" hidden="false" customHeight="false" outlineLevel="0" collapsed="false">
      <c r="A302" s="0" t="s">
        <v>633</v>
      </c>
      <c r="B302" s="0" t="s">
        <v>144</v>
      </c>
      <c r="C302" s="0" t="s">
        <v>80</v>
      </c>
      <c r="D302" s="0" t="s">
        <v>852</v>
      </c>
      <c r="E302" s="0" t="s">
        <v>145</v>
      </c>
      <c r="F302" s="0" t="n">
        <f aca="false">HYPERLINK("http://clipc-services.ceda.ac.uk/dreq/u/56a5fa6dd6b7c4aa711f362d5d5414f6.html","web")</f>
        <v>0</v>
      </c>
      <c r="G302" s="0" t="s">
        <v>57</v>
      </c>
      <c r="H302" s="0" t="s">
        <v>58</v>
      </c>
      <c r="I302" s="0" t="s">
        <v>146</v>
      </c>
      <c r="J302" s="0" t="s">
        <v>891</v>
      </c>
    </row>
    <row r="303" customFormat="false" ht="15" hidden="false" customHeight="false" outlineLevel="0" collapsed="false">
      <c r="A303" s="0" t="s">
        <v>633</v>
      </c>
      <c r="B303" s="0" t="s">
        <v>147</v>
      </c>
      <c r="C303" s="0" t="s">
        <v>80</v>
      </c>
      <c r="D303" s="0" t="s">
        <v>852</v>
      </c>
      <c r="E303" s="0" t="s">
        <v>148</v>
      </c>
      <c r="F303" s="0" t="n">
        <f aca="false">HYPERLINK("http://clipc-services.ceda.ac.uk/dreq/u/ab60603d901dfa1c47f4d2fd7784f8ea.html","web")</f>
        <v>0</v>
      </c>
      <c r="G303" s="0" t="s">
        <v>57</v>
      </c>
      <c r="H303" s="0" t="s">
        <v>58</v>
      </c>
      <c r="I303" s="0" t="s">
        <v>149</v>
      </c>
      <c r="J303" s="0" t="s">
        <v>891</v>
      </c>
    </row>
    <row r="304" customFormat="false" ht="15" hidden="false" customHeight="false" outlineLevel="0" collapsed="false">
      <c r="A304" s="0" t="s">
        <v>633</v>
      </c>
      <c r="B304" s="0" t="s">
        <v>150</v>
      </c>
      <c r="C304" s="0" t="s">
        <v>80</v>
      </c>
      <c r="D304" s="0" t="s">
        <v>852</v>
      </c>
      <c r="E304" s="0" t="s">
        <v>151</v>
      </c>
      <c r="F304" s="0" t="n">
        <f aca="false">HYPERLINK("http://clipc-services.ceda.ac.uk/dreq/u/c947141b54f1ab48dba4a84cec99c5d3.html","web")</f>
        <v>0</v>
      </c>
      <c r="G304" s="0" t="s">
        <v>57</v>
      </c>
      <c r="H304" s="0" t="s">
        <v>58</v>
      </c>
      <c r="I304" s="0" t="s">
        <v>152</v>
      </c>
      <c r="J304" s="0" t="s">
        <v>643</v>
      </c>
    </row>
    <row r="305" customFormat="false" ht="15" hidden="false" customHeight="false" outlineLevel="0" collapsed="false">
      <c r="A305" s="0" t="s">
        <v>633</v>
      </c>
      <c r="B305" s="0" t="s">
        <v>154</v>
      </c>
      <c r="C305" s="0" t="s">
        <v>80</v>
      </c>
      <c r="D305" s="0" t="s">
        <v>852</v>
      </c>
      <c r="E305" s="0" t="s">
        <v>155</v>
      </c>
      <c r="F305" s="0" t="n">
        <f aca="false">HYPERLINK("http://clipc-services.ceda.ac.uk/dreq/u/98fab6148c36b25a158062a11c0c5965.html","web")</f>
        <v>0</v>
      </c>
      <c r="G305" s="0" t="s">
        <v>57</v>
      </c>
      <c r="H305" s="0" t="s">
        <v>58</v>
      </c>
      <c r="I305" s="0" t="s">
        <v>156</v>
      </c>
      <c r="J305" s="0" t="s">
        <v>643</v>
      </c>
    </row>
    <row r="306" customFormat="false" ht="15" hidden="false" customHeight="false" outlineLevel="0" collapsed="false">
      <c r="A306" s="0" t="s">
        <v>633</v>
      </c>
      <c r="B306" s="0" t="s">
        <v>157</v>
      </c>
      <c r="C306" s="0" t="s">
        <v>80</v>
      </c>
      <c r="D306" s="0" t="s">
        <v>852</v>
      </c>
      <c r="E306" s="0" t="s">
        <v>158</v>
      </c>
      <c r="F306" s="0" t="n">
        <f aca="false">HYPERLINK("http://clipc-services.ceda.ac.uk/dreq/u/f108633dc7e1585498ceccc06bdfd263.html","web")</f>
        <v>0</v>
      </c>
      <c r="G306" s="0" t="s">
        <v>57</v>
      </c>
      <c r="H306" s="0" t="s">
        <v>58</v>
      </c>
      <c r="I306" s="0" t="s">
        <v>159</v>
      </c>
      <c r="J306" s="0" t="s">
        <v>643</v>
      </c>
    </row>
    <row r="307" customFormat="false" ht="15" hidden="false" customHeight="false" outlineLevel="0" collapsed="false">
      <c r="A307" s="0" t="s">
        <v>633</v>
      </c>
      <c r="B307" s="0" t="s">
        <v>160</v>
      </c>
      <c r="C307" s="0" t="s">
        <v>80</v>
      </c>
      <c r="D307" s="0" t="s">
        <v>852</v>
      </c>
      <c r="E307" s="0" t="s">
        <v>161</v>
      </c>
      <c r="F307" s="0" t="n">
        <f aca="false">HYPERLINK("http://clipc-services.ceda.ac.uk/dreq/u/dcd2298237af35be0ed71c92ee9e7e79.html","web")</f>
        <v>0</v>
      </c>
      <c r="G307" s="0" t="s">
        <v>57</v>
      </c>
      <c r="H307" s="0" t="s">
        <v>58</v>
      </c>
      <c r="I307" s="0" t="s">
        <v>162</v>
      </c>
      <c r="J307" s="0" t="s">
        <v>643</v>
      </c>
    </row>
    <row r="308" customFormat="false" ht="15" hidden="false" customHeight="false" outlineLevel="0" collapsed="false">
      <c r="A308" s="0" t="s">
        <v>633</v>
      </c>
      <c r="B308" s="0" t="s">
        <v>163</v>
      </c>
      <c r="C308" s="0" t="s">
        <v>80</v>
      </c>
      <c r="D308" s="0" t="s">
        <v>852</v>
      </c>
      <c r="E308" s="0" t="s">
        <v>164</v>
      </c>
      <c r="F308" s="0" t="n">
        <f aca="false">HYPERLINK("http://clipc-services.ceda.ac.uk/dreq/u/87f531b94bd9ca68e33e89d7e3e81be4.html","web")</f>
        <v>0</v>
      </c>
      <c r="G308" s="0" t="s">
        <v>57</v>
      </c>
      <c r="H308" s="0" t="s">
        <v>58</v>
      </c>
      <c r="I308" s="0" t="s">
        <v>165</v>
      </c>
      <c r="J308" s="0" t="s">
        <v>643</v>
      </c>
    </row>
    <row r="309" customFormat="false" ht="15" hidden="false" customHeight="false" outlineLevel="0" collapsed="false">
      <c r="A309" s="0" t="s">
        <v>633</v>
      </c>
      <c r="B309" s="0" t="s">
        <v>166</v>
      </c>
      <c r="C309" s="0" t="s">
        <v>80</v>
      </c>
      <c r="D309" s="0" t="s">
        <v>852</v>
      </c>
      <c r="E309" s="0" t="s">
        <v>167</v>
      </c>
      <c r="F309" s="0" t="n">
        <f aca="false">HYPERLINK("http://clipc-services.ceda.ac.uk/dreq/u/6cde3055df67931d84608fc5b7694f65.html","web")</f>
        <v>0</v>
      </c>
      <c r="G309" s="0" t="s">
        <v>57</v>
      </c>
      <c r="H309" s="0" t="s">
        <v>58</v>
      </c>
      <c r="I309" s="0" t="s">
        <v>168</v>
      </c>
      <c r="J309" s="0" t="s">
        <v>643</v>
      </c>
    </row>
    <row r="310" customFormat="false" ht="15" hidden="false" customHeight="false" outlineLevel="0" collapsed="false">
      <c r="A310" s="0" t="s">
        <v>633</v>
      </c>
      <c r="B310" s="0" t="s">
        <v>930</v>
      </c>
      <c r="C310" s="0" t="s">
        <v>80</v>
      </c>
      <c r="D310" s="0" t="s">
        <v>852</v>
      </c>
      <c r="E310" s="0" t="s">
        <v>931</v>
      </c>
      <c r="F310" s="0" t="n">
        <f aca="false">HYPERLINK("http://clipc-services.ceda.ac.uk/dreq/u/9791ce56083fe450761a27a7dc158225.html","web")</f>
        <v>0</v>
      </c>
      <c r="G310" s="0" t="s">
        <v>57</v>
      </c>
      <c r="H310" s="0" t="s">
        <v>58</v>
      </c>
      <c r="I310" s="0" t="s">
        <v>932</v>
      </c>
      <c r="J310" s="0" t="s">
        <v>643</v>
      </c>
    </row>
    <row r="311" customFormat="false" ht="15" hidden="false" customHeight="false" outlineLevel="0" collapsed="false">
      <c r="A311" s="0" t="s">
        <v>633</v>
      </c>
      <c r="B311" s="0" t="s">
        <v>933</v>
      </c>
      <c r="C311" s="0" t="s">
        <v>80</v>
      </c>
      <c r="D311" s="0" t="s">
        <v>852</v>
      </c>
      <c r="E311" s="0" t="s">
        <v>934</v>
      </c>
      <c r="F311" s="0" t="n">
        <f aca="false">HYPERLINK("http://clipc-services.ceda.ac.uk/dreq/u/28907f4f1855d3d22166c87b8e5300be.html","web")</f>
        <v>0</v>
      </c>
      <c r="G311" s="0" t="s">
        <v>57</v>
      </c>
      <c r="H311" s="0" t="s">
        <v>58</v>
      </c>
      <c r="I311" s="0" t="s">
        <v>935</v>
      </c>
      <c r="J311" s="0" t="s">
        <v>643</v>
      </c>
    </row>
    <row r="312" customFormat="false" ht="15" hidden="false" customHeight="false" outlineLevel="0" collapsed="false">
      <c r="A312" s="0" t="s">
        <v>633</v>
      </c>
      <c r="B312" s="0" t="s">
        <v>169</v>
      </c>
      <c r="C312" s="0" t="s">
        <v>80</v>
      </c>
      <c r="D312" s="0" t="s">
        <v>852</v>
      </c>
      <c r="E312" s="0" t="s">
        <v>170</v>
      </c>
      <c r="F312" s="0" t="n">
        <f aca="false">HYPERLINK("http://clipc-services.ceda.ac.uk/dreq/u/41cef8aa37d1f0164ae061f293d4361c.html","web")</f>
        <v>0</v>
      </c>
      <c r="G312" s="0" t="s">
        <v>57</v>
      </c>
      <c r="H312" s="0" t="s">
        <v>58</v>
      </c>
      <c r="I312" s="0" t="s">
        <v>171</v>
      </c>
      <c r="J312" s="0" t="s">
        <v>793</v>
      </c>
    </row>
    <row r="313" customFormat="false" ht="15" hidden="false" customHeight="false" outlineLevel="0" collapsed="false"/>
    <row r="314" customFormat="false" ht="15" hidden="false" customHeight="false" outlineLevel="0" collapsed="false">
      <c r="A314" s="0" t="s">
        <v>936</v>
      </c>
      <c r="B314" s="0" t="s">
        <v>937</v>
      </c>
      <c r="C314" s="0" t="s">
        <v>12</v>
      </c>
      <c r="D314" s="0" t="s">
        <v>938</v>
      </c>
      <c r="E314" s="0" t="s">
        <v>939</v>
      </c>
      <c r="F314" s="0" t="n">
        <f aca="false">HYPERLINK("http://clipc-services.ceda.ac.uk/dreq/u/e9b495e2-5989-11e6-a4be-ac72891c3257.html","web")</f>
        <v>0</v>
      </c>
      <c r="G314" s="0" t="s">
        <v>940</v>
      </c>
      <c r="H314" s="0" t="s">
        <v>16</v>
      </c>
      <c r="I314" s="0" t="s">
        <v>941</v>
      </c>
      <c r="J314" s="0" t="s">
        <v>18</v>
      </c>
    </row>
    <row r="315" customFormat="false" ht="15" hidden="false" customHeight="false" outlineLevel="0" collapsed="false"/>
    <row r="316" customFormat="false" ht="15" hidden="false" customHeight="false" outlineLevel="0" collapsed="false">
      <c r="A316" s="0" t="s">
        <v>942</v>
      </c>
      <c r="B316" s="0" t="s">
        <v>943</v>
      </c>
      <c r="C316" s="0" t="s">
        <v>80</v>
      </c>
      <c r="D316" s="0" t="s">
        <v>402</v>
      </c>
      <c r="E316" s="0" t="s">
        <v>944</v>
      </c>
      <c r="F316" s="0" t="n">
        <f aca="false">HYPERLINK("http://clipc-services.ceda.ac.uk/dreq/u/59171588-9e49-11e5-803c-0d0b866b59f3.html","web")</f>
        <v>0</v>
      </c>
      <c r="G316" s="0" t="s">
        <v>57</v>
      </c>
      <c r="H316" s="0" t="s">
        <v>58</v>
      </c>
      <c r="I316" s="0" t="s">
        <v>945</v>
      </c>
      <c r="J316" s="0" t="s">
        <v>946</v>
      </c>
    </row>
    <row r="317" customFormat="false" ht="15" hidden="false" customHeight="false" outlineLevel="0" collapsed="false">
      <c r="A317" s="0" t="s">
        <v>942</v>
      </c>
      <c r="B317" s="0" t="s">
        <v>611</v>
      </c>
      <c r="C317" s="0" t="s">
        <v>12</v>
      </c>
      <c r="D317" s="0" t="s">
        <v>947</v>
      </c>
      <c r="E317" s="0" t="s">
        <v>612</v>
      </c>
      <c r="F317" s="0" t="n">
        <f aca="false">HYPERLINK("http://clipc-services.ceda.ac.uk/dreq/u/52f043533a691ca5721460e316c3a328.html","web")</f>
        <v>0</v>
      </c>
      <c r="G317" s="0" t="s">
        <v>613</v>
      </c>
      <c r="H317" s="0" t="s">
        <v>614</v>
      </c>
      <c r="I317" s="0" t="s">
        <v>615</v>
      </c>
      <c r="J317" s="0" t="s">
        <v>948</v>
      </c>
    </row>
    <row r="318" customFormat="false" ht="15" hidden="false" customHeight="false" outlineLevel="0" collapsed="false">
      <c r="A318" s="0" t="s">
        <v>942</v>
      </c>
      <c r="B318" s="0" t="s">
        <v>949</v>
      </c>
      <c r="C318" s="0" t="s">
        <v>12</v>
      </c>
      <c r="D318" s="0" t="s">
        <v>402</v>
      </c>
      <c r="E318" s="0" t="s">
        <v>950</v>
      </c>
      <c r="F318" s="0" t="n">
        <f aca="false">HYPERLINK("http://clipc-services.ceda.ac.uk/dreq/u/16566aed8c1a15e598240020f11b8fd4.html","web")</f>
        <v>0</v>
      </c>
      <c r="G318" s="0" t="s">
        <v>57</v>
      </c>
      <c r="H318" s="0" t="s">
        <v>58</v>
      </c>
      <c r="J318" s="0" t="s">
        <v>946</v>
      </c>
    </row>
    <row r="319" customFormat="false" ht="15" hidden="false" customHeight="false" outlineLevel="0" collapsed="false"/>
    <row r="320" customFormat="false" ht="15" hidden="false" customHeight="false" outlineLevel="0" collapsed="false">
      <c r="A320" s="0" t="s">
        <v>951</v>
      </c>
      <c r="B320" s="0" t="s">
        <v>952</v>
      </c>
      <c r="C320" s="0" t="s">
        <v>12</v>
      </c>
      <c r="D320" s="0" t="s">
        <v>55</v>
      </c>
      <c r="E320" s="0" t="s">
        <v>953</v>
      </c>
      <c r="F320" s="0" t="n">
        <f aca="false">HYPERLINK("http://clipc-services.ceda.ac.uk/dreq/u/cc1b9e3073d751143fe8ab63ca9fcc45.html","web")</f>
        <v>0</v>
      </c>
      <c r="G320" s="0" t="s">
        <v>954</v>
      </c>
      <c r="H320" s="0" t="s">
        <v>75</v>
      </c>
      <c r="I320" s="0" t="s">
        <v>955</v>
      </c>
      <c r="J320" s="0" t="s">
        <v>956</v>
      </c>
    </row>
    <row r="321" customFormat="false" ht="15" hidden="false" customHeight="false" outlineLevel="0" collapsed="false">
      <c r="A321" s="0" t="s">
        <v>951</v>
      </c>
      <c r="B321" s="0" t="s">
        <v>957</v>
      </c>
      <c r="C321" s="0" t="s">
        <v>12</v>
      </c>
      <c r="D321" s="0" t="s">
        <v>55</v>
      </c>
      <c r="E321" s="0" t="s">
        <v>958</v>
      </c>
      <c r="F321" s="0" t="n">
        <f aca="false">HYPERLINK("http://clipc-services.ceda.ac.uk/dreq/u/5e49c0b73ac161d5e5dd05173416c400.html","web")</f>
        <v>0</v>
      </c>
      <c r="G321" s="0" t="s">
        <v>959</v>
      </c>
      <c r="H321" s="0" t="s">
        <v>75</v>
      </c>
      <c r="I321" s="0" t="s">
        <v>960</v>
      </c>
      <c r="J321" s="0" t="s">
        <v>956</v>
      </c>
    </row>
    <row r="322" customFormat="false" ht="15" hidden="false" customHeight="false" outlineLevel="0" collapsed="false">
      <c r="A322" s="0" t="s">
        <v>951</v>
      </c>
      <c r="B322" s="0" t="s">
        <v>961</v>
      </c>
      <c r="C322" s="0" t="s">
        <v>12</v>
      </c>
      <c r="D322" s="0" t="s">
        <v>55</v>
      </c>
      <c r="E322" s="0" t="s">
        <v>962</v>
      </c>
      <c r="F322" s="0" t="n">
        <f aca="false">HYPERLINK("http://clipc-services.ceda.ac.uk/dreq/u/299fb9d19040c4aa3862644286261ad2.html","web")</f>
        <v>0</v>
      </c>
      <c r="G322" s="0" t="s">
        <v>963</v>
      </c>
      <c r="H322" s="0" t="s">
        <v>75</v>
      </c>
      <c r="I322" s="0" t="s">
        <v>964</v>
      </c>
      <c r="J322" s="0" t="s">
        <v>956</v>
      </c>
    </row>
    <row r="323" customFormat="false" ht="15" hidden="false" customHeight="false" outlineLevel="0" collapsed="false">
      <c r="A323" s="0" t="s">
        <v>951</v>
      </c>
      <c r="B323" s="0" t="s">
        <v>965</v>
      </c>
      <c r="C323" s="0" t="s">
        <v>12</v>
      </c>
      <c r="D323" s="0" t="s">
        <v>966</v>
      </c>
      <c r="E323" s="0" t="s">
        <v>967</v>
      </c>
      <c r="F323" s="0" t="n">
        <f aca="false">HYPERLINK("http://clipc-services.ceda.ac.uk/dreq/u/1d4594c97188efd47935238a429e02e4.html","web")</f>
        <v>0</v>
      </c>
      <c r="G323" s="0" t="s">
        <v>74</v>
      </c>
      <c r="H323" s="0" t="s">
        <v>75</v>
      </c>
      <c r="I323" s="0" t="s">
        <v>968</v>
      </c>
      <c r="J323" s="0" t="s">
        <v>969</v>
      </c>
    </row>
    <row r="324" customFormat="false" ht="15" hidden="false" customHeight="false" outlineLevel="0" collapsed="false">
      <c r="A324" s="0" t="s">
        <v>951</v>
      </c>
      <c r="B324" s="0" t="s">
        <v>970</v>
      </c>
      <c r="C324" s="0" t="s">
        <v>12</v>
      </c>
      <c r="D324" s="0" t="s">
        <v>971</v>
      </c>
      <c r="E324" s="0" t="s">
        <v>967</v>
      </c>
      <c r="F324" s="0" t="n">
        <f aca="false">HYPERLINK("http://clipc-services.ceda.ac.uk/dreq/u/1d4594c97188efd47935238a429e02e4.html","web")</f>
        <v>0</v>
      </c>
      <c r="G324" s="0" t="s">
        <v>972</v>
      </c>
      <c r="H324" s="0" t="s">
        <v>75</v>
      </c>
      <c r="I324" s="0" t="s">
        <v>968</v>
      </c>
      <c r="J324" s="0" t="s">
        <v>969</v>
      </c>
    </row>
    <row r="325" customFormat="false" ht="15" hidden="false" customHeight="false" outlineLevel="0" collapsed="false">
      <c r="A325" s="0" t="s">
        <v>951</v>
      </c>
      <c r="B325" s="0" t="s">
        <v>973</v>
      </c>
      <c r="C325" s="0" t="s">
        <v>12</v>
      </c>
      <c r="D325" s="0" t="s">
        <v>966</v>
      </c>
      <c r="E325" s="0" t="s">
        <v>974</v>
      </c>
      <c r="F325" s="0" t="n">
        <f aca="false">HYPERLINK("http://clipc-services.ceda.ac.uk/dreq/u/9bb9a503065dfbd30c9bbe5c3c6abf99.html","web")</f>
        <v>0</v>
      </c>
      <c r="G325" s="0" t="s">
        <v>74</v>
      </c>
      <c r="H325" s="0" t="s">
        <v>75</v>
      </c>
      <c r="I325" s="0" t="s">
        <v>968</v>
      </c>
      <c r="J325" s="0" t="s">
        <v>975</v>
      </c>
    </row>
    <row r="326" customFormat="false" ht="15" hidden="false" customHeight="false" outlineLevel="0" collapsed="false">
      <c r="A326" s="0" t="s">
        <v>951</v>
      </c>
      <c r="B326" s="0" t="s">
        <v>976</v>
      </c>
      <c r="C326" s="0" t="s">
        <v>12</v>
      </c>
      <c r="D326" s="0" t="s">
        <v>971</v>
      </c>
      <c r="E326" s="0" t="s">
        <v>974</v>
      </c>
      <c r="F326" s="0" t="n">
        <f aca="false">HYPERLINK("http://clipc-services.ceda.ac.uk/dreq/u/9bb9a503065dfbd30c9bbe5c3c6abf99.html","web")</f>
        <v>0</v>
      </c>
      <c r="G326" s="0" t="s">
        <v>972</v>
      </c>
      <c r="H326" s="0" t="s">
        <v>75</v>
      </c>
      <c r="I326" s="0" t="s">
        <v>968</v>
      </c>
      <c r="J326" s="0" t="s">
        <v>975</v>
      </c>
    </row>
    <row r="327" customFormat="false" ht="15" hidden="false" customHeight="false" outlineLevel="0" collapsed="false">
      <c r="A327" s="0" t="s">
        <v>951</v>
      </c>
      <c r="B327" s="0" t="s">
        <v>977</v>
      </c>
      <c r="C327" s="0" t="s">
        <v>12</v>
      </c>
      <c r="D327" s="0" t="s">
        <v>389</v>
      </c>
      <c r="E327" s="0" t="s">
        <v>978</v>
      </c>
      <c r="F327" s="0" t="n">
        <f aca="false">HYPERLINK("http://clipc-services.ceda.ac.uk/dreq/u/ddf060894b16cf89e906ecfedbba4ffb.html","web")</f>
        <v>0</v>
      </c>
      <c r="G327" s="0" t="s">
        <v>972</v>
      </c>
      <c r="H327" s="0" t="s">
        <v>75</v>
      </c>
      <c r="I327" s="0" t="s">
        <v>979</v>
      </c>
      <c r="J327" s="0" t="s">
        <v>975</v>
      </c>
    </row>
    <row r="328" customFormat="false" ht="15" hidden="false" customHeight="false" outlineLevel="0" collapsed="false">
      <c r="A328" s="0" t="s">
        <v>951</v>
      </c>
      <c r="B328" s="0" t="s">
        <v>980</v>
      </c>
      <c r="C328" s="0" t="s">
        <v>12</v>
      </c>
      <c r="D328" s="0" t="s">
        <v>981</v>
      </c>
      <c r="E328" s="0" t="s">
        <v>978</v>
      </c>
      <c r="F328" s="0" t="n">
        <f aca="false">HYPERLINK("http://clipc-services.ceda.ac.uk/dreq/u/ddf060894b16cf89e906ecfedbba4ffb.html","web")</f>
        <v>0</v>
      </c>
      <c r="G328" s="0" t="s">
        <v>972</v>
      </c>
      <c r="H328" s="0" t="s">
        <v>75</v>
      </c>
      <c r="I328" s="0" t="s">
        <v>979</v>
      </c>
      <c r="J328" s="0" t="s">
        <v>975</v>
      </c>
    </row>
    <row r="329" customFormat="false" ht="15" hidden="false" customHeight="false" outlineLevel="0" collapsed="false">
      <c r="A329" s="0" t="s">
        <v>951</v>
      </c>
      <c r="B329" s="0" t="s">
        <v>982</v>
      </c>
      <c r="C329" s="0" t="s">
        <v>12</v>
      </c>
      <c r="D329" s="0" t="s">
        <v>966</v>
      </c>
      <c r="E329" s="0" t="s">
        <v>983</v>
      </c>
      <c r="F329" s="0" t="n">
        <f aca="false">HYPERLINK("http://clipc-services.ceda.ac.uk/dreq/u/7f4c49e8abe3230e87fa7299b73448fa.html","web")</f>
        <v>0</v>
      </c>
      <c r="G329" s="0" t="s">
        <v>74</v>
      </c>
      <c r="H329" s="0" t="s">
        <v>75</v>
      </c>
      <c r="I329" s="0" t="s">
        <v>968</v>
      </c>
      <c r="J329" s="0" t="s">
        <v>975</v>
      </c>
    </row>
    <row r="330" customFormat="false" ht="15" hidden="false" customHeight="false" outlineLevel="0" collapsed="false">
      <c r="A330" s="0" t="s">
        <v>951</v>
      </c>
      <c r="B330" s="0" t="s">
        <v>984</v>
      </c>
      <c r="C330" s="0" t="s">
        <v>12</v>
      </c>
      <c r="D330" s="0" t="s">
        <v>971</v>
      </c>
      <c r="E330" s="0" t="s">
        <v>983</v>
      </c>
      <c r="F330" s="0" t="n">
        <f aca="false">HYPERLINK("http://clipc-services.ceda.ac.uk/dreq/u/7f4c49e8abe3230e87fa7299b73448fa.html","web")</f>
        <v>0</v>
      </c>
      <c r="G330" s="0" t="s">
        <v>972</v>
      </c>
      <c r="H330" s="0" t="s">
        <v>75</v>
      </c>
      <c r="I330" s="0" t="s">
        <v>968</v>
      </c>
      <c r="J330" s="0" t="s">
        <v>975</v>
      </c>
    </row>
    <row r="331" customFormat="false" ht="15" hidden="false" customHeight="false" outlineLevel="0" collapsed="false">
      <c r="A331" s="0" t="s">
        <v>951</v>
      </c>
      <c r="B331" s="0" t="s">
        <v>985</v>
      </c>
      <c r="C331" s="0" t="s">
        <v>12</v>
      </c>
      <c r="D331" s="0" t="s">
        <v>389</v>
      </c>
      <c r="E331" s="0" t="s">
        <v>986</v>
      </c>
      <c r="F331" s="0" t="n">
        <f aca="false">HYPERLINK("http://clipc-services.ceda.ac.uk/dreq/u/dbc244f3e0bae5b1397ad42fb6cd6db3.html","web")</f>
        <v>0</v>
      </c>
      <c r="G331" s="0" t="s">
        <v>972</v>
      </c>
      <c r="H331" s="0" t="s">
        <v>75</v>
      </c>
      <c r="I331" s="0" t="s">
        <v>986</v>
      </c>
      <c r="J331" s="0" t="s">
        <v>975</v>
      </c>
    </row>
    <row r="332" customFormat="false" ht="15" hidden="false" customHeight="false" outlineLevel="0" collapsed="false">
      <c r="A332" s="0" t="s">
        <v>951</v>
      </c>
      <c r="B332" s="0" t="s">
        <v>987</v>
      </c>
      <c r="C332" s="0" t="s">
        <v>12</v>
      </c>
      <c r="D332" s="0" t="s">
        <v>981</v>
      </c>
      <c r="E332" s="0" t="s">
        <v>986</v>
      </c>
      <c r="F332" s="0" t="n">
        <f aca="false">HYPERLINK("http://clipc-services.ceda.ac.uk/dreq/u/dbc244f3e0bae5b1397ad42fb6cd6db3.html","web")</f>
        <v>0</v>
      </c>
      <c r="G332" s="0" t="s">
        <v>972</v>
      </c>
      <c r="H332" s="0" t="s">
        <v>75</v>
      </c>
      <c r="I332" s="0" t="s">
        <v>986</v>
      </c>
      <c r="J332" s="0" t="s">
        <v>975</v>
      </c>
    </row>
    <row r="333" customFormat="false" ht="15" hidden="false" customHeight="false" outlineLevel="0" collapsed="false">
      <c r="A333" s="0" t="s">
        <v>951</v>
      </c>
      <c r="B333" s="0" t="s">
        <v>242</v>
      </c>
      <c r="C333" s="0" t="s">
        <v>12</v>
      </c>
      <c r="D333" s="0" t="s">
        <v>988</v>
      </c>
      <c r="E333" s="0" t="s">
        <v>244</v>
      </c>
      <c r="F333" s="0" t="n">
        <f aca="false">HYPERLINK("http://clipc-services.ceda.ac.uk/dreq/u/154ab10964742eaff37de9cc5beef39c.html","web")</f>
        <v>0</v>
      </c>
      <c r="G333" s="0" t="s">
        <v>74</v>
      </c>
      <c r="H333" s="0" t="s">
        <v>75</v>
      </c>
      <c r="I333" s="0" t="s">
        <v>245</v>
      </c>
      <c r="J333" s="0" t="s">
        <v>989</v>
      </c>
    </row>
    <row r="334" customFormat="false" ht="15" hidden="false" customHeight="false" outlineLevel="0" collapsed="false"/>
    <row r="335" customFormat="false" ht="15" hidden="false" customHeight="false" outlineLevel="0" collapsed="false">
      <c r="A335" s="0" t="s">
        <v>990</v>
      </c>
      <c r="B335" s="0" t="s">
        <v>406</v>
      </c>
      <c r="C335" s="0" t="s">
        <v>12</v>
      </c>
      <c r="D335" s="0" t="s">
        <v>55</v>
      </c>
      <c r="E335" s="0" t="s">
        <v>407</v>
      </c>
      <c r="F335" s="0" t="n">
        <f aca="false">HYPERLINK("http://clipc-services.ceda.ac.uk/dreq/u/590e8b2a-9e49-11e5-803c-0d0b866b59f3.html","web")</f>
        <v>0</v>
      </c>
      <c r="G335" s="0" t="s">
        <v>57</v>
      </c>
      <c r="H335" s="0" t="s">
        <v>58</v>
      </c>
      <c r="I335" s="0" t="s">
        <v>408</v>
      </c>
      <c r="J335" s="0" t="s">
        <v>991</v>
      </c>
    </row>
    <row r="336" customFormat="false" ht="15" hidden="false" customHeight="false" outlineLevel="0" collapsed="false">
      <c r="A336" s="0" t="s">
        <v>990</v>
      </c>
      <c r="B336" s="0" t="s">
        <v>432</v>
      </c>
      <c r="C336" s="0" t="s">
        <v>12</v>
      </c>
      <c r="D336" s="0" t="s">
        <v>55</v>
      </c>
      <c r="E336" s="0" t="s">
        <v>433</v>
      </c>
      <c r="F336" s="0" t="n">
        <f aca="false">HYPERLINK("http://clipc-services.ceda.ac.uk/dreq/u/5914a456-9e49-11e5-803c-0d0b866b59f3.html","web")</f>
        <v>0</v>
      </c>
      <c r="G336" s="0" t="s">
        <v>57</v>
      </c>
      <c r="H336" s="0" t="s">
        <v>58</v>
      </c>
      <c r="I336" s="0" t="s">
        <v>434</v>
      </c>
      <c r="J336" s="0" t="s">
        <v>992</v>
      </c>
    </row>
    <row r="337" customFormat="false" ht="15" hidden="false" customHeight="false" outlineLevel="0" collapsed="false">
      <c r="A337" s="0" t="s">
        <v>990</v>
      </c>
      <c r="B337" s="0" t="s">
        <v>526</v>
      </c>
      <c r="C337" s="0" t="s">
        <v>12</v>
      </c>
      <c r="D337" s="0" t="s">
        <v>55</v>
      </c>
      <c r="E337" s="0" t="s">
        <v>527</v>
      </c>
      <c r="F337" s="0" t="n">
        <f aca="false">HYPERLINK("http://clipc-services.ceda.ac.uk/dreq/u/590f4f2e-9e49-11e5-803c-0d0b866b59f3.html","web")</f>
        <v>0</v>
      </c>
      <c r="G337" s="0" t="s">
        <v>57</v>
      </c>
      <c r="H337" s="0" t="s">
        <v>58</v>
      </c>
      <c r="I337" s="0" t="s">
        <v>528</v>
      </c>
      <c r="J337" s="0" t="s">
        <v>991</v>
      </c>
    </row>
    <row r="338" customFormat="false" ht="15" hidden="false" customHeight="false" outlineLevel="0" collapsed="false"/>
    <row r="339" customFormat="false" ht="15" hidden="false" customHeight="false" outlineLevel="0" collapsed="false">
      <c r="A339" s="0" t="s">
        <v>993</v>
      </c>
      <c r="B339" s="0" t="s">
        <v>994</v>
      </c>
      <c r="C339" s="0" t="s">
        <v>80</v>
      </c>
      <c r="D339" s="0" t="s">
        <v>55</v>
      </c>
      <c r="E339" s="0" t="s">
        <v>995</v>
      </c>
      <c r="F339" s="0" t="n">
        <f aca="false">HYPERLINK("http://clipc-services.ceda.ac.uk/dreq/u/590e3c7e-9e49-11e5-803c-0d0b866b59f3.html","web")</f>
        <v>0</v>
      </c>
      <c r="G339" s="0" t="s">
        <v>74</v>
      </c>
      <c r="H339" s="0" t="s">
        <v>75</v>
      </c>
      <c r="I339" s="0" t="s">
        <v>996</v>
      </c>
      <c r="J339" s="0" t="s">
        <v>997</v>
      </c>
    </row>
    <row r="340" customFormat="false" ht="15" hidden="false" customHeight="false" outlineLevel="0" collapsed="false"/>
    <row r="341" customFormat="false" ht="15" hidden="false" customHeight="false" outlineLevel="0" collapsed="false">
      <c r="A341" s="0" t="s">
        <v>998</v>
      </c>
      <c r="B341" s="0" t="s">
        <v>999</v>
      </c>
      <c r="C341" s="0" t="s">
        <v>12</v>
      </c>
      <c r="D341" s="0" t="s">
        <v>55</v>
      </c>
      <c r="E341" s="0" t="s">
        <v>1000</v>
      </c>
      <c r="F341" s="0" t="n">
        <f aca="false">HYPERLINK("http://clipc-services.ceda.ac.uk/dreq/u/fe6ca864-a41f-11e5-9025-ac72891c3257.html","web")</f>
        <v>0</v>
      </c>
      <c r="G341" s="0" t="s">
        <v>74</v>
      </c>
      <c r="H341" s="0" t="s">
        <v>75</v>
      </c>
      <c r="I341" s="0" t="s">
        <v>968</v>
      </c>
      <c r="J341" s="0" t="s">
        <v>77</v>
      </c>
    </row>
    <row r="342" customFormat="false" ht="15" hidden="false" customHeight="false" outlineLevel="0" collapsed="false">
      <c r="A342" s="0" t="s">
        <v>998</v>
      </c>
      <c r="B342" s="0" t="s">
        <v>1001</v>
      </c>
      <c r="C342" s="0" t="s">
        <v>12</v>
      </c>
      <c r="D342" s="0" t="s">
        <v>55</v>
      </c>
      <c r="E342" s="0" t="s">
        <v>1002</v>
      </c>
      <c r="F342" s="0" t="n">
        <f aca="false">HYPERLINK("http://clipc-services.ceda.ac.uk/dreq/u/fe6cecca-a41f-11e5-9025-ac72891c3257.html","web")</f>
        <v>0</v>
      </c>
      <c r="G342" s="0" t="s">
        <v>74</v>
      </c>
      <c r="H342" s="0" t="s">
        <v>75</v>
      </c>
      <c r="I342" s="0" t="s">
        <v>968</v>
      </c>
      <c r="J342" s="0" t="s">
        <v>77</v>
      </c>
    </row>
    <row r="343" customFormat="false" ht="15" hidden="false" customHeight="false" outlineLevel="0" collapsed="false">
      <c r="A343" s="0" t="s">
        <v>998</v>
      </c>
      <c r="B343" s="0" t="s">
        <v>1003</v>
      </c>
      <c r="C343" s="0" t="s">
        <v>12</v>
      </c>
      <c r="D343" s="0" t="s">
        <v>55</v>
      </c>
      <c r="E343" s="0" t="s">
        <v>1004</v>
      </c>
      <c r="F343" s="0" t="n">
        <f aca="false">HYPERLINK("http://clipc-services.ceda.ac.uk/dreq/u/fe6cc8a8-a41f-11e5-9025-ac72891c3257.html","web")</f>
        <v>0</v>
      </c>
      <c r="G343" s="0" t="s">
        <v>74</v>
      </c>
      <c r="H343" s="0" t="s">
        <v>75</v>
      </c>
      <c r="I343" s="0" t="s">
        <v>1005</v>
      </c>
      <c r="J343" s="0" t="s">
        <v>77</v>
      </c>
    </row>
    <row r="344" customFormat="false" ht="15" hidden="false" customHeight="false" outlineLevel="0" collapsed="false"/>
    <row r="345" customFormat="false" ht="15" hidden="false" customHeight="false" outlineLevel="0" collapsed="false">
      <c r="A345" s="0" t="s">
        <v>1006</v>
      </c>
      <c r="B345" s="0" t="s">
        <v>1007</v>
      </c>
      <c r="C345" s="0" t="s">
        <v>12</v>
      </c>
      <c r="D345" s="0" t="s">
        <v>1008</v>
      </c>
      <c r="E345" s="0" t="s">
        <v>1009</v>
      </c>
      <c r="F345" s="0" t="n">
        <f aca="false">HYPERLINK("http://clipc-services.ceda.ac.uk/dreq/u/0baf6a333b91c4db341b515c28cd2c05.html","web")</f>
        <v>0</v>
      </c>
      <c r="G345" s="0" t="s">
        <v>74</v>
      </c>
      <c r="H345" s="0" t="s">
        <v>75</v>
      </c>
      <c r="I345" s="0" t="s">
        <v>1010</v>
      </c>
      <c r="J345" s="0" t="s">
        <v>1011</v>
      </c>
    </row>
    <row r="346" customFormat="false" ht="15" hidden="false" customHeight="false" outlineLevel="0" collapsed="false">
      <c r="A346" s="0" t="s">
        <v>1006</v>
      </c>
      <c r="B346" s="0" t="s">
        <v>1012</v>
      </c>
      <c r="C346" s="0" t="s">
        <v>12</v>
      </c>
      <c r="D346" s="0" t="s">
        <v>603</v>
      </c>
      <c r="E346" s="0" t="s">
        <v>1013</v>
      </c>
      <c r="F346" s="0" t="n">
        <f aca="false">HYPERLINK("http://clipc-services.ceda.ac.uk/dreq/u/5eac89f6f61b0e154c5add397fc41c46.html","web")</f>
        <v>0</v>
      </c>
      <c r="G346" s="0" t="s">
        <v>74</v>
      </c>
      <c r="H346" s="0" t="s">
        <v>75</v>
      </c>
      <c r="I346" s="0" t="s">
        <v>1014</v>
      </c>
      <c r="J346" s="0" t="s">
        <v>1015</v>
      </c>
    </row>
    <row r="347" customFormat="false" ht="15" hidden="false" customHeight="false" outlineLevel="0" collapsed="false">
      <c r="A347" s="0" t="s">
        <v>1006</v>
      </c>
      <c r="B347" s="0" t="s">
        <v>994</v>
      </c>
      <c r="C347" s="0" t="s">
        <v>12</v>
      </c>
      <c r="D347" s="0" t="s">
        <v>55</v>
      </c>
      <c r="E347" s="0" t="s">
        <v>995</v>
      </c>
      <c r="F347" s="0" t="n">
        <f aca="false">HYPERLINK("http://clipc-services.ceda.ac.uk/dreq/u/590e3c7e-9e49-11e5-803c-0d0b866b59f3.html","web")</f>
        <v>0</v>
      </c>
      <c r="G347" s="0" t="s">
        <v>74</v>
      </c>
      <c r="H347" s="0" t="s">
        <v>75</v>
      </c>
      <c r="I347" s="0" t="s">
        <v>996</v>
      </c>
      <c r="J347" s="0" t="s">
        <v>1016</v>
      </c>
    </row>
    <row r="348" customFormat="false" ht="15" hidden="false" customHeight="false" outlineLevel="0" collapsed="false">
      <c r="A348" s="0" t="s">
        <v>1006</v>
      </c>
      <c r="B348" s="0" t="s">
        <v>1017</v>
      </c>
      <c r="C348" s="0" t="s">
        <v>12</v>
      </c>
      <c r="D348" s="0" t="s">
        <v>603</v>
      </c>
      <c r="E348" s="0" t="s">
        <v>1018</v>
      </c>
      <c r="F348" s="0" t="n">
        <f aca="false">HYPERLINK("http://clipc-services.ceda.ac.uk/dreq/u/7ec31850a34ee43e98c5d526770fb581.html","web")</f>
        <v>0</v>
      </c>
      <c r="G348" s="0" t="s">
        <v>74</v>
      </c>
      <c r="H348" s="0" t="s">
        <v>75</v>
      </c>
      <c r="I348" s="0" t="s">
        <v>968</v>
      </c>
      <c r="J348" s="0" t="s">
        <v>1015</v>
      </c>
    </row>
    <row r="349" customFormat="false" ht="15" hidden="false" customHeight="false" outlineLevel="0" collapsed="false">
      <c r="A349" s="0" t="s">
        <v>1006</v>
      </c>
      <c r="B349" s="0" t="s">
        <v>1019</v>
      </c>
      <c r="C349" s="0" t="s">
        <v>12</v>
      </c>
      <c r="D349" s="0" t="s">
        <v>603</v>
      </c>
      <c r="E349" s="0" t="s">
        <v>1020</v>
      </c>
      <c r="F349" s="0" t="n">
        <f aca="false">HYPERLINK("http://clipc-services.ceda.ac.uk/dreq/u/fe6b44a6-a41f-11e5-9025-ac72891c3257.html","web")</f>
        <v>0</v>
      </c>
      <c r="G349" s="0" t="s">
        <v>74</v>
      </c>
      <c r="H349" s="0" t="s">
        <v>75</v>
      </c>
      <c r="I349" s="0" t="s">
        <v>968</v>
      </c>
      <c r="J349" s="0" t="s">
        <v>1015</v>
      </c>
    </row>
    <row r="350" customFormat="false" ht="15" hidden="false" customHeight="false" outlineLevel="0" collapsed="false">
      <c r="A350" s="0" t="s">
        <v>1006</v>
      </c>
      <c r="B350" s="0" t="s">
        <v>1021</v>
      </c>
      <c r="C350" s="0" t="s">
        <v>12</v>
      </c>
      <c r="D350" s="0" t="s">
        <v>603</v>
      </c>
      <c r="E350" s="0" t="s">
        <v>1022</v>
      </c>
      <c r="F350" s="0" t="n">
        <f aca="false">HYPERLINK("http://clipc-services.ceda.ac.uk/dreq/u/fe6c7b96-a41f-11e5-9025-ac72891c3257.html","web")</f>
        <v>0</v>
      </c>
      <c r="G350" s="0" t="s">
        <v>74</v>
      </c>
      <c r="H350" s="0" t="s">
        <v>75</v>
      </c>
      <c r="I350" s="0" t="s">
        <v>968</v>
      </c>
      <c r="J350" s="0" t="s">
        <v>1015</v>
      </c>
    </row>
    <row r="351" customFormat="false" ht="15" hidden="false" customHeight="false" outlineLevel="0" collapsed="false">
      <c r="A351" s="0" t="s">
        <v>1006</v>
      </c>
      <c r="B351" s="0" t="s">
        <v>1023</v>
      </c>
      <c r="C351" s="0" t="s">
        <v>12</v>
      </c>
      <c r="D351" s="0" t="s">
        <v>603</v>
      </c>
      <c r="E351" s="0" t="s">
        <v>1024</v>
      </c>
      <c r="F351" s="0" t="n">
        <f aca="false">HYPERLINK("http://clipc-services.ceda.ac.uk/dreq/u/cfe4bddb7dbbfc57c19837e7f99d2dda.html","web")</f>
        <v>0</v>
      </c>
      <c r="G351" s="0" t="s">
        <v>1025</v>
      </c>
      <c r="H351" s="0" t="s">
        <v>614</v>
      </c>
      <c r="I351" s="0" t="s">
        <v>1026</v>
      </c>
      <c r="J351" s="0" t="s">
        <v>1027</v>
      </c>
    </row>
    <row r="352" customFormat="false" ht="15" hidden="false" customHeight="false" outlineLevel="0" collapsed="false">
      <c r="A352" s="0" t="s">
        <v>1006</v>
      </c>
      <c r="B352" s="0" t="s">
        <v>1028</v>
      </c>
      <c r="C352" s="0" t="s">
        <v>12</v>
      </c>
      <c r="D352" s="0" t="s">
        <v>603</v>
      </c>
      <c r="E352" s="0" t="s">
        <v>1029</v>
      </c>
      <c r="F352" s="0" t="n">
        <f aca="false">HYPERLINK("http://clipc-services.ceda.ac.uk/dreq/u/fe6c8d8e-a41f-11e5-9025-ac72891c3257.html","web")</f>
        <v>0</v>
      </c>
      <c r="G352" s="0" t="s">
        <v>74</v>
      </c>
      <c r="H352" s="0" t="s">
        <v>75</v>
      </c>
      <c r="I352" s="0" t="s">
        <v>1030</v>
      </c>
      <c r="J352" s="0" t="s">
        <v>1015</v>
      </c>
    </row>
    <row r="353" customFormat="false" ht="15" hidden="false" customHeight="false" outlineLevel="0" collapsed="false">
      <c r="A353" s="0" t="s">
        <v>1006</v>
      </c>
      <c r="B353" s="0" t="s">
        <v>982</v>
      </c>
      <c r="C353" s="0" t="s">
        <v>12</v>
      </c>
      <c r="D353" s="0" t="s">
        <v>603</v>
      </c>
      <c r="E353" s="0" t="s">
        <v>1031</v>
      </c>
      <c r="F353" s="0" t="n">
        <f aca="false">HYPERLINK("http://clipc-services.ceda.ac.uk/dreq/u/7f4c49e8abe3230e87fa7299b73448fa.html","web")</f>
        <v>0</v>
      </c>
      <c r="G353" s="0" t="s">
        <v>74</v>
      </c>
      <c r="H353" s="0" t="s">
        <v>75</v>
      </c>
      <c r="I353" s="0" t="s">
        <v>968</v>
      </c>
      <c r="J353" s="0" t="s">
        <v>1015</v>
      </c>
    </row>
    <row r="354" customFormat="false" ht="15" hidden="false" customHeight="false" outlineLevel="0" collapsed="false">
      <c r="A354" s="0" t="s">
        <v>1006</v>
      </c>
      <c r="B354" s="0" t="s">
        <v>1032</v>
      </c>
      <c r="C354" s="0" t="s">
        <v>12</v>
      </c>
      <c r="D354" s="0" t="s">
        <v>603</v>
      </c>
      <c r="E354" s="0" t="s">
        <v>1033</v>
      </c>
      <c r="F354" s="0" t="n">
        <f aca="false">HYPERLINK("http://clipc-services.ceda.ac.uk/dreq/u/5b189f73a6cbef54f224217d8a6b284a.html","web")</f>
        <v>0</v>
      </c>
      <c r="G354" s="0" t="s">
        <v>74</v>
      </c>
      <c r="H354" s="0" t="s">
        <v>75</v>
      </c>
      <c r="I354" s="0" t="s">
        <v>1034</v>
      </c>
      <c r="J354" s="0" t="s">
        <v>1015</v>
      </c>
    </row>
    <row r="355" customFormat="false" ht="15" hidden="false" customHeight="false" outlineLevel="0" collapsed="false">
      <c r="A355" s="0" t="s">
        <v>1006</v>
      </c>
      <c r="B355" s="0" t="s">
        <v>1035</v>
      </c>
      <c r="C355" s="0" t="s">
        <v>12</v>
      </c>
      <c r="D355" s="0" t="s">
        <v>603</v>
      </c>
      <c r="E355" s="0" t="s">
        <v>1036</v>
      </c>
      <c r="F355" s="0" t="n">
        <f aca="false">HYPERLINK("http://clipc-services.ceda.ac.uk/dreq/u/ef1d823bb688b3e2a3f8374bb29fe0bf.html","web")</f>
        <v>0</v>
      </c>
      <c r="G355" s="0" t="s">
        <v>74</v>
      </c>
      <c r="H355" s="0" t="s">
        <v>75</v>
      </c>
      <c r="I355" s="0" t="s">
        <v>1037</v>
      </c>
      <c r="J355" s="0" t="s">
        <v>1015</v>
      </c>
    </row>
    <row r="356" customFormat="false" ht="15" hidden="false" customHeight="false" outlineLevel="0" collapsed="false">
      <c r="A356" s="0" t="s">
        <v>1006</v>
      </c>
      <c r="B356" s="0" t="s">
        <v>1038</v>
      </c>
      <c r="C356" s="0" t="s">
        <v>12</v>
      </c>
      <c r="D356" s="0" t="s">
        <v>55</v>
      </c>
      <c r="E356" s="0" t="s">
        <v>1039</v>
      </c>
      <c r="F356" s="0" t="n">
        <f aca="false">HYPERLINK("http://clipc-services.ceda.ac.uk/dreq/u/6b9531f047e39c91d82d58852a429555.html","web")</f>
        <v>0</v>
      </c>
      <c r="G356" s="0" t="s">
        <v>74</v>
      </c>
      <c r="H356" s="0" t="s">
        <v>75</v>
      </c>
      <c r="I356" s="0" t="s">
        <v>1040</v>
      </c>
      <c r="J356" s="0" t="s">
        <v>1016</v>
      </c>
    </row>
    <row r="357" customFormat="false" ht="15" hidden="false" customHeight="false" outlineLevel="0" collapsed="false">
      <c r="A357" s="0" t="s">
        <v>1006</v>
      </c>
      <c r="B357" s="0" t="s">
        <v>1041</v>
      </c>
      <c r="C357" s="0" t="s">
        <v>12</v>
      </c>
      <c r="D357" s="0" t="s">
        <v>55</v>
      </c>
      <c r="E357" s="0" t="s">
        <v>1042</v>
      </c>
      <c r="F357" s="0" t="n">
        <f aca="false">HYPERLINK("http://clipc-services.ceda.ac.uk/dreq/u/4e6ce0bc3ad0814b4c0523304965513f.html","web")</f>
        <v>0</v>
      </c>
      <c r="G357" s="0" t="s">
        <v>1043</v>
      </c>
      <c r="H357" s="0" t="s">
        <v>50</v>
      </c>
      <c r="I357" s="0" t="s">
        <v>1044</v>
      </c>
      <c r="J357" s="0" t="s">
        <v>1016</v>
      </c>
    </row>
    <row r="358" customFormat="false" ht="15" hidden="false" customHeight="false" outlineLevel="0" collapsed="false">
      <c r="A358" s="0" t="s">
        <v>1006</v>
      </c>
      <c r="B358" s="0" t="s">
        <v>1045</v>
      </c>
      <c r="C358" s="0" t="s">
        <v>12</v>
      </c>
      <c r="D358" s="0" t="s">
        <v>603</v>
      </c>
      <c r="E358" s="0" t="s">
        <v>1046</v>
      </c>
      <c r="F358" s="0" t="n">
        <f aca="false">HYPERLINK("http://clipc-services.ceda.ac.uk/dreq/u/fe6c8654-a41f-11e5-9025-ac72891c3257.html","web")</f>
        <v>0</v>
      </c>
      <c r="G358" s="0" t="s">
        <v>74</v>
      </c>
      <c r="H358" s="0" t="s">
        <v>75</v>
      </c>
      <c r="I358" s="0" t="s">
        <v>968</v>
      </c>
      <c r="J358" s="0" t="s">
        <v>1015</v>
      </c>
    </row>
    <row r="359" customFormat="false" ht="15" hidden="false" customHeight="false" outlineLevel="0" collapsed="false">
      <c r="A359" s="0" t="s">
        <v>1006</v>
      </c>
      <c r="B359" s="0" t="s">
        <v>973</v>
      </c>
      <c r="C359" s="0" t="s">
        <v>12</v>
      </c>
      <c r="D359" s="0" t="s">
        <v>603</v>
      </c>
      <c r="E359" s="0" t="s">
        <v>1047</v>
      </c>
      <c r="F359" s="0" t="n">
        <f aca="false">HYPERLINK("http://clipc-services.ceda.ac.uk/dreq/u/9bb9a503065dfbd30c9bbe5c3c6abf99.html","web")</f>
        <v>0</v>
      </c>
      <c r="G359" s="0" t="s">
        <v>74</v>
      </c>
      <c r="H359" s="0" t="s">
        <v>75</v>
      </c>
      <c r="I359" s="0" t="s">
        <v>968</v>
      </c>
      <c r="J359" s="0" t="s">
        <v>1015</v>
      </c>
    </row>
    <row r="360" customFormat="false" ht="15" hidden="false" customHeight="false" outlineLevel="0" collapsed="false">
      <c r="A360" s="0" t="s">
        <v>1006</v>
      </c>
      <c r="B360" s="0" t="s">
        <v>1048</v>
      </c>
      <c r="C360" s="0" t="s">
        <v>12</v>
      </c>
      <c r="D360" s="0" t="s">
        <v>603</v>
      </c>
      <c r="E360" s="0" t="s">
        <v>1049</v>
      </c>
      <c r="F360" s="0" t="n">
        <f aca="false">HYPERLINK("http://clipc-services.ceda.ac.uk/dreq/u/04f25e5e4c98a0a98575bc3d805bb03a.html","web")</f>
        <v>0</v>
      </c>
      <c r="G360" s="0" t="s">
        <v>74</v>
      </c>
      <c r="H360" s="0" t="s">
        <v>75</v>
      </c>
      <c r="I360" s="0" t="s">
        <v>968</v>
      </c>
      <c r="J360" s="0" t="s">
        <v>1027</v>
      </c>
    </row>
    <row r="361" customFormat="false" ht="15" hidden="false" customHeight="false" outlineLevel="0" collapsed="false">
      <c r="A361" s="0" t="s">
        <v>1006</v>
      </c>
      <c r="B361" s="0" t="s">
        <v>1050</v>
      </c>
      <c r="C361" s="0" t="s">
        <v>12</v>
      </c>
      <c r="D361" s="0" t="s">
        <v>55</v>
      </c>
      <c r="E361" s="0" t="s">
        <v>1051</v>
      </c>
      <c r="F361" s="0" t="n">
        <f aca="false">HYPERLINK("http://clipc-services.ceda.ac.uk/dreq/u/f17637206609c6f9e14190d3ac6a1e6b.html","web")</f>
        <v>0</v>
      </c>
      <c r="G361" s="0" t="s">
        <v>74</v>
      </c>
      <c r="H361" s="0" t="s">
        <v>75</v>
      </c>
      <c r="I361" s="0" t="s">
        <v>1052</v>
      </c>
      <c r="J361" s="0" t="s">
        <v>1016</v>
      </c>
    </row>
    <row r="362" customFormat="false" ht="15" hidden="false" customHeight="false" outlineLevel="0" collapsed="false">
      <c r="A362" s="0" t="s">
        <v>1006</v>
      </c>
      <c r="B362" s="0" t="s">
        <v>1053</v>
      </c>
      <c r="C362" s="0" t="s">
        <v>12</v>
      </c>
      <c r="D362" s="0" t="s">
        <v>55</v>
      </c>
      <c r="E362" s="0" t="s">
        <v>1054</v>
      </c>
      <c r="F362" s="0" t="n">
        <f aca="false">HYPERLINK("http://clipc-services.ceda.ac.uk/dreq/u/6444d8c6e394c5d66ae3f732f0ede043.html","web")</f>
        <v>0</v>
      </c>
      <c r="G362" s="0" t="s">
        <v>74</v>
      </c>
      <c r="H362" s="0" t="s">
        <v>75</v>
      </c>
      <c r="I362" s="0" t="s">
        <v>1052</v>
      </c>
      <c r="J362" s="0" t="s">
        <v>1055</v>
      </c>
    </row>
    <row r="363" customFormat="false" ht="15" hidden="false" customHeight="false" outlineLevel="0" collapsed="false">
      <c r="A363" s="0" t="s">
        <v>1006</v>
      </c>
      <c r="B363" s="0" t="s">
        <v>1056</v>
      </c>
      <c r="C363" s="0" t="s">
        <v>12</v>
      </c>
      <c r="D363" s="0" t="s">
        <v>55</v>
      </c>
      <c r="E363" s="0" t="s">
        <v>1057</v>
      </c>
      <c r="F363" s="0" t="n">
        <f aca="false">HYPERLINK("http://clipc-services.ceda.ac.uk/dreq/u/9fd5c69c5f00bd2434436f2e9033f545.html","web")</f>
        <v>0</v>
      </c>
      <c r="G363" s="0" t="s">
        <v>74</v>
      </c>
      <c r="H363" s="0" t="s">
        <v>75</v>
      </c>
      <c r="I363" s="0" t="s">
        <v>1058</v>
      </c>
      <c r="J363" s="0" t="s">
        <v>1016</v>
      </c>
    </row>
    <row r="364" customFormat="false" ht="15" hidden="false" customHeight="false" outlineLevel="0" collapsed="false">
      <c r="A364" s="0" t="s">
        <v>1006</v>
      </c>
      <c r="B364" s="0" t="s">
        <v>1059</v>
      </c>
      <c r="C364" s="0" t="s">
        <v>12</v>
      </c>
      <c r="D364" s="0" t="s">
        <v>55</v>
      </c>
      <c r="E364" s="0" t="s">
        <v>1060</v>
      </c>
      <c r="F364" s="0" t="n">
        <f aca="false">HYPERLINK("http://clipc-services.ceda.ac.uk/dreq/u/8e67a3e82efbb02a7efe67da456408fa.html","web")</f>
        <v>0</v>
      </c>
      <c r="G364" s="0" t="s">
        <v>74</v>
      </c>
      <c r="H364" s="0" t="s">
        <v>75</v>
      </c>
      <c r="I364" s="0" t="s">
        <v>1058</v>
      </c>
      <c r="J364" s="0" t="s">
        <v>1016</v>
      </c>
    </row>
    <row r="365" customFormat="false" ht="15" hidden="false" customHeight="false" outlineLevel="0" collapsed="false">
      <c r="A365" s="0" t="s">
        <v>1006</v>
      </c>
      <c r="B365" s="0" t="s">
        <v>1061</v>
      </c>
      <c r="C365" s="0" t="s">
        <v>12</v>
      </c>
      <c r="D365" s="0" t="s">
        <v>55</v>
      </c>
      <c r="E365" s="0" t="s">
        <v>1062</v>
      </c>
      <c r="F365" s="0" t="n">
        <f aca="false">HYPERLINK("http://clipc-services.ceda.ac.uk/dreq/u/f4e5c381e643cd68d3104cf75cc675bd.html","web")</f>
        <v>0</v>
      </c>
      <c r="G365" s="0" t="s">
        <v>74</v>
      </c>
      <c r="H365" s="0" t="s">
        <v>75</v>
      </c>
      <c r="I365" s="0" t="s">
        <v>1063</v>
      </c>
      <c r="J365" s="0" t="s">
        <v>1016</v>
      </c>
    </row>
    <row r="366" customFormat="false" ht="15" hidden="false" customHeight="false" outlineLevel="0" collapsed="false">
      <c r="A366" s="0" t="s">
        <v>1006</v>
      </c>
      <c r="B366" s="0" t="s">
        <v>1064</v>
      </c>
      <c r="C366" s="0" t="s">
        <v>12</v>
      </c>
      <c r="D366" s="0" t="s">
        <v>55</v>
      </c>
      <c r="E366" s="0" t="s">
        <v>1065</v>
      </c>
      <c r="F366" s="0" t="n">
        <f aca="false">HYPERLINK("http://clipc-services.ceda.ac.uk/dreq/u/88cfa07efc9539cfb8c465a664f63e55.html","web")</f>
        <v>0</v>
      </c>
      <c r="G366" s="0" t="s">
        <v>74</v>
      </c>
      <c r="H366" s="0" t="s">
        <v>75</v>
      </c>
      <c r="I366" s="0" t="s">
        <v>1066</v>
      </c>
      <c r="J366" s="0" t="s">
        <v>1016</v>
      </c>
    </row>
    <row r="367" customFormat="false" ht="15" hidden="false" customHeight="false" outlineLevel="0" collapsed="false">
      <c r="A367" s="0" t="s">
        <v>1006</v>
      </c>
      <c r="B367" s="0" t="s">
        <v>1067</v>
      </c>
      <c r="C367" s="0" t="s">
        <v>12</v>
      </c>
      <c r="D367" s="0" t="s">
        <v>55</v>
      </c>
      <c r="E367" s="0" t="s">
        <v>1068</v>
      </c>
      <c r="F367" s="0" t="n">
        <f aca="false">HYPERLINK("http://clipc-services.ceda.ac.uk/dreq/u/6f095163598ce89d463f74ae2a096270.html","web")</f>
        <v>0</v>
      </c>
      <c r="G367" s="0" t="s">
        <v>74</v>
      </c>
      <c r="H367" s="0" t="s">
        <v>75</v>
      </c>
      <c r="I367" s="0" t="s">
        <v>1069</v>
      </c>
      <c r="J367" s="0" t="s">
        <v>1016</v>
      </c>
    </row>
    <row r="368" customFormat="false" ht="15" hidden="false" customHeight="false" outlineLevel="0" collapsed="false">
      <c r="A368" s="0" t="s">
        <v>1006</v>
      </c>
      <c r="B368" s="0" t="s">
        <v>1070</v>
      </c>
      <c r="C368" s="0" t="s">
        <v>12</v>
      </c>
      <c r="D368" s="0" t="s">
        <v>55</v>
      </c>
      <c r="E368" s="0" t="s">
        <v>1071</v>
      </c>
      <c r="F368" s="0" t="n">
        <f aca="false">HYPERLINK("http://clipc-services.ceda.ac.uk/dreq/u/e49733975533eeec7407d54d8373b155.html","web")</f>
        <v>0</v>
      </c>
      <c r="G368" s="0" t="s">
        <v>74</v>
      </c>
      <c r="H368" s="0" t="s">
        <v>75</v>
      </c>
      <c r="I368" s="0" t="s">
        <v>1058</v>
      </c>
      <c r="J368" s="0" t="s">
        <v>1072</v>
      </c>
    </row>
    <row r="369" customFormat="false" ht="15" hidden="false" customHeight="false" outlineLevel="0" collapsed="false">
      <c r="A369" s="0" t="s">
        <v>1006</v>
      </c>
      <c r="B369" s="0" t="s">
        <v>1073</v>
      </c>
      <c r="C369" s="0" t="s">
        <v>12</v>
      </c>
      <c r="D369" s="0" t="s">
        <v>55</v>
      </c>
      <c r="E369" s="0" t="s">
        <v>1074</v>
      </c>
      <c r="F369" s="0" t="n">
        <f aca="false">HYPERLINK("http://clipc-services.ceda.ac.uk/dreq/u/1e4b4b00e55243dc7815c0ffc015faee.html","web")</f>
        <v>0</v>
      </c>
      <c r="G369" s="0" t="s">
        <v>74</v>
      </c>
      <c r="H369" s="0" t="s">
        <v>75</v>
      </c>
      <c r="I369" s="0" t="s">
        <v>1058</v>
      </c>
      <c r="J369" s="0" t="s">
        <v>1072</v>
      </c>
    </row>
    <row r="370" customFormat="false" ht="15" hidden="false" customHeight="false" outlineLevel="0" collapsed="false">
      <c r="A370" s="0" t="s">
        <v>1006</v>
      </c>
      <c r="B370" s="0" t="s">
        <v>1075</v>
      </c>
      <c r="C370" s="0" t="s">
        <v>12</v>
      </c>
      <c r="D370" s="0" t="s">
        <v>55</v>
      </c>
      <c r="E370" s="0" t="s">
        <v>1076</v>
      </c>
      <c r="F370" s="0" t="n">
        <f aca="false">HYPERLINK("http://clipc-services.ceda.ac.uk/dreq/u/9b53f7b02bc4f1e2af69632f52a18b28.html","web")</f>
        <v>0</v>
      </c>
      <c r="G370" s="0" t="s">
        <v>74</v>
      </c>
      <c r="H370" s="0" t="s">
        <v>75</v>
      </c>
      <c r="I370" s="0" t="s">
        <v>1052</v>
      </c>
      <c r="J370" s="0" t="s">
        <v>1072</v>
      </c>
    </row>
    <row r="371" customFormat="false" ht="15" hidden="false" customHeight="false" outlineLevel="0" collapsed="false">
      <c r="A371" s="0" t="s">
        <v>1006</v>
      </c>
      <c r="B371" s="0" t="s">
        <v>1077</v>
      </c>
      <c r="C371" s="0" t="s">
        <v>12</v>
      </c>
      <c r="D371" s="0" t="s">
        <v>55</v>
      </c>
      <c r="E371" s="0" t="s">
        <v>1078</v>
      </c>
      <c r="F371" s="0" t="n">
        <f aca="false">HYPERLINK("http://clipc-services.ceda.ac.uk/dreq/u/4d3400f4c74e9cd4d4100da7a915e6d9.html","web")</f>
        <v>0</v>
      </c>
      <c r="G371" s="0" t="s">
        <v>74</v>
      </c>
      <c r="H371" s="0" t="s">
        <v>75</v>
      </c>
      <c r="I371" s="0" t="s">
        <v>1079</v>
      </c>
      <c r="J371" s="0" t="s">
        <v>1016</v>
      </c>
    </row>
    <row r="372" customFormat="false" ht="15" hidden="false" customHeight="false" outlineLevel="0" collapsed="false">
      <c r="A372" s="0" t="s">
        <v>1006</v>
      </c>
      <c r="B372" s="0" t="s">
        <v>1080</v>
      </c>
      <c r="C372" s="0" t="s">
        <v>12</v>
      </c>
      <c r="D372" s="0" t="s">
        <v>55</v>
      </c>
      <c r="E372" s="0" t="s">
        <v>1081</v>
      </c>
      <c r="F372" s="0" t="n">
        <f aca="false">HYPERLINK("http://clipc-services.ceda.ac.uk/dreq/u/27f1a04b96a7ee0c588ad33c6e1f30fe.html","web")</f>
        <v>0</v>
      </c>
      <c r="G372" s="0" t="s">
        <v>74</v>
      </c>
      <c r="H372" s="0" t="s">
        <v>75</v>
      </c>
      <c r="I372" s="0" t="s">
        <v>1082</v>
      </c>
      <c r="J372" s="0" t="s">
        <v>1016</v>
      </c>
    </row>
    <row r="373" customFormat="false" ht="15" hidden="false" customHeight="false" outlineLevel="0" collapsed="false">
      <c r="A373" s="0" t="s">
        <v>1006</v>
      </c>
      <c r="B373" s="0" t="s">
        <v>1083</v>
      </c>
      <c r="C373" s="0" t="s">
        <v>12</v>
      </c>
      <c r="D373" s="0" t="s">
        <v>55</v>
      </c>
      <c r="E373" s="0" t="s">
        <v>1084</v>
      </c>
      <c r="F373" s="0" t="n">
        <f aca="false">HYPERLINK("http://clipc-services.ceda.ac.uk/dreq/u/754b682975aaa6baabc618db3903bba8.html","web")</f>
        <v>0</v>
      </c>
      <c r="G373" s="0" t="s">
        <v>74</v>
      </c>
      <c r="H373" s="0" t="s">
        <v>75</v>
      </c>
      <c r="I373" s="0" t="s">
        <v>1079</v>
      </c>
      <c r="J373" s="0" t="s">
        <v>1016</v>
      </c>
    </row>
    <row r="374" customFormat="false" ht="15" hidden="false" customHeight="false" outlineLevel="0" collapsed="false">
      <c r="A374" s="0" t="s">
        <v>1006</v>
      </c>
      <c r="B374" s="0" t="s">
        <v>1085</v>
      </c>
      <c r="C374" s="0" t="s">
        <v>12</v>
      </c>
      <c r="D374" s="0" t="s">
        <v>55</v>
      </c>
      <c r="E374" s="0" t="s">
        <v>1086</v>
      </c>
      <c r="F374" s="0" t="n">
        <f aca="false">HYPERLINK("http://clipc-services.ceda.ac.uk/dreq/u/280c4503513a8be95b5cbfc157615c6e.html","web")</f>
        <v>0</v>
      </c>
      <c r="G374" s="0" t="s">
        <v>74</v>
      </c>
      <c r="H374" s="0" t="s">
        <v>75</v>
      </c>
      <c r="I374" s="0" t="s">
        <v>1079</v>
      </c>
      <c r="J374" s="0" t="s">
        <v>1016</v>
      </c>
    </row>
    <row r="375" customFormat="false" ht="15" hidden="false" customHeight="false" outlineLevel="0" collapsed="false">
      <c r="A375" s="0" t="s">
        <v>1006</v>
      </c>
      <c r="B375" s="0" t="s">
        <v>1087</v>
      </c>
      <c r="C375" s="0" t="s">
        <v>12</v>
      </c>
      <c r="D375" s="0" t="s">
        <v>55</v>
      </c>
      <c r="E375" s="0" t="s">
        <v>1088</v>
      </c>
      <c r="F375" s="0" t="n">
        <f aca="false">HYPERLINK("http://clipc-services.ceda.ac.uk/dreq/u/96d843d6b5a59d1e53e07df9641def86.html","web")</f>
        <v>0</v>
      </c>
      <c r="G375" s="0" t="s">
        <v>74</v>
      </c>
      <c r="H375" s="0" t="s">
        <v>75</v>
      </c>
      <c r="I375" s="0" t="s">
        <v>1079</v>
      </c>
      <c r="J375" s="0" t="s">
        <v>1055</v>
      </c>
    </row>
    <row r="376" customFormat="false" ht="15" hidden="false" customHeight="false" outlineLevel="0" collapsed="false">
      <c r="A376" s="0" t="s">
        <v>1006</v>
      </c>
      <c r="B376" s="0" t="s">
        <v>1089</v>
      </c>
      <c r="C376" s="0" t="s">
        <v>12</v>
      </c>
      <c r="D376" s="0" t="s">
        <v>55</v>
      </c>
      <c r="E376" s="0" t="s">
        <v>1090</v>
      </c>
      <c r="F376" s="0" t="n">
        <f aca="false">HYPERLINK("http://clipc-services.ceda.ac.uk/dreq/u/811a140bb9962156e6c3cbc16a144f8d.html","web")</f>
        <v>0</v>
      </c>
      <c r="G376" s="0" t="s">
        <v>74</v>
      </c>
      <c r="H376" s="0" t="s">
        <v>75</v>
      </c>
      <c r="I376" s="0" t="s">
        <v>1091</v>
      </c>
      <c r="J376" s="0" t="s">
        <v>1016</v>
      </c>
    </row>
    <row r="377" customFormat="false" ht="15" hidden="false" customHeight="false" outlineLevel="0" collapsed="false">
      <c r="A377" s="0" t="s">
        <v>1006</v>
      </c>
      <c r="B377" s="0" t="s">
        <v>1092</v>
      </c>
      <c r="C377" s="0" t="s">
        <v>12</v>
      </c>
      <c r="D377" s="0" t="s">
        <v>603</v>
      </c>
      <c r="E377" s="0" t="s">
        <v>1093</v>
      </c>
      <c r="F377" s="0" t="n">
        <f aca="false">HYPERLINK("http://clipc-services.ceda.ac.uk/dreq/u/534001c2fd879bfda1d9b66d0a61144c.html","web")</f>
        <v>0</v>
      </c>
      <c r="G377" s="0" t="s">
        <v>74</v>
      </c>
      <c r="H377" s="0" t="s">
        <v>75</v>
      </c>
      <c r="I377" s="0" t="s">
        <v>1094</v>
      </c>
      <c r="J377" s="0" t="s">
        <v>1015</v>
      </c>
    </row>
    <row r="378" customFormat="false" ht="15" hidden="false" customHeight="false" outlineLevel="0" collapsed="false">
      <c r="A378" s="0" t="s">
        <v>1006</v>
      </c>
      <c r="B378" s="0" t="s">
        <v>1095</v>
      </c>
      <c r="C378" s="0" t="s">
        <v>12</v>
      </c>
      <c r="D378" s="0" t="s">
        <v>55</v>
      </c>
      <c r="E378" s="0" t="s">
        <v>1096</v>
      </c>
      <c r="F378" s="0" t="n">
        <f aca="false">HYPERLINK("http://clipc-services.ceda.ac.uk/dreq/u/0f732311bca54b8620535615258be52d.html","web")</f>
        <v>0</v>
      </c>
      <c r="G378" s="0" t="s">
        <v>74</v>
      </c>
      <c r="H378" s="0" t="s">
        <v>75</v>
      </c>
      <c r="I378" s="0" t="s">
        <v>1079</v>
      </c>
      <c r="J378" s="0" t="s">
        <v>1016</v>
      </c>
    </row>
    <row r="379" customFormat="false" ht="15" hidden="false" customHeight="false" outlineLevel="0" collapsed="false">
      <c r="A379" s="0" t="s">
        <v>1006</v>
      </c>
      <c r="B379" s="0" t="s">
        <v>1097</v>
      </c>
      <c r="C379" s="0" t="s">
        <v>12</v>
      </c>
      <c r="D379" s="0" t="s">
        <v>55</v>
      </c>
      <c r="E379" s="0" t="s">
        <v>1098</v>
      </c>
      <c r="F379" s="0" t="n">
        <f aca="false">HYPERLINK("http://clipc-services.ceda.ac.uk/dreq/u/9a6a4f8bd6adfd9c68cb6a7961f295ea.html","web")</f>
        <v>0</v>
      </c>
      <c r="G379" s="0" t="s">
        <v>74</v>
      </c>
      <c r="H379" s="0" t="s">
        <v>75</v>
      </c>
      <c r="I379" s="0" t="s">
        <v>1099</v>
      </c>
      <c r="J379" s="0" t="s">
        <v>1016</v>
      </c>
    </row>
    <row r="380" customFormat="false" ht="15" hidden="false" customHeight="false" outlineLevel="0" collapsed="false">
      <c r="A380" s="0" t="s">
        <v>1006</v>
      </c>
      <c r="B380" s="0" t="s">
        <v>1100</v>
      </c>
      <c r="C380" s="0" t="s">
        <v>12</v>
      </c>
      <c r="D380" s="0" t="s">
        <v>55</v>
      </c>
      <c r="E380" s="0" t="s">
        <v>1101</v>
      </c>
      <c r="F380" s="0" t="n">
        <f aca="false">HYPERLINK("http://clipc-services.ceda.ac.uk/dreq/u/523886b41b608ce9215833b0406b9c27.html","web")</f>
        <v>0</v>
      </c>
      <c r="G380" s="0" t="s">
        <v>74</v>
      </c>
      <c r="H380" s="0" t="s">
        <v>75</v>
      </c>
      <c r="I380" s="0" t="s">
        <v>1102</v>
      </c>
      <c r="J380" s="0" t="s">
        <v>1016</v>
      </c>
    </row>
    <row r="381" customFormat="false" ht="15" hidden="false" customHeight="false" outlineLevel="0" collapsed="false">
      <c r="A381" s="0" t="s">
        <v>1006</v>
      </c>
      <c r="B381" s="0" t="s">
        <v>1103</v>
      </c>
      <c r="C381" s="0" t="s">
        <v>12</v>
      </c>
      <c r="D381" s="0" t="s">
        <v>55</v>
      </c>
      <c r="E381" s="0" t="s">
        <v>1104</v>
      </c>
      <c r="F381" s="0" t="n">
        <f aca="false">HYPERLINK("http://clipc-services.ceda.ac.uk/dreq/u/e35112d35f6f5cc88e1ebceefbd09133.html","web")</f>
        <v>0</v>
      </c>
      <c r="G381" s="0" t="s">
        <v>74</v>
      </c>
      <c r="H381" s="0" t="s">
        <v>75</v>
      </c>
      <c r="I381" s="0" t="s">
        <v>1079</v>
      </c>
      <c r="J381" s="0" t="s">
        <v>1072</v>
      </c>
    </row>
    <row r="382" customFormat="false" ht="15" hidden="false" customHeight="false" outlineLevel="0" collapsed="false">
      <c r="A382" s="0" t="s">
        <v>1006</v>
      </c>
      <c r="B382" s="0" t="s">
        <v>1105</v>
      </c>
      <c r="C382" s="0" t="s">
        <v>12</v>
      </c>
      <c r="D382" s="0" t="s">
        <v>55</v>
      </c>
      <c r="E382" s="0" t="s">
        <v>1106</v>
      </c>
      <c r="F382" s="0" t="n">
        <f aca="false">HYPERLINK("http://clipc-services.ceda.ac.uk/dreq/u/e479e7abd9bcef1806494ce9b50f39b3.html","web")</f>
        <v>0</v>
      </c>
      <c r="G382" s="0" t="s">
        <v>74</v>
      </c>
      <c r="H382" s="0" t="s">
        <v>75</v>
      </c>
      <c r="I382" s="0" t="s">
        <v>1107</v>
      </c>
      <c r="J382" s="0" t="s">
        <v>1072</v>
      </c>
    </row>
    <row r="383" customFormat="false" ht="15" hidden="false" customHeight="false" outlineLevel="0" collapsed="false">
      <c r="A383" s="0" t="s">
        <v>1006</v>
      </c>
      <c r="B383" s="0" t="s">
        <v>1108</v>
      </c>
      <c r="C383" s="0" t="s">
        <v>12</v>
      </c>
      <c r="D383" s="0" t="s">
        <v>55</v>
      </c>
      <c r="E383" s="0" t="s">
        <v>1109</v>
      </c>
      <c r="F383" s="0" t="n">
        <f aca="false">HYPERLINK("http://clipc-services.ceda.ac.uk/dreq/u/377058633cbc6b6700caad600fb06009.html","web")</f>
        <v>0</v>
      </c>
      <c r="G383" s="0" t="s">
        <v>74</v>
      </c>
      <c r="H383" s="0" t="s">
        <v>75</v>
      </c>
      <c r="I383" s="0" t="s">
        <v>1079</v>
      </c>
      <c r="J383" s="0" t="s">
        <v>1072</v>
      </c>
    </row>
    <row r="384" customFormat="false" ht="15" hidden="false" customHeight="false" outlineLevel="0" collapsed="false">
      <c r="A384" s="0" t="s">
        <v>1006</v>
      </c>
      <c r="B384" s="0" t="s">
        <v>1110</v>
      </c>
      <c r="C384" s="0" t="s">
        <v>12</v>
      </c>
      <c r="D384" s="0" t="s">
        <v>55</v>
      </c>
      <c r="E384" s="0" t="s">
        <v>1111</v>
      </c>
      <c r="F384" s="0" t="n">
        <f aca="false">HYPERLINK("http://clipc-services.ceda.ac.uk/dreq/u/8198a7882dd91603f07b93e929ccdbd0.html","web")</f>
        <v>0</v>
      </c>
      <c r="G384" s="0" t="s">
        <v>74</v>
      </c>
      <c r="H384" s="0" t="s">
        <v>75</v>
      </c>
      <c r="I384" s="0" t="s">
        <v>1112</v>
      </c>
      <c r="J384" s="0" t="s">
        <v>1016</v>
      </c>
    </row>
    <row r="385" customFormat="false" ht="15" hidden="false" customHeight="false" outlineLevel="0" collapsed="false">
      <c r="A385" s="0" t="s">
        <v>1006</v>
      </c>
      <c r="B385" s="0" t="s">
        <v>1113</v>
      </c>
      <c r="C385" s="0" t="s">
        <v>12</v>
      </c>
      <c r="D385" s="0" t="s">
        <v>603</v>
      </c>
      <c r="E385" s="0" t="s">
        <v>1114</v>
      </c>
      <c r="F385" s="0" t="n">
        <f aca="false">HYPERLINK("http://clipc-services.ceda.ac.uk/dreq/u/a7cf325e9bf994ade073a1297378a57c.html","web")</f>
        <v>0</v>
      </c>
      <c r="G385" s="0" t="s">
        <v>74</v>
      </c>
      <c r="H385" s="0" t="s">
        <v>75</v>
      </c>
      <c r="I385" s="0" t="s">
        <v>1115</v>
      </c>
      <c r="J385" s="0" t="s">
        <v>1015</v>
      </c>
    </row>
    <row r="386" customFormat="false" ht="15" hidden="false" customHeight="false" outlineLevel="0" collapsed="false">
      <c r="A386" s="0" t="s">
        <v>1006</v>
      </c>
      <c r="B386" s="0" t="s">
        <v>1116</v>
      </c>
      <c r="C386" s="0" t="s">
        <v>12</v>
      </c>
      <c r="D386" s="0" t="s">
        <v>603</v>
      </c>
      <c r="E386" s="0" t="s">
        <v>1117</v>
      </c>
      <c r="F386" s="0" t="n">
        <f aca="false">HYPERLINK("http://clipc-services.ceda.ac.uk/dreq/u/fe6bdb96-a41f-11e5-9025-ac72891c3257.html","web")</f>
        <v>0</v>
      </c>
      <c r="G386" s="0" t="s">
        <v>74</v>
      </c>
      <c r="H386" s="0" t="s">
        <v>1118</v>
      </c>
      <c r="I386" s="0" t="s">
        <v>968</v>
      </c>
      <c r="J386" s="0" t="s">
        <v>1015</v>
      </c>
    </row>
    <row r="387" customFormat="false" ht="15" hidden="false" customHeight="false" outlineLevel="0" collapsed="false">
      <c r="A387" s="0" t="s">
        <v>1006</v>
      </c>
      <c r="B387" s="0" t="s">
        <v>1119</v>
      </c>
      <c r="C387" s="0" t="s">
        <v>12</v>
      </c>
      <c r="D387" s="0" t="s">
        <v>603</v>
      </c>
      <c r="E387" s="0" t="s">
        <v>1120</v>
      </c>
      <c r="F387" s="0" t="n">
        <f aca="false">HYPERLINK("http://clipc-services.ceda.ac.uk/dreq/u/07ae8a0c132c9bf65a2722885a2fcd08.html","web")</f>
        <v>0</v>
      </c>
      <c r="G387" s="0" t="s">
        <v>74</v>
      </c>
      <c r="H387" s="0" t="s">
        <v>75</v>
      </c>
      <c r="I387" s="0" t="s">
        <v>968</v>
      </c>
      <c r="J387" s="0" t="s">
        <v>1015</v>
      </c>
    </row>
    <row r="388" customFormat="false" ht="15" hidden="false" customHeight="false" outlineLevel="0" collapsed="false">
      <c r="A388" s="0" t="s">
        <v>1006</v>
      </c>
      <c r="B388" s="0" t="s">
        <v>1121</v>
      </c>
      <c r="C388" s="0" t="s">
        <v>12</v>
      </c>
      <c r="D388" s="0" t="s">
        <v>603</v>
      </c>
      <c r="E388" s="0" t="s">
        <v>1122</v>
      </c>
      <c r="F388" s="0" t="n">
        <f aca="false">HYPERLINK("http://clipc-services.ceda.ac.uk/dreq/u/d9c1ba0b5e1b43f738cd1fbe4a765906.html","web")</f>
        <v>0</v>
      </c>
      <c r="G388" s="0" t="s">
        <v>74</v>
      </c>
      <c r="H388" s="0" t="s">
        <v>75</v>
      </c>
      <c r="I388" s="0" t="s">
        <v>968</v>
      </c>
      <c r="J388" s="0" t="s">
        <v>1015</v>
      </c>
    </row>
    <row r="389" customFormat="false" ht="15" hidden="false" customHeight="false" outlineLevel="0" collapsed="false">
      <c r="A389" s="0" t="s">
        <v>1006</v>
      </c>
      <c r="B389" s="0" t="s">
        <v>1123</v>
      </c>
      <c r="C389" s="0" t="s">
        <v>12</v>
      </c>
      <c r="D389" s="0" t="s">
        <v>603</v>
      </c>
      <c r="E389" s="0" t="s">
        <v>1124</v>
      </c>
      <c r="F389" s="0" t="n">
        <f aca="false">HYPERLINK("http://clipc-services.ceda.ac.uk/dreq/u/dd6aa1c1ecadd98014d1c1a7bbcb0429.html","web")</f>
        <v>0</v>
      </c>
      <c r="G389" s="0" t="s">
        <v>74</v>
      </c>
      <c r="H389" s="0" t="s">
        <v>75</v>
      </c>
      <c r="I389" s="0" t="s">
        <v>1125</v>
      </c>
      <c r="J389" s="0" t="s">
        <v>1015</v>
      </c>
    </row>
    <row r="390" customFormat="false" ht="15" hidden="false" customHeight="false" outlineLevel="0" collapsed="false">
      <c r="A390" s="0" t="s">
        <v>1006</v>
      </c>
      <c r="B390" s="0" t="s">
        <v>1126</v>
      </c>
      <c r="C390" s="0" t="s">
        <v>12</v>
      </c>
      <c r="D390" s="0" t="s">
        <v>603</v>
      </c>
      <c r="E390" s="0" t="s">
        <v>1127</v>
      </c>
      <c r="F390" s="0" t="n">
        <f aca="false">HYPERLINK("http://clipc-services.ceda.ac.uk/dreq/u/83a106b1a10c23b2891aabceec43a873.html","web")</f>
        <v>0</v>
      </c>
      <c r="G390" s="0" t="s">
        <v>1128</v>
      </c>
      <c r="H390" s="0" t="s">
        <v>614</v>
      </c>
      <c r="I390" s="0" t="s">
        <v>1129</v>
      </c>
      <c r="J390" s="0" t="s">
        <v>1015</v>
      </c>
    </row>
    <row r="391" customFormat="false" ht="15" hidden="false" customHeight="false" outlineLevel="0" collapsed="false">
      <c r="A391" s="0" t="s">
        <v>1006</v>
      </c>
      <c r="B391" s="0" t="s">
        <v>1130</v>
      </c>
      <c r="C391" s="0" t="s">
        <v>12</v>
      </c>
      <c r="D391" s="0" t="s">
        <v>603</v>
      </c>
      <c r="E391" s="0" t="s">
        <v>1131</v>
      </c>
      <c r="F391" s="0" t="n">
        <f aca="false">HYPERLINK("http://clipc-services.ceda.ac.uk/dreq/u/4b34ac408326ab2ca7b58f2ac846f3e5.html","web")</f>
        <v>0</v>
      </c>
      <c r="G391" s="0" t="s">
        <v>1128</v>
      </c>
      <c r="H391" s="0" t="s">
        <v>614</v>
      </c>
      <c r="I391" s="0" t="s">
        <v>1129</v>
      </c>
      <c r="J391" s="0" t="s">
        <v>1015</v>
      </c>
    </row>
    <row r="392" customFormat="false" ht="15" hidden="false" customHeight="false" outlineLevel="0" collapsed="false">
      <c r="A392" s="0" t="s">
        <v>1006</v>
      </c>
      <c r="B392" s="0" t="s">
        <v>1132</v>
      </c>
      <c r="C392" s="0" t="s">
        <v>12</v>
      </c>
      <c r="D392" s="0" t="s">
        <v>55</v>
      </c>
      <c r="E392" s="0" t="s">
        <v>1133</v>
      </c>
      <c r="F392" s="0" t="n">
        <f aca="false">HYPERLINK("http://clipc-services.ceda.ac.uk/dreq/u/e6b31a1928879fcd3c92fe7b592f070e.html","web")</f>
        <v>0</v>
      </c>
      <c r="G392" s="0" t="s">
        <v>1134</v>
      </c>
      <c r="H392" s="0" t="s">
        <v>614</v>
      </c>
      <c r="I392" s="0" t="s">
        <v>1135</v>
      </c>
      <c r="J392" s="0" t="s">
        <v>1136</v>
      </c>
    </row>
    <row r="393" customFormat="false" ht="15" hidden="false" customHeight="false" outlineLevel="0" collapsed="false">
      <c r="A393" s="0" t="s">
        <v>1006</v>
      </c>
      <c r="B393" s="0" t="s">
        <v>1137</v>
      </c>
      <c r="C393" s="0" t="s">
        <v>12</v>
      </c>
      <c r="D393" s="0" t="s">
        <v>603</v>
      </c>
      <c r="E393" s="0" t="s">
        <v>1138</v>
      </c>
      <c r="F393" s="0" t="n">
        <f aca="false">HYPERLINK("http://clipc-services.ceda.ac.uk/dreq/u/e3fdfe758c0165caf74dcbb2531c83b3.html","web")</f>
        <v>0</v>
      </c>
      <c r="G393" s="0" t="s">
        <v>74</v>
      </c>
      <c r="H393" s="0" t="s">
        <v>75</v>
      </c>
      <c r="I393" s="0" t="s">
        <v>1139</v>
      </c>
      <c r="J393" s="0" t="s">
        <v>1140</v>
      </c>
    </row>
    <row r="394" customFormat="false" ht="15" hidden="false" customHeight="false" outlineLevel="0" collapsed="false">
      <c r="A394" s="0" t="s">
        <v>1006</v>
      </c>
      <c r="B394" s="0" t="s">
        <v>1141</v>
      </c>
      <c r="C394" s="0" t="s">
        <v>12</v>
      </c>
      <c r="D394" s="0" t="s">
        <v>603</v>
      </c>
      <c r="E394" s="0" t="s">
        <v>1142</v>
      </c>
      <c r="F394" s="0" t="n">
        <f aca="false">HYPERLINK("http://clipc-services.ceda.ac.uk/dreq/u/d63c4dd912d79edc6221c0e09da24a79.html","web")</f>
        <v>0</v>
      </c>
      <c r="G394" s="0" t="s">
        <v>74</v>
      </c>
      <c r="H394" s="0" t="s">
        <v>75</v>
      </c>
      <c r="I394" s="0" t="s">
        <v>1143</v>
      </c>
      <c r="J394" s="0" t="s">
        <v>1144</v>
      </c>
    </row>
    <row r="395" customFormat="false" ht="15" hidden="false" customHeight="false" outlineLevel="0" collapsed="false">
      <c r="A395" s="0" t="s">
        <v>1006</v>
      </c>
      <c r="B395" s="0" t="s">
        <v>1145</v>
      </c>
      <c r="C395" s="0" t="s">
        <v>12</v>
      </c>
      <c r="D395" s="0" t="s">
        <v>603</v>
      </c>
      <c r="E395" s="0" t="s">
        <v>1146</v>
      </c>
      <c r="F395" s="0" t="n">
        <f aca="false">HYPERLINK("http://clipc-services.ceda.ac.uk/dreq/u/dcecb293537e640a0bfc8f88a92967fe.html","web")</f>
        <v>0</v>
      </c>
      <c r="G395" s="0" t="s">
        <v>74</v>
      </c>
      <c r="H395" s="0" t="s">
        <v>75</v>
      </c>
      <c r="I395" s="0" t="s">
        <v>1147</v>
      </c>
      <c r="J395" s="0" t="s">
        <v>1148</v>
      </c>
    </row>
    <row r="396" customFormat="false" ht="15" hidden="false" customHeight="false" outlineLevel="0" collapsed="false">
      <c r="A396" s="0" t="s">
        <v>1006</v>
      </c>
      <c r="B396" s="0" t="s">
        <v>1149</v>
      </c>
      <c r="C396" s="0" t="s">
        <v>12</v>
      </c>
      <c r="D396" s="0" t="s">
        <v>603</v>
      </c>
      <c r="E396" s="0" t="s">
        <v>1150</v>
      </c>
      <c r="F396" s="0" t="n">
        <f aca="false">HYPERLINK("http://clipc-services.ceda.ac.uk/dreq/u/fe6ccf42-a41f-11e5-9025-ac72891c3257.html","web")</f>
        <v>0</v>
      </c>
      <c r="G396" s="0" t="s">
        <v>74</v>
      </c>
      <c r="H396" s="0" t="s">
        <v>75</v>
      </c>
      <c r="I396" s="0" t="s">
        <v>1151</v>
      </c>
      <c r="J396" s="0" t="s">
        <v>1027</v>
      </c>
    </row>
    <row r="397" customFormat="false" ht="15" hidden="false" customHeight="false" outlineLevel="0" collapsed="false">
      <c r="A397" s="0" t="s">
        <v>1006</v>
      </c>
      <c r="B397" s="0" t="s">
        <v>1152</v>
      </c>
      <c r="C397" s="0" t="s">
        <v>12</v>
      </c>
      <c r="D397" s="0" t="s">
        <v>603</v>
      </c>
      <c r="E397" s="0" t="s">
        <v>1153</v>
      </c>
      <c r="F397" s="0" t="n">
        <f aca="false">HYPERLINK("http://clipc-services.ceda.ac.uk/dreq/u/11619ca70c37ffd25d5b234c03ca4d4f.html","web")</f>
        <v>0</v>
      </c>
      <c r="G397" s="0" t="s">
        <v>74</v>
      </c>
      <c r="H397" s="0" t="s">
        <v>75</v>
      </c>
      <c r="I397" s="0" t="s">
        <v>1154</v>
      </c>
      <c r="J397" s="0" t="s">
        <v>1155</v>
      </c>
    </row>
    <row r="398" customFormat="false" ht="15" hidden="false" customHeight="false" outlineLevel="0" collapsed="false">
      <c r="A398" s="0" t="s">
        <v>1006</v>
      </c>
      <c r="B398" s="0" t="s">
        <v>1156</v>
      </c>
      <c r="C398" s="0" t="s">
        <v>12</v>
      </c>
      <c r="D398" s="0" t="s">
        <v>603</v>
      </c>
      <c r="E398" s="0" t="s">
        <v>1157</v>
      </c>
      <c r="F398" s="0" t="n">
        <f aca="false">HYPERLINK("http://clipc-services.ceda.ac.uk/dreq/u/79433cf8854f00ee833d6c2979fa5eb1.html","web")</f>
        <v>0</v>
      </c>
      <c r="G398" s="0" t="s">
        <v>74</v>
      </c>
      <c r="H398" s="0" t="s">
        <v>75</v>
      </c>
      <c r="I398" s="0" t="s">
        <v>1158</v>
      </c>
      <c r="J398" s="0" t="s">
        <v>1155</v>
      </c>
    </row>
    <row r="399" customFormat="false" ht="15" hidden="false" customHeight="false" outlineLevel="0" collapsed="false">
      <c r="A399" s="0" t="s">
        <v>1006</v>
      </c>
      <c r="B399" s="0" t="s">
        <v>1159</v>
      </c>
      <c r="C399" s="0" t="s">
        <v>12</v>
      </c>
      <c r="D399" s="0" t="s">
        <v>603</v>
      </c>
      <c r="E399" s="0" t="s">
        <v>1160</v>
      </c>
      <c r="F399" s="0" t="n">
        <f aca="false">HYPERLINK("http://clipc-services.ceda.ac.uk/dreq/u/e3e6208c3cf8ae5ac917ee971cb42e29.html","web")</f>
        <v>0</v>
      </c>
      <c r="G399" s="0" t="s">
        <v>74</v>
      </c>
      <c r="H399" s="0" t="s">
        <v>75</v>
      </c>
      <c r="I399" s="0" t="s">
        <v>1161</v>
      </c>
      <c r="J399" s="0" t="s">
        <v>1015</v>
      </c>
    </row>
    <row r="400" customFormat="false" ht="15" hidden="false" customHeight="false" outlineLevel="0" collapsed="false">
      <c r="A400" s="0" t="s">
        <v>1006</v>
      </c>
      <c r="B400" s="0" t="s">
        <v>1162</v>
      </c>
      <c r="C400" s="0" t="s">
        <v>12</v>
      </c>
      <c r="D400" s="0" t="s">
        <v>603</v>
      </c>
      <c r="E400" s="0" t="s">
        <v>1163</v>
      </c>
      <c r="F400" s="0" t="n">
        <f aca="false">HYPERLINK("http://clipc-services.ceda.ac.uk/dreq/u/6aee2e2f22bb5a7a9aee1f88926dfd92.html","web")</f>
        <v>0</v>
      </c>
      <c r="G400" s="0" t="s">
        <v>74</v>
      </c>
      <c r="H400" s="0" t="s">
        <v>75</v>
      </c>
      <c r="I400" s="0" t="s">
        <v>1164</v>
      </c>
      <c r="J400" s="0" t="s">
        <v>1015</v>
      </c>
    </row>
    <row r="401" customFormat="false" ht="15" hidden="false" customHeight="false" outlineLevel="0" collapsed="false">
      <c r="A401" s="0" t="s">
        <v>1006</v>
      </c>
      <c r="B401" s="0" t="s">
        <v>1165</v>
      </c>
      <c r="C401" s="0" t="s">
        <v>12</v>
      </c>
      <c r="D401" s="0" t="s">
        <v>603</v>
      </c>
      <c r="E401" s="0" t="s">
        <v>1166</v>
      </c>
      <c r="F401" s="0" t="n">
        <f aca="false">HYPERLINK("http://clipc-services.ceda.ac.uk/dreq/u/4ff3e42362266bd75ad3bcfc785465a3.html","web")</f>
        <v>0</v>
      </c>
      <c r="G401" s="0" t="s">
        <v>74</v>
      </c>
      <c r="H401" s="0" t="s">
        <v>75</v>
      </c>
      <c r="I401" s="0" t="s">
        <v>1167</v>
      </c>
      <c r="J401" s="0" t="s">
        <v>1015</v>
      </c>
    </row>
    <row r="402" customFormat="false" ht="15" hidden="false" customHeight="false" outlineLevel="0" collapsed="false">
      <c r="A402" s="0" t="s">
        <v>1006</v>
      </c>
      <c r="B402" s="0" t="s">
        <v>1168</v>
      </c>
      <c r="C402" s="0" t="s">
        <v>12</v>
      </c>
      <c r="D402" s="0" t="s">
        <v>603</v>
      </c>
      <c r="E402" s="0" t="s">
        <v>1169</v>
      </c>
      <c r="F402" s="0" t="n">
        <f aca="false">HYPERLINK("http://clipc-services.ceda.ac.uk/dreq/u/fe6ca6e8-a41f-11e5-9025-ac72891c3257.html","web")</f>
        <v>0</v>
      </c>
      <c r="G402" s="0" t="s">
        <v>74</v>
      </c>
      <c r="H402" s="0" t="s">
        <v>75</v>
      </c>
      <c r="I402" s="0" t="s">
        <v>1170</v>
      </c>
      <c r="J402" s="0" t="s">
        <v>1144</v>
      </c>
    </row>
    <row r="403" customFormat="false" ht="15" hidden="false" customHeight="false" outlineLevel="0" collapsed="false">
      <c r="A403" s="0" t="s">
        <v>1006</v>
      </c>
      <c r="B403" s="0" t="s">
        <v>1171</v>
      </c>
      <c r="C403" s="0" t="s">
        <v>12</v>
      </c>
      <c r="D403" s="0" t="s">
        <v>603</v>
      </c>
      <c r="E403" s="0" t="s">
        <v>1172</v>
      </c>
      <c r="F403" s="0" t="n">
        <f aca="false">HYPERLINK("http://clipc-services.ceda.ac.uk/dreq/u/8c58644da8e357d61b70eac2a0afb4f9.html","web")</f>
        <v>0</v>
      </c>
      <c r="G403" s="0" t="s">
        <v>74</v>
      </c>
      <c r="H403" s="0" t="s">
        <v>75</v>
      </c>
      <c r="I403" s="0" t="s">
        <v>1173</v>
      </c>
      <c r="J403" s="0" t="s">
        <v>1155</v>
      </c>
    </row>
    <row r="404" customFormat="false" ht="15" hidden="false" customHeight="false" outlineLevel="0" collapsed="false">
      <c r="A404" s="0" t="s">
        <v>1006</v>
      </c>
      <c r="B404" s="0" t="s">
        <v>1174</v>
      </c>
      <c r="C404" s="0" t="s">
        <v>12</v>
      </c>
      <c r="D404" s="0" t="s">
        <v>603</v>
      </c>
      <c r="E404" s="0" t="s">
        <v>1175</v>
      </c>
      <c r="F404" s="0" t="n">
        <f aca="false">HYPERLINK("http://clipc-services.ceda.ac.uk/dreq/u/5980f8e283fd4709e4542c0652756dc1.html","web")</f>
        <v>0</v>
      </c>
      <c r="G404" s="0" t="s">
        <v>74</v>
      </c>
      <c r="H404" s="0" t="s">
        <v>75</v>
      </c>
      <c r="I404" s="0" t="s">
        <v>1176</v>
      </c>
      <c r="J404" s="0" t="s">
        <v>1148</v>
      </c>
    </row>
    <row r="405" customFormat="false" ht="15" hidden="false" customHeight="false" outlineLevel="0" collapsed="false">
      <c r="A405" s="0" t="s">
        <v>1006</v>
      </c>
      <c r="B405" s="0" t="s">
        <v>1177</v>
      </c>
      <c r="C405" s="0" t="s">
        <v>12</v>
      </c>
      <c r="D405" s="0" t="s">
        <v>603</v>
      </c>
      <c r="E405" s="0" t="s">
        <v>1178</v>
      </c>
      <c r="F405" s="0" t="n">
        <f aca="false">HYPERLINK("http://clipc-services.ceda.ac.uk/dreq/u/97bf948c-b896-11e6-a189-5404a60d96b5.html","web")</f>
        <v>0</v>
      </c>
      <c r="G405" s="0" t="s">
        <v>74</v>
      </c>
      <c r="H405" s="0" t="s">
        <v>75</v>
      </c>
      <c r="I405" s="0" t="s">
        <v>1179</v>
      </c>
      <c r="J405" s="0" t="s">
        <v>1015</v>
      </c>
    </row>
    <row r="406" customFormat="false" ht="15" hidden="false" customHeight="false" outlineLevel="0" collapsed="false">
      <c r="A406" s="0" t="s">
        <v>1006</v>
      </c>
      <c r="B406" s="0" t="s">
        <v>1180</v>
      </c>
      <c r="C406" s="0" t="s">
        <v>12</v>
      </c>
      <c r="D406" s="0" t="s">
        <v>603</v>
      </c>
      <c r="E406" s="0" t="s">
        <v>1181</v>
      </c>
      <c r="F406" s="0" t="n">
        <f aca="false">HYPERLINK("http://clipc-services.ceda.ac.uk/dreq/u/fe6ce54a-a41f-11e5-9025-ac72891c3257.html","web")</f>
        <v>0</v>
      </c>
      <c r="G406" s="0" t="s">
        <v>74</v>
      </c>
      <c r="H406" s="0" t="s">
        <v>75</v>
      </c>
      <c r="I406" s="0" t="s">
        <v>968</v>
      </c>
      <c r="J406" s="0" t="s">
        <v>1015</v>
      </c>
    </row>
    <row r="407" customFormat="false" ht="15" hidden="false" customHeight="false" outlineLevel="0" collapsed="false">
      <c r="A407" s="0" t="s">
        <v>1006</v>
      </c>
      <c r="B407" s="0" t="s">
        <v>1182</v>
      </c>
      <c r="C407" s="0" t="s">
        <v>12</v>
      </c>
      <c r="D407" s="0" t="s">
        <v>603</v>
      </c>
      <c r="E407" s="0" t="s">
        <v>1183</v>
      </c>
      <c r="F407" s="0" t="n">
        <f aca="false">HYPERLINK("http://clipc-services.ceda.ac.uk/dreq/u/648f83bb87b09bb8c24aaf82bf3c9aef.html","web")</f>
        <v>0</v>
      </c>
      <c r="G407" s="0" t="s">
        <v>74</v>
      </c>
      <c r="H407" s="0" t="s">
        <v>75</v>
      </c>
      <c r="I407" s="0" t="s">
        <v>968</v>
      </c>
      <c r="J407" s="0" t="s">
        <v>1015</v>
      </c>
    </row>
    <row r="408" customFormat="false" ht="15" hidden="false" customHeight="false" outlineLevel="0" collapsed="false">
      <c r="A408" s="0" t="s">
        <v>1006</v>
      </c>
      <c r="B408" s="0" t="s">
        <v>965</v>
      </c>
      <c r="C408" s="0" t="s">
        <v>12</v>
      </c>
      <c r="D408" s="0" t="s">
        <v>603</v>
      </c>
      <c r="E408" s="0" t="s">
        <v>1184</v>
      </c>
      <c r="F408" s="0" t="n">
        <f aca="false">HYPERLINK("http://clipc-services.ceda.ac.uk/dreq/u/1d4594c97188efd47935238a429e02e4.html","web")</f>
        <v>0</v>
      </c>
      <c r="G408" s="0" t="s">
        <v>74</v>
      </c>
      <c r="H408" s="0" t="s">
        <v>75</v>
      </c>
      <c r="I408" s="0" t="s">
        <v>968</v>
      </c>
      <c r="J408" s="0" t="s">
        <v>1015</v>
      </c>
    </row>
    <row r="409" customFormat="false" ht="15" hidden="false" customHeight="false" outlineLevel="0" collapsed="false">
      <c r="A409" s="0" t="s">
        <v>1006</v>
      </c>
      <c r="B409" s="0" t="s">
        <v>1185</v>
      </c>
      <c r="C409" s="0" t="s">
        <v>12</v>
      </c>
      <c r="D409" s="0" t="s">
        <v>603</v>
      </c>
      <c r="E409" s="0" t="s">
        <v>1186</v>
      </c>
      <c r="F409" s="0" t="n">
        <f aca="false">HYPERLINK("http://clipc-services.ceda.ac.uk/dreq/u/8f702d9afa69b3f0e0fb2a64470e12d8.html","web")</f>
        <v>0</v>
      </c>
      <c r="G409" s="0" t="s">
        <v>1128</v>
      </c>
      <c r="H409" s="0" t="s">
        <v>614</v>
      </c>
      <c r="I409" s="0" t="s">
        <v>1187</v>
      </c>
      <c r="J409" s="0" t="s">
        <v>1015</v>
      </c>
    </row>
    <row r="410" customFormat="false" ht="15" hidden="false" customHeight="false" outlineLevel="0" collapsed="false">
      <c r="A410" s="0" t="s">
        <v>1006</v>
      </c>
      <c r="B410" s="0" t="s">
        <v>1188</v>
      </c>
      <c r="C410" s="0" t="s">
        <v>12</v>
      </c>
      <c r="D410" s="0" t="s">
        <v>603</v>
      </c>
      <c r="E410" s="0" t="s">
        <v>1189</v>
      </c>
      <c r="F410" s="0" t="n">
        <f aca="false">HYPERLINK("http://clipc-services.ceda.ac.uk/dreq/u/9799d95c5c691eec9bb4c1bf9b050191.html","web")</f>
        <v>0</v>
      </c>
      <c r="G410" s="0" t="s">
        <v>1128</v>
      </c>
      <c r="H410" s="0" t="s">
        <v>614</v>
      </c>
      <c r="I410" s="0" t="s">
        <v>1190</v>
      </c>
      <c r="J410" s="0" t="s">
        <v>1015</v>
      </c>
    </row>
    <row r="411" customFormat="false" ht="15" hidden="false" customHeight="false" outlineLevel="0" collapsed="false">
      <c r="A411" s="0" t="s">
        <v>1006</v>
      </c>
      <c r="B411" s="0" t="s">
        <v>1191</v>
      </c>
      <c r="C411" s="0" t="s">
        <v>12</v>
      </c>
      <c r="D411" s="0" t="s">
        <v>603</v>
      </c>
      <c r="E411" s="0" t="s">
        <v>1184</v>
      </c>
      <c r="F411" s="0" t="n">
        <f aca="false">HYPERLINK("http://clipc-services.ceda.ac.uk/dreq/u/218a6b28-8995-11e6-b63d-5404a60d96b5.html","web")</f>
        <v>0</v>
      </c>
      <c r="G411" s="0" t="s">
        <v>74</v>
      </c>
      <c r="H411" s="0" t="s">
        <v>1118</v>
      </c>
      <c r="I411" s="0" t="s">
        <v>1192</v>
      </c>
      <c r="J411" s="0" t="s">
        <v>1015</v>
      </c>
    </row>
    <row r="412" customFormat="false" ht="15" hidden="false" customHeight="false" outlineLevel="0" collapsed="false">
      <c r="A412" s="0" t="s">
        <v>1006</v>
      </c>
      <c r="B412" s="0" t="s">
        <v>1193</v>
      </c>
      <c r="C412" s="0" t="s">
        <v>12</v>
      </c>
      <c r="D412" s="0" t="s">
        <v>55</v>
      </c>
      <c r="E412" s="0" t="s">
        <v>1194</v>
      </c>
      <c r="F412" s="0" t="n">
        <f aca="false">HYPERLINK("http://clipc-services.ceda.ac.uk/dreq/u/c5331238e635e9c913da1eb247859206.html","web")</f>
        <v>0</v>
      </c>
      <c r="G412" s="0" t="s">
        <v>74</v>
      </c>
      <c r="H412" s="0" t="s">
        <v>75</v>
      </c>
      <c r="I412" s="0" t="s">
        <v>1195</v>
      </c>
      <c r="J412" s="0" t="s">
        <v>1196</v>
      </c>
    </row>
    <row r="413" customFormat="false" ht="15" hidden="false" customHeight="false" outlineLevel="0" collapsed="false">
      <c r="A413" s="0" t="s">
        <v>1006</v>
      </c>
      <c r="B413" s="0" t="s">
        <v>1197</v>
      </c>
      <c r="C413" s="0" t="s">
        <v>12</v>
      </c>
      <c r="D413" s="0" t="s">
        <v>1008</v>
      </c>
      <c r="E413" s="0" t="s">
        <v>1198</v>
      </c>
      <c r="F413" s="0" t="n">
        <f aca="false">HYPERLINK("http://clipc-services.ceda.ac.uk/dreq/u/8f2fb9e812c26ee6cb8d9673e09d2644.html","web")</f>
        <v>0</v>
      </c>
      <c r="G413" s="0" t="s">
        <v>74</v>
      </c>
      <c r="H413" s="0" t="s">
        <v>75</v>
      </c>
      <c r="I413" s="0" t="s">
        <v>1199</v>
      </c>
      <c r="J413" s="0" t="s">
        <v>1011</v>
      </c>
    </row>
    <row r="414" customFormat="false" ht="15" hidden="false" customHeight="false" outlineLevel="0" collapsed="false">
      <c r="A414" s="0" t="s">
        <v>1006</v>
      </c>
      <c r="B414" s="0" t="s">
        <v>1200</v>
      </c>
      <c r="C414" s="0" t="s">
        <v>12</v>
      </c>
      <c r="D414" s="0" t="s">
        <v>1008</v>
      </c>
      <c r="E414" s="0" t="s">
        <v>1201</v>
      </c>
      <c r="F414" s="0" t="n">
        <f aca="false">HYPERLINK("http://clipc-services.ceda.ac.uk/dreq/u/3a9ddc45d480891285324a10ce98bc62.html","web")</f>
        <v>0</v>
      </c>
      <c r="G414" s="0" t="s">
        <v>74</v>
      </c>
      <c r="H414" s="0" t="s">
        <v>75</v>
      </c>
      <c r="I414" s="0" t="s">
        <v>1202</v>
      </c>
      <c r="J414" s="0" t="s">
        <v>1196</v>
      </c>
    </row>
    <row r="415" customFormat="false" ht="15" hidden="false" customHeight="false" outlineLevel="0" collapsed="false">
      <c r="A415" s="0" t="s">
        <v>1006</v>
      </c>
      <c r="B415" s="0" t="s">
        <v>1203</v>
      </c>
      <c r="C415" s="0" t="s">
        <v>12</v>
      </c>
      <c r="D415" s="0" t="s">
        <v>1008</v>
      </c>
      <c r="E415" s="0" t="s">
        <v>1204</v>
      </c>
      <c r="F415" s="0" t="n">
        <f aca="false">HYPERLINK("http://clipc-services.ceda.ac.uk/dreq/u/15f4ad18bed7c35304209c651ef3758a.html","web")</f>
        <v>0</v>
      </c>
      <c r="G415" s="0" t="s">
        <v>74</v>
      </c>
      <c r="H415" s="0" t="s">
        <v>75</v>
      </c>
      <c r="I415" s="0" t="s">
        <v>1205</v>
      </c>
      <c r="J415" s="0" t="s">
        <v>1196</v>
      </c>
    </row>
    <row r="416" customFormat="false" ht="15" hidden="false" customHeight="false" outlineLevel="0" collapsed="false">
      <c r="A416" s="0" t="s">
        <v>1006</v>
      </c>
      <c r="B416" s="0" t="s">
        <v>1206</v>
      </c>
      <c r="C416" s="0" t="s">
        <v>12</v>
      </c>
      <c r="D416" s="0" t="s">
        <v>1008</v>
      </c>
      <c r="E416" s="0" t="s">
        <v>1198</v>
      </c>
      <c r="F416" s="0" t="n">
        <f aca="false">HYPERLINK("http://clipc-services.ceda.ac.uk/dreq/u/c9a72dd6-c5f0-11e6-ac20-5404a60d96b5.html","web")</f>
        <v>0</v>
      </c>
      <c r="G416" s="0" t="s">
        <v>74</v>
      </c>
      <c r="H416" s="0" t="s">
        <v>75</v>
      </c>
      <c r="I416" s="0" t="s">
        <v>1207</v>
      </c>
      <c r="J416" s="0" t="s">
        <v>1016</v>
      </c>
    </row>
    <row r="417" customFormat="false" ht="15" hidden="false" customHeight="false" outlineLevel="0" collapsed="false">
      <c r="A417" s="0" t="s">
        <v>1006</v>
      </c>
      <c r="B417" s="0" t="s">
        <v>1208</v>
      </c>
      <c r="C417" s="0" t="s">
        <v>12</v>
      </c>
      <c r="D417" s="0" t="s">
        <v>1008</v>
      </c>
      <c r="E417" s="0" t="s">
        <v>1209</v>
      </c>
      <c r="F417" s="0" t="n">
        <f aca="false">HYPERLINK("http://clipc-services.ceda.ac.uk/dreq/u/6bc406259290f4e4beaaaf960455d779.html","web")</f>
        <v>0</v>
      </c>
      <c r="G417" s="0" t="s">
        <v>74</v>
      </c>
      <c r="H417" s="0" t="s">
        <v>75</v>
      </c>
      <c r="I417" s="0" t="s">
        <v>1210</v>
      </c>
      <c r="J417" s="0" t="s">
        <v>1211</v>
      </c>
    </row>
    <row r="418" customFormat="false" ht="15" hidden="false" customHeight="false" outlineLevel="0" collapsed="false">
      <c r="A418" s="0" t="s">
        <v>1006</v>
      </c>
      <c r="B418" s="0" t="s">
        <v>1212</v>
      </c>
      <c r="C418" s="0" t="s">
        <v>12</v>
      </c>
      <c r="D418" s="0" t="s">
        <v>1008</v>
      </c>
      <c r="E418" s="0" t="s">
        <v>1213</v>
      </c>
      <c r="F418" s="0" t="n">
        <f aca="false">HYPERLINK("http://clipc-services.ceda.ac.uk/dreq/u/05aec7fe79d030ffc90a089a6a60b0f2.html","web")</f>
        <v>0</v>
      </c>
      <c r="G418" s="0" t="s">
        <v>74</v>
      </c>
      <c r="H418" s="0" t="s">
        <v>75</v>
      </c>
      <c r="I418" s="0" t="s">
        <v>1214</v>
      </c>
      <c r="J418" s="0" t="s">
        <v>1215</v>
      </c>
    </row>
    <row r="419" customFormat="false" ht="15" hidden="false" customHeight="false" outlineLevel="0" collapsed="false">
      <c r="A419" s="0" t="s">
        <v>1006</v>
      </c>
      <c r="B419" s="0" t="s">
        <v>1216</v>
      </c>
      <c r="C419" s="0" t="s">
        <v>12</v>
      </c>
      <c r="D419" s="0" t="s">
        <v>1008</v>
      </c>
      <c r="E419" s="0" t="s">
        <v>1217</v>
      </c>
      <c r="F419" s="0" t="n">
        <f aca="false">HYPERLINK("http://clipc-services.ceda.ac.uk/dreq/u/9e383b9714070f2b9f44effca08f50ac.html","web")</f>
        <v>0</v>
      </c>
      <c r="G419" s="0" t="s">
        <v>74</v>
      </c>
      <c r="H419" s="0" t="s">
        <v>75</v>
      </c>
      <c r="I419" s="0" t="s">
        <v>1218</v>
      </c>
      <c r="J419" s="0" t="s">
        <v>1196</v>
      </c>
    </row>
    <row r="420" customFormat="false" ht="15" hidden="false" customHeight="false" outlineLevel="0" collapsed="false">
      <c r="A420" s="0" t="s">
        <v>1006</v>
      </c>
      <c r="B420" s="0" t="s">
        <v>1219</v>
      </c>
      <c r="C420" s="0" t="s">
        <v>12</v>
      </c>
      <c r="D420" s="0" t="s">
        <v>1008</v>
      </c>
      <c r="E420" s="0" t="s">
        <v>1220</v>
      </c>
      <c r="F420" s="0" t="n">
        <f aca="false">HYPERLINK("http://clipc-services.ceda.ac.uk/dreq/u/88dbb9df33c0581eefa084932d25ad0a.html","web")</f>
        <v>0</v>
      </c>
      <c r="G420" s="0" t="s">
        <v>74</v>
      </c>
      <c r="H420" s="0" t="s">
        <v>75</v>
      </c>
      <c r="I420" s="0" t="s">
        <v>1221</v>
      </c>
      <c r="J420" s="0" t="s">
        <v>1196</v>
      </c>
    </row>
    <row r="421" customFormat="false" ht="15" hidden="false" customHeight="false" outlineLevel="0" collapsed="false">
      <c r="A421" s="0" t="s">
        <v>1006</v>
      </c>
      <c r="B421" s="0" t="s">
        <v>1222</v>
      </c>
      <c r="C421" s="0" t="s">
        <v>12</v>
      </c>
      <c r="D421" s="0" t="s">
        <v>1008</v>
      </c>
      <c r="E421" s="0" t="s">
        <v>1223</v>
      </c>
      <c r="F421" s="0" t="n">
        <f aca="false">HYPERLINK("http://clipc-services.ceda.ac.uk/dreq/u/b9ca453bfa3c606401892e5768ca7d6c.html","web")</f>
        <v>0</v>
      </c>
      <c r="G421" s="0" t="s">
        <v>74</v>
      </c>
      <c r="H421" s="0" t="s">
        <v>75</v>
      </c>
      <c r="I421" s="0" t="s">
        <v>1224</v>
      </c>
      <c r="J421" s="0" t="s">
        <v>1211</v>
      </c>
    </row>
    <row r="422" customFormat="false" ht="15" hidden="false" customHeight="false" outlineLevel="0" collapsed="false">
      <c r="A422" s="0" t="s">
        <v>1006</v>
      </c>
      <c r="B422" s="0" t="s">
        <v>1225</v>
      </c>
      <c r="C422" s="0" t="s">
        <v>12</v>
      </c>
      <c r="D422" s="0" t="s">
        <v>1008</v>
      </c>
      <c r="E422" s="0" t="s">
        <v>1226</v>
      </c>
      <c r="F422" s="0" t="n">
        <f aca="false">HYPERLINK("http://clipc-services.ceda.ac.uk/dreq/u/c682767d841fcdb714a3914519fabf93.html","web")</f>
        <v>0</v>
      </c>
      <c r="G422" s="0" t="s">
        <v>74</v>
      </c>
      <c r="H422" s="0" t="s">
        <v>75</v>
      </c>
      <c r="I422" s="0" t="s">
        <v>1227</v>
      </c>
      <c r="J422" s="0" t="s">
        <v>1196</v>
      </c>
    </row>
    <row r="423" customFormat="false" ht="15" hidden="false" customHeight="false" outlineLevel="0" collapsed="false">
      <c r="A423" s="0" t="s">
        <v>1006</v>
      </c>
      <c r="B423" s="0" t="s">
        <v>1228</v>
      </c>
      <c r="C423" s="0" t="s">
        <v>12</v>
      </c>
      <c r="D423" s="0" t="s">
        <v>1008</v>
      </c>
      <c r="E423" s="0" t="s">
        <v>1229</v>
      </c>
      <c r="F423" s="0" t="n">
        <f aca="false">HYPERLINK("http://clipc-services.ceda.ac.uk/dreq/u/a4105b51d498d46985677801436e7649.html","web")</f>
        <v>0</v>
      </c>
      <c r="G423" s="0" t="s">
        <v>74</v>
      </c>
      <c r="H423" s="0" t="s">
        <v>75</v>
      </c>
      <c r="I423" s="0" t="s">
        <v>1230</v>
      </c>
      <c r="J423" s="0" t="s">
        <v>1196</v>
      </c>
    </row>
    <row r="424" customFormat="false" ht="15" hidden="false" customHeight="false" outlineLevel="0" collapsed="false">
      <c r="A424" s="0" t="s">
        <v>1006</v>
      </c>
      <c r="B424" s="0" t="s">
        <v>1231</v>
      </c>
      <c r="C424" s="0" t="s">
        <v>12</v>
      </c>
      <c r="D424" s="0" t="s">
        <v>55</v>
      </c>
      <c r="E424" s="0" t="s">
        <v>1232</v>
      </c>
      <c r="F424" s="0" t="n">
        <f aca="false">HYPERLINK("http://clipc-services.ceda.ac.uk/dreq/u/0a9c3f8ff6151a5baa8bb93d5a1fa090.html","web")</f>
        <v>0</v>
      </c>
      <c r="G424" s="0" t="s">
        <v>74</v>
      </c>
      <c r="H424" s="0" t="s">
        <v>75</v>
      </c>
      <c r="I424" s="0" t="s">
        <v>1233</v>
      </c>
      <c r="J424" s="0" t="s">
        <v>1016</v>
      </c>
    </row>
    <row r="425" customFormat="false" ht="15" hidden="false" customHeight="false" outlineLevel="0" collapsed="false">
      <c r="A425" s="0" t="s">
        <v>1006</v>
      </c>
      <c r="B425" s="0" t="s">
        <v>1234</v>
      </c>
      <c r="C425" s="0" t="s">
        <v>12</v>
      </c>
      <c r="D425" s="0" t="s">
        <v>603</v>
      </c>
      <c r="E425" s="0" t="s">
        <v>1235</v>
      </c>
      <c r="F425" s="0" t="n">
        <f aca="false">HYPERLINK("http://clipc-services.ceda.ac.uk/dreq/u/609d47152c2ed8122caa2528117aff9a.html","web")</f>
        <v>0</v>
      </c>
      <c r="G425" s="0" t="s">
        <v>74</v>
      </c>
      <c r="H425" s="0" t="s">
        <v>75</v>
      </c>
      <c r="I425" s="0" t="s">
        <v>968</v>
      </c>
      <c r="J425" s="0" t="s">
        <v>1015</v>
      </c>
    </row>
    <row r="426" customFormat="false" ht="15" hidden="false" customHeight="false" outlineLevel="0" collapsed="false">
      <c r="A426" s="0" t="s">
        <v>1006</v>
      </c>
      <c r="B426" s="0" t="s">
        <v>1236</v>
      </c>
      <c r="C426" s="0" t="s">
        <v>12</v>
      </c>
      <c r="D426" s="0" t="s">
        <v>603</v>
      </c>
      <c r="E426" s="0" t="s">
        <v>1237</v>
      </c>
      <c r="F426" s="0" t="n">
        <f aca="false">HYPERLINK("http://clipc-services.ceda.ac.uk/dreq/u/586c3879af2023a43fd12c2e0a64b6af.html","web")</f>
        <v>0</v>
      </c>
      <c r="G426" s="0" t="s">
        <v>74</v>
      </c>
      <c r="H426" s="0" t="s">
        <v>75</v>
      </c>
      <c r="I426" s="0" t="s">
        <v>968</v>
      </c>
      <c r="J426" s="0" t="s">
        <v>1015</v>
      </c>
    </row>
    <row r="427" customFormat="false" ht="15" hidden="false" customHeight="false" outlineLevel="0" collapsed="false">
      <c r="A427" s="0" t="s">
        <v>1006</v>
      </c>
      <c r="B427" s="0" t="s">
        <v>242</v>
      </c>
      <c r="C427" s="0" t="s">
        <v>12</v>
      </c>
      <c r="D427" s="0" t="s">
        <v>243</v>
      </c>
      <c r="E427" s="0" t="s">
        <v>244</v>
      </c>
      <c r="F427" s="0" t="n">
        <f aca="false">HYPERLINK("http://clipc-services.ceda.ac.uk/dreq/u/154ab10964742eaff37de9cc5beef39c.html","web")</f>
        <v>0</v>
      </c>
      <c r="G427" s="0" t="s">
        <v>74</v>
      </c>
      <c r="H427" s="0" t="s">
        <v>75</v>
      </c>
      <c r="I427" s="0" t="s">
        <v>245</v>
      </c>
      <c r="J427" s="0" t="s">
        <v>1238</v>
      </c>
    </row>
    <row r="428" customFormat="false" ht="15" hidden="false" customHeight="false" outlineLevel="0" collapsed="false">
      <c r="A428" s="0" t="s">
        <v>1006</v>
      </c>
      <c r="B428" s="0" t="s">
        <v>1239</v>
      </c>
      <c r="C428" s="0" t="s">
        <v>12</v>
      </c>
      <c r="D428" s="0" t="s">
        <v>55</v>
      </c>
      <c r="E428" s="0" t="s">
        <v>1240</v>
      </c>
      <c r="F428" s="0" t="n">
        <f aca="false">HYPERLINK("http://clipc-services.ceda.ac.uk/dreq/u/1562cba76e80f37d1c133ccd079fa715.html","web")</f>
        <v>0</v>
      </c>
      <c r="G428" s="0" t="s">
        <v>74</v>
      </c>
      <c r="H428" s="0" t="s">
        <v>75</v>
      </c>
      <c r="I428" s="0" t="s">
        <v>1241</v>
      </c>
      <c r="J428" s="0" t="s">
        <v>1016</v>
      </c>
    </row>
    <row r="429" customFormat="false" ht="15" hidden="false" customHeight="false" outlineLevel="0" collapsed="false">
      <c r="A429" s="0" t="s">
        <v>1006</v>
      </c>
      <c r="B429" s="0" t="s">
        <v>1242</v>
      </c>
      <c r="C429" s="0" t="s">
        <v>12</v>
      </c>
      <c r="D429" s="0" t="s">
        <v>55</v>
      </c>
      <c r="E429" s="0" t="s">
        <v>1243</v>
      </c>
      <c r="F429" s="0" t="n">
        <f aca="false">HYPERLINK("http://clipc-services.ceda.ac.uk/dreq/u/c9a640b0-c5f0-11e6-ac20-5404a60d96b5.html","web")</f>
        <v>0</v>
      </c>
      <c r="G429" s="0" t="s">
        <v>1244</v>
      </c>
      <c r="H429" s="0" t="s">
        <v>614</v>
      </c>
      <c r="I429" s="0" t="s">
        <v>1245</v>
      </c>
      <c r="J429" s="0" t="s">
        <v>1016</v>
      </c>
    </row>
    <row r="430" customFormat="false" ht="15" hidden="false" customHeight="false" outlineLevel="0" collapsed="false">
      <c r="A430" s="0" t="s">
        <v>1006</v>
      </c>
      <c r="B430" s="0" t="s">
        <v>1246</v>
      </c>
      <c r="C430" s="0" t="s">
        <v>12</v>
      </c>
      <c r="D430" s="0" t="s">
        <v>55</v>
      </c>
      <c r="E430" s="0" t="s">
        <v>1247</v>
      </c>
      <c r="F430" s="0" t="n">
        <f aca="false">HYPERLINK("http://clipc-services.ceda.ac.uk/dreq/u/c9a673b4-c5f0-11e6-ac20-5404a60d96b5.html","web")</f>
        <v>0</v>
      </c>
      <c r="G430" s="0" t="s">
        <v>1248</v>
      </c>
      <c r="H430" s="0" t="s">
        <v>614</v>
      </c>
      <c r="I430" s="0" t="s">
        <v>1249</v>
      </c>
      <c r="J430" s="0" t="s">
        <v>1016</v>
      </c>
    </row>
    <row r="431" customFormat="false" ht="15" hidden="false" customHeight="false" outlineLevel="0" collapsed="false">
      <c r="A431" s="0" t="s">
        <v>1006</v>
      </c>
      <c r="B431" s="0" t="s">
        <v>1250</v>
      </c>
      <c r="C431" s="0" t="s">
        <v>12</v>
      </c>
      <c r="D431" s="0" t="s">
        <v>55</v>
      </c>
      <c r="E431" s="0" t="s">
        <v>1251</v>
      </c>
      <c r="F431" s="0" t="n">
        <f aca="false">HYPERLINK("http://clipc-services.ceda.ac.uk/dreq/u/c9a56fd2-c5f0-11e6-ac20-5404a60d96b5.html","web")</f>
        <v>0</v>
      </c>
      <c r="G431" s="0" t="s">
        <v>1252</v>
      </c>
      <c r="H431" s="0" t="s">
        <v>614</v>
      </c>
      <c r="I431" s="0" t="s">
        <v>1253</v>
      </c>
      <c r="J431" s="0" t="s">
        <v>1072</v>
      </c>
    </row>
    <row r="432" customFormat="false" ht="15" hidden="false" customHeight="false" outlineLevel="0" collapsed="false">
      <c r="A432" s="0" t="s">
        <v>1006</v>
      </c>
      <c r="B432" s="0" t="s">
        <v>1254</v>
      </c>
      <c r="C432" s="0" t="s">
        <v>12</v>
      </c>
      <c r="D432" s="0" t="s">
        <v>55</v>
      </c>
      <c r="E432" s="0" t="s">
        <v>1255</v>
      </c>
      <c r="F432" s="0" t="n">
        <f aca="false">HYPERLINK("http://clipc-services.ceda.ac.uk/dreq/u/c9a70b4e-c5f0-11e6-ac20-5404a60d96b5.html","web")</f>
        <v>0</v>
      </c>
      <c r="G432" s="0" t="s">
        <v>1252</v>
      </c>
      <c r="H432" s="0" t="s">
        <v>614</v>
      </c>
      <c r="I432" s="0" t="s">
        <v>1256</v>
      </c>
      <c r="J432" s="0" t="s">
        <v>1072</v>
      </c>
    </row>
    <row r="433" customFormat="false" ht="15" hidden="false" customHeight="false" outlineLevel="0" collapsed="false">
      <c r="A433" s="0" t="s">
        <v>1006</v>
      </c>
      <c r="B433" s="0" t="s">
        <v>1257</v>
      </c>
      <c r="C433" s="0" t="s">
        <v>12</v>
      </c>
      <c r="D433" s="0" t="s">
        <v>603</v>
      </c>
      <c r="E433" s="0" t="s">
        <v>1258</v>
      </c>
      <c r="F433" s="0" t="n">
        <f aca="false">HYPERLINK("http://clipc-services.ceda.ac.uk/dreq/u/8b3a5d37fefe0337625c64455cea4e80.html","web")</f>
        <v>0</v>
      </c>
      <c r="G433" s="0" t="s">
        <v>74</v>
      </c>
      <c r="H433" s="0" t="s">
        <v>75</v>
      </c>
      <c r="I433" s="0" t="s">
        <v>968</v>
      </c>
      <c r="J433" s="0" t="s">
        <v>1259</v>
      </c>
    </row>
    <row r="434" customFormat="false" ht="15" hidden="false" customHeight="false" outlineLevel="0" collapsed="false">
      <c r="A434" s="0" t="s">
        <v>1006</v>
      </c>
      <c r="B434" s="0" t="s">
        <v>1260</v>
      </c>
      <c r="C434" s="0" t="s">
        <v>12</v>
      </c>
      <c r="D434" s="0" t="s">
        <v>55</v>
      </c>
      <c r="E434" s="0" t="s">
        <v>1261</v>
      </c>
      <c r="F434" s="0" t="n">
        <f aca="false">HYPERLINK("http://clipc-services.ceda.ac.uk/dreq/u/cff597224d260da1a1c769aab1bbea9d.html","web")</f>
        <v>0</v>
      </c>
      <c r="G434" s="0" t="s">
        <v>74</v>
      </c>
      <c r="H434" s="0" t="s">
        <v>75</v>
      </c>
      <c r="I434" s="0" t="s">
        <v>1241</v>
      </c>
      <c r="J434" s="0" t="s">
        <v>1016</v>
      </c>
    </row>
    <row r="435" customFormat="false" ht="15" hidden="false" customHeight="false" outlineLevel="0" collapsed="false">
      <c r="A435" s="0" t="s">
        <v>1006</v>
      </c>
      <c r="B435" s="0" t="s">
        <v>1262</v>
      </c>
      <c r="C435" s="0" t="s">
        <v>12</v>
      </c>
      <c r="D435" s="0" t="s">
        <v>55</v>
      </c>
      <c r="E435" s="0" t="s">
        <v>1263</v>
      </c>
      <c r="F435" s="0" t="n">
        <f aca="false">HYPERLINK("http://clipc-services.ceda.ac.uk/dreq/u/79fec430c1dca1ac4b48b0fc36c48449.html","web")</f>
        <v>0</v>
      </c>
      <c r="G435" s="0" t="s">
        <v>74</v>
      </c>
      <c r="H435" s="0" t="s">
        <v>75</v>
      </c>
      <c r="I435" s="0" t="s">
        <v>1264</v>
      </c>
      <c r="J435" s="0" t="s">
        <v>1016</v>
      </c>
    </row>
    <row r="436" customFormat="false" ht="15" hidden="false" customHeight="false" outlineLevel="0" collapsed="false">
      <c r="A436" s="0" t="s">
        <v>1006</v>
      </c>
      <c r="B436" s="0" t="s">
        <v>1265</v>
      </c>
      <c r="C436" s="0" t="s">
        <v>12</v>
      </c>
      <c r="D436" s="0" t="s">
        <v>55</v>
      </c>
      <c r="E436" s="0" t="s">
        <v>1266</v>
      </c>
      <c r="F436" s="0" t="n">
        <f aca="false">HYPERLINK("http://clipc-services.ceda.ac.uk/dreq/u/4b1f3e86dde718e8c9697df0c3992c06.html","web")</f>
        <v>0</v>
      </c>
      <c r="G436" s="0" t="s">
        <v>74</v>
      </c>
      <c r="H436" s="0" t="s">
        <v>75</v>
      </c>
      <c r="I436" s="0" t="s">
        <v>1267</v>
      </c>
      <c r="J436" s="0" t="s">
        <v>1016</v>
      </c>
    </row>
    <row r="437" customFormat="false" ht="15" hidden="false" customHeight="false" outlineLevel="0" collapsed="false">
      <c r="A437" s="0" t="s">
        <v>1006</v>
      </c>
      <c r="B437" s="0" t="s">
        <v>1268</v>
      </c>
      <c r="C437" s="0" t="s">
        <v>12</v>
      </c>
      <c r="D437" s="0" t="s">
        <v>603</v>
      </c>
      <c r="E437" s="0" t="s">
        <v>1269</v>
      </c>
      <c r="F437" s="0" t="n">
        <f aca="false">HYPERLINK("http://clipc-services.ceda.ac.uk/dreq/u/9982868916859ae8b64cc83cbed896af.html","web")</f>
        <v>0</v>
      </c>
      <c r="G437" s="0" t="s">
        <v>1270</v>
      </c>
      <c r="I437" s="0" t="s">
        <v>1271</v>
      </c>
      <c r="J437" s="0" t="s">
        <v>1015</v>
      </c>
    </row>
    <row r="438" customFormat="false" ht="15" hidden="false" customHeight="false" outlineLevel="0" collapsed="false">
      <c r="A438" s="0" t="s">
        <v>1006</v>
      </c>
      <c r="B438" s="0" t="s">
        <v>1272</v>
      </c>
      <c r="C438" s="0" t="s">
        <v>12</v>
      </c>
      <c r="D438" s="0" t="s">
        <v>55</v>
      </c>
      <c r="E438" s="0" t="s">
        <v>1273</v>
      </c>
      <c r="F438" s="0" t="n">
        <f aca="false">HYPERLINK("http://clipc-services.ceda.ac.uk/dreq/u/0b3fc46bf32dfbd9d36cdb72e827eb29.html","web")</f>
        <v>0</v>
      </c>
      <c r="G438" s="0" t="s">
        <v>74</v>
      </c>
      <c r="H438" s="0" t="s">
        <v>75</v>
      </c>
      <c r="I438" s="0" t="s">
        <v>1274</v>
      </c>
      <c r="J438" s="0" t="s">
        <v>1016</v>
      </c>
    </row>
    <row r="439" customFormat="false" ht="15" hidden="false" customHeight="false" outlineLevel="0" collapsed="false">
      <c r="A439" s="0" t="s">
        <v>1006</v>
      </c>
      <c r="B439" s="0" t="s">
        <v>1275</v>
      </c>
      <c r="C439" s="0" t="s">
        <v>12</v>
      </c>
      <c r="D439" s="0" t="s">
        <v>55</v>
      </c>
      <c r="E439" s="0" t="s">
        <v>1276</v>
      </c>
      <c r="F439" s="0" t="n">
        <f aca="false">HYPERLINK("http://clipc-services.ceda.ac.uk/dreq/u/0f914086f4c1cd76f867eef7cd71154d.html","web")</f>
        <v>0</v>
      </c>
      <c r="G439" s="0" t="s">
        <v>74</v>
      </c>
      <c r="H439" s="0" t="s">
        <v>75</v>
      </c>
      <c r="I439" s="0" t="s">
        <v>1277</v>
      </c>
      <c r="J439" s="0" t="s">
        <v>1055</v>
      </c>
    </row>
    <row r="440" customFormat="false" ht="15" hidden="false" customHeight="false" outlineLevel="0" collapsed="false">
      <c r="A440" s="0" t="s">
        <v>1006</v>
      </c>
      <c r="B440" s="0" t="s">
        <v>1278</v>
      </c>
      <c r="C440" s="0" t="s">
        <v>12</v>
      </c>
      <c r="D440" s="0" t="s">
        <v>55</v>
      </c>
      <c r="E440" s="0" t="s">
        <v>1279</v>
      </c>
      <c r="F440" s="0" t="n">
        <f aca="false">HYPERLINK("http://clipc-services.ceda.ac.uk/dreq/u/aa4309c2c15be0c9d7db2f9d38f348ca.html","web")</f>
        <v>0</v>
      </c>
      <c r="G440" s="0" t="s">
        <v>74</v>
      </c>
      <c r="H440" s="0" t="s">
        <v>75</v>
      </c>
      <c r="I440" s="0" t="s">
        <v>1280</v>
      </c>
      <c r="J440" s="0" t="s">
        <v>1016</v>
      </c>
    </row>
    <row r="441" customFormat="false" ht="15" hidden="false" customHeight="false" outlineLevel="0" collapsed="false">
      <c r="A441" s="0" t="s">
        <v>1006</v>
      </c>
      <c r="B441" s="0" t="s">
        <v>1281</v>
      </c>
      <c r="C441" s="0" t="s">
        <v>12</v>
      </c>
      <c r="D441" s="0" t="s">
        <v>55</v>
      </c>
      <c r="E441" s="0" t="s">
        <v>1282</v>
      </c>
      <c r="F441" s="0" t="n">
        <f aca="false">HYPERLINK("http://clipc-services.ceda.ac.uk/dreq/u/86b2899d1c267c92e3fbaccd21b55472.html","web")</f>
        <v>0</v>
      </c>
      <c r="G441" s="0" t="s">
        <v>74</v>
      </c>
      <c r="H441" s="0" t="s">
        <v>75</v>
      </c>
      <c r="I441" s="0" t="s">
        <v>1283</v>
      </c>
      <c r="J441" s="0" t="s">
        <v>1016</v>
      </c>
    </row>
    <row r="442" customFormat="false" ht="15" hidden="false" customHeight="false" outlineLevel="0" collapsed="false">
      <c r="A442" s="0" t="s">
        <v>1006</v>
      </c>
      <c r="B442" s="0" t="s">
        <v>1284</v>
      </c>
      <c r="C442" s="0" t="s">
        <v>12</v>
      </c>
      <c r="D442" s="0" t="s">
        <v>55</v>
      </c>
      <c r="E442" s="0" t="s">
        <v>1285</v>
      </c>
      <c r="F442" s="0" t="n">
        <f aca="false">HYPERLINK("http://clipc-services.ceda.ac.uk/dreq/u/ecfae3e2adc49321ec4c9d664fd425ec.html","web")</f>
        <v>0</v>
      </c>
      <c r="G442" s="0" t="s">
        <v>74</v>
      </c>
      <c r="H442" s="0" t="s">
        <v>75</v>
      </c>
      <c r="I442" s="0" t="s">
        <v>1286</v>
      </c>
      <c r="J442" s="0" t="s">
        <v>1016</v>
      </c>
    </row>
    <row r="443" customFormat="false" ht="15" hidden="false" customHeight="false" outlineLevel="0" collapsed="false">
      <c r="A443" s="0" t="s">
        <v>1006</v>
      </c>
      <c r="B443" s="0" t="s">
        <v>1287</v>
      </c>
      <c r="C443" s="0" t="s">
        <v>12</v>
      </c>
      <c r="D443" s="0" t="s">
        <v>55</v>
      </c>
      <c r="E443" s="0" t="s">
        <v>1288</v>
      </c>
      <c r="F443" s="0" t="n">
        <f aca="false">HYPERLINK("http://clipc-services.ceda.ac.uk/dreq/u/646edc2e8f1c393b5569dba5d598f8c8.html","web")</f>
        <v>0</v>
      </c>
      <c r="G443" s="0" t="s">
        <v>74</v>
      </c>
      <c r="H443" s="0" t="s">
        <v>75</v>
      </c>
      <c r="I443" s="0" t="s">
        <v>1289</v>
      </c>
      <c r="J443" s="0" t="s">
        <v>1016</v>
      </c>
    </row>
    <row r="444" customFormat="false" ht="15" hidden="false" customHeight="false" outlineLevel="0" collapsed="false">
      <c r="A444" s="0" t="s">
        <v>1006</v>
      </c>
      <c r="B444" s="0" t="s">
        <v>1290</v>
      </c>
      <c r="C444" s="0" t="s">
        <v>12</v>
      </c>
      <c r="D444" s="0" t="s">
        <v>55</v>
      </c>
      <c r="E444" s="0" t="s">
        <v>1291</v>
      </c>
      <c r="F444" s="0" t="n">
        <f aca="false">HYPERLINK("http://clipc-services.ceda.ac.uk/dreq/u/c670517b02de6212f3091aaa455f60ed.html","web")</f>
        <v>0</v>
      </c>
      <c r="G444" s="0" t="s">
        <v>74</v>
      </c>
      <c r="H444" s="0" t="s">
        <v>75</v>
      </c>
      <c r="I444" s="0" t="s">
        <v>1280</v>
      </c>
      <c r="J444" s="0" t="s">
        <v>1072</v>
      </c>
    </row>
    <row r="445" customFormat="false" ht="15" hidden="false" customHeight="false" outlineLevel="0" collapsed="false">
      <c r="A445" s="0" t="s">
        <v>1006</v>
      </c>
      <c r="B445" s="0" t="s">
        <v>1292</v>
      </c>
      <c r="C445" s="0" t="s">
        <v>12</v>
      </c>
      <c r="D445" s="0" t="s">
        <v>55</v>
      </c>
      <c r="E445" s="0" t="s">
        <v>1293</v>
      </c>
      <c r="F445" s="0" t="n">
        <f aca="false">HYPERLINK("http://clipc-services.ceda.ac.uk/dreq/u/a3383a3abeddbcb0d27368a8cf9b9503.html","web")</f>
        <v>0</v>
      </c>
      <c r="G445" s="0" t="s">
        <v>74</v>
      </c>
      <c r="H445" s="0" t="s">
        <v>75</v>
      </c>
      <c r="I445" s="0" t="s">
        <v>1294</v>
      </c>
      <c r="J445" s="0" t="s">
        <v>1072</v>
      </c>
    </row>
    <row r="446" customFormat="false" ht="15" hidden="false" customHeight="false" outlineLevel="0" collapsed="false">
      <c r="A446" s="0" t="s">
        <v>1006</v>
      </c>
      <c r="B446" s="0" t="s">
        <v>1295</v>
      </c>
      <c r="C446" s="0" t="s">
        <v>12</v>
      </c>
      <c r="D446" s="0" t="s">
        <v>55</v>
      </c>
      <c r="E446" s="0" t="s">
        <v>1296</v>
      </c>
      <c r="F446" s="0" t="n">
        <f aca="false">HYPERLINK("http://clipc-services.ceda.ac.uk/dreq/u/c97520628498eea6e19cc1be19c73677.html","web")</f>
        <v>0</v>
      </c>
      <c r="G446" s="0" t="s">
        <v>74</v>
      </c>
      <c r="H446" s="0" t="s">
        <v>75</v>
      </c>
      <c r="I446" s="0" t="s">
        <v>1297</v>
      </c>
      <c r="J446" s="0" t="s">
        <v>1072</v>
      </c>
    </row>
    <row r="447" customFormat="false" ht="15" hidden="false" customHeight="false" outlineLevel="0" collapsed="false">
      <c r="A447" s="0" t="s">
        <v>1006</v>
      </c>
      <c r="B447" s="0" t="s">
        <v>1298</v>
      </c>
      <c r="C447" s="0" t="s">
        <v>12</v>
      </c>
      <c r="D447" s="0" t="s">
        <v>55</v>
      </c>
      <c r="E447" s="0" t="s">
        <v>1299</v>
      </c>
      <c r="F447" s="0" t="n">
        <f aca="false">HYPERLINK("http://clipc-services.ceda.ac.uk/dreq/u/228d3ad84f6db126c53ac4ae0a18a014.html","web")</f>
        <v>0</v>
      </c>
      <c r="G447" s="0" t="s">
        <v>74</v>
      </c>
      <c r="H447" s="0" t="s">
        <v>75</v>
      </c>
      <c r="I447" s="0" t="s">
        <v>1241</v>
      </c>
      <c r="J447" s="0" t="s">
        <v>1016</v>
      </c>
    </row>
    <row r="448" customFormat="false" ht="15" hidden="false" customHeight="false" outlineLevel="0" collapsed="false"/>
    <row r="449" customFormat="false" ht="15" hidden="false" customHeight="false" outlineLevel="0" collapsed="false">
      <c r="A449" s="0" t="s">
        <v>1300</v>
      </c>
      <c r="B449" s="0" t="s">
        <v>224</v>
      </c>
      <c r="C449" s="0" t="s">
        <v>12</v>
      </c>
      <c r="D449" s="0" t="s">
        <v>292</v>
      </c>
      <c r="E449" s="0" t="s">
        <v>225</v>
      </c>
      <c r="F449" s="0" t="n">
        <f aca="false">HYPERLINK("http://clipc-services.ceda.ac.uk/dreq/u/ce9ab9b945fcc86013ad10431d8f252e.html","web")</f>
        <v>0</v>
      </c>
      <c r="G449" s="0" t="s">
        <v>226</v>
      </c>
      <c r="H449" s="0" t="s">
        <v>213</v>
      </c>
      <c r="J449" s="0" t="s">
        <v>1301</v>
      </c>
    </row>
    <row r="450" customFormat="false" ht="15" hidden="false" customHeight="false" outlineLevel="0" collapsed="false">
      <c r="A450" s="0" t="s">
        <v>1300</v>
      </c>
      <c r="B450" s="0" t="s">
        <v>227</v>
      </c>
      <c r="C450" s="0" t="s">
        <v>12</v>
      </c>
      <c r="D450" s="0" t="s">
        <v>1302</v>
      </c>
      <c r="E450" s="0" t="s">
        <v>630</v>
      </c>
      <c r="F450" s="0" t="n">
        <f aca="false">HYPERLINK("http://clipc-services.ceda.ac.uk/dreq/u/0bbbf303ac691061a69938846f32b23b.html","web")</f>
        <v>0</v>
      </c>
      <c r="G450" s="0" t="s">
        <v>230</v>
      </c>
      <c r="H450" s="0" t="s">
        <v>213</v>
      </c>
      <c r="I450" s="0" t="s">
        <v>231</v>
      </c>
      <c r="J450" s="0" t="s">
        <v>1301</v>
      </c>
    </row>
    <row r="451" customFormat="false" ht="15" hidden="false" customHeight="false" outlineLevel="0" collapsed="false">
      <c r="A451" s="0" t="s">
        <v>1300</v>
      </c>
      <c r="B451" s="0" t="s">
        <v>232</v>
      </c>
      <c r="C451" s="0" t="s">
        <v>12</v>
      </c>
      <c r="D451" s="0" t="s">
        <v>1303</v>
      </c>
      <c r="E451" s="0" t="s">
        <v>234</v>
      </c>
      <c r="F451" s="0" t="n">
        <f aca="false">HYPERLINK("http://clipc-services.ceda.ac.uk/dreq/u/fe9d4b45792f7d6430fe2a9c9b7234b1.html","web")</f>
        <v>0</v>
      </c>
      <c r="G451" s="0" t="s">
        <v>235</v>
      </c>
      <c r="H451" s="0" t="s">
        <v>213</v>
      </c>
      <c r="I451" s="0" t="s">
        <v>236</v>
      </c>
      <c r="J451" s="0" t="s">
        <v>1301</v>
      </c>
    </row>
    <row r="452" customFormat="false" ht="15" hidden="false" customHeight="false" outlineLevel="0" collapsed="false">
      <c r="A452" s="0" t="s">
        <v>1300</v>
      </c>
      <c r="B452" s="0" t="s">
        <v>237</v>
      </c>
      <c r="C452" s="0" t="s">
        <v>12</v>
      </c>
      <c r="D452" s="0" t="s">
        <v>1304</v>
      </c>
      <c r="E452" s="0" t="s">
        <v>239</v>
      </c>
      <c r="F452" s="0" t="n">
        <f aca="false">HYPERLINK("http://clipc-services.ceda.ac.uk/dreq/u/7308096ae00ff52340909b2a59415f82.html","web")</f>
        <v>0</v>
      </c>
      <c r="G452" s="0" t="s">
        <v>240</v>
      </c>
      <c r="H452" s="0" t="s">
        <v>213</v>
      </c>
      <c r="I452" s="0" t="s">
        <v>241</v>
      </c>
      <c r="J452" s="0" t="s">
        <v>1301</v>
      </c>
    </row>
    <row r="453" customFormat="false" ht="15" hidden="false" customHeight="false" outlineLevel="0" collapsed="false">
      <c r="A453" s="0" t="s">
        <v>1300</v>
      </c>
      <c r="B453" s="0" t="s">
        <v>1254</v>
      </c>
      <c r="C453" s="0" t="s">
        <v>12</v>
      </c>
      <c r="D453" s="0" t="s">
        <v>292</v>
      </c>
      <c r="E453" s="0" t="s">
        <v>1255</v>
      </c>
      <c r="F453" s="0" t="n">
        <f aca="false">HYPERLINK("http://clipc-services.ceda.ac.uk/dreq/u/c9a70b4e-c5f0-11e6-ac20-5404a60d96b5.html","web")</f>
        <v>0</v>
      </c>
      <c r="G453" s="0" t="s">
        <v>1252</v>
      </c>
      <c r="H453" s="0" t="s">
        <v>614</v>
      </c>
      <c r="I453" s="0" t="s">
        <v>1256</v>
      </c>
      <c r="J453" s="0" t="s">
        <v>1305</v>
      </c>
    </row>
    <row r="454" customFormat="false" ht="15" hidden="false" customHeight="false" outlineLevel="0" collapsed="false">
      <c r="A454" s="0" t="s">
        <v>1300</v>
      </c>
      <c r="B454" s="0" t="s">
        <v>1306</v>
      </c>
      <c r="C454" s="0" t="s">
        <v>12</v>
      </c>
      <c r="D454" s="0" t="s">
        <v>292</v>
      </c>
      <c r="E454" s="0" t="s">
        <v>1307</v>
      </c>
      <c r="F454" s="0" t="n">
        <f aca="false">HYPERLINK("http://clipc-services.ceda.ac.uk/dreq/u/590daf66-9e49-11e5-803c-0d0b866b59f3.html","web")</f>
        <v>0</v>
      </c>
      <c r="G454" s="0" t="s">
        <v>1248</v>
      </c>
      <c r="H454" s="0" t="s">
        <v>614</v>
      </c>
      <c r="I454" s="0" t="s">
        <v>1308</v>
      </c>
      <c r="J454" s="0" t="s">
        <v>1305</v>
      </c>
    </row>
    <row r="455" customFormat="false" ht="15" hidden="false" customHeight="false" outlineLevel="0" collapsed="false">
      <c r="A455" s="0" t="s">
        <v>1300</v>
      </c>
      <c r="B455" s="0" t="s">
        <v>1309</v>
      </c>
      <c r="C455" s="0" t="s">
        <v>12</v>
      </c>
      <c r="D455" s="0" t="s">
        <v>292</v>
      </c>
      <c r="E455" s="0" t="s">
        <v>1310</v>
      </c>
      <c r="F455" s="0" t="n">
        <f aca="false">HYPERLINK("http://clipc-services.ceda.ac.uk/dreq/u/90df05fe3dcd9fe0c9b48aaa74b5e9e.html","web")</f>
        <v>0</v>
      </c>
      <c r="G455" s="0" t="s">
        <v>1311</v>
      </c>
      <c r="H455" s="0" t="s">
        <v>614</v>
      </c>
      <c r="I455" s="0" t="s">
        <v>1312</v>
      </c>
      <c r="J455" s="0" t="s">
        <v>1305</v>
      </c>
    </row>
    <row r="456" customFormat="false" ht="15" hidden="false" customHeight="false" outlineLevel="0" collapsed="false">
      <c r="A456" s="0" t="s">
        <v>1300</v>
      </c>
      <c r="B456" s="0" t="s">
        <v>1313</v>
      </c>
      <c r="C456" s="0" t="s">
        <v>12</v>
      </c>
      <c r="D456" s="0" t="s">
        <v>292</v>
      </c>
      <c r="E456" s="0" t="s">
        <v>1314</v>
      </c>
      <c r="F456" s="0" t="n">
        <f aca="false">HYPERLINK("http://clipc-services.ceda.ac.uk/dreq/u/9c35e2ac-a0de-11e6-bc63-ac72891c3257.html","web")</f>
        <v>0</v>
      </c>
      <c r="G456" s="0" t="s">
        <v>1315</v>
      </c>
      <c r="H456" s="0" t="s">
        <v>50</v>
      </c>
      <c r="I456" s="0" t="s">
        <v>1316</v>
      </c>
      <c r="J456" s="0" t="s">
        <v>1305</v>
      </c>
    </row>
    <row r="457" customFormat="false" ht="15" hidden="false" customHeight="false" outlineLevel="0" collapsed="false">
      <c r="A457" s="0" t="s">
        <v>1300</v>
      </c>
      <c r="B457" s="0" t="s">
        <v>982</v>
      </c>
      <c r="C457" s="0" t="s">
        <v>12</v>
      </c>
      <c r="D457" s="0" t="s">
        <v>1317</v>
      </c>
      <c r="E457" s="0" t="s">
        <v>1031</v>
      </c>
      <c r="F457" s="0" t="n">
        <f aca="false">HYPERLINK("http://clipc-services.ceda.ac.uk/dreq/u/7f4c49e8abe3230e87fa7299b73448fa.html","web")</f>
        <v>0</v>
      </c>
      <c r="G457" s="0" t="s">
        <v>74</v>
      </c>
      <c r="H457" s="0" t="s">
        <v>75</v>
      </c>
      <c r="I457" s="0" t="s">
        <v>968</v>
      </c>
      <c r="J457" s="0" t="s">
        <v>1305</v>
      </c>
    </row>
    <row r="458" customFormat="false" ht="15" hidden="false" customHeight="false" outlineLevel="0" collapsed="false">
      <c r="A458" s="0" t="s">
        <v>1300</v>
      </c>
      <c r="B458" s="0" t="s">
        <v>973</v>
      </c>
      <c r="C458" s="0" t="s">
        <v>12</v>
      </c>
      <c r="D458" s="0" t="s">
        <v>1317</v>
      </c>
      <c r="E458" s="0" t="s">
        <v>1047</v>
      </c>
      <c r="F458" s="0" t="n">
        <f aca="false">HYPERLINK("http://clipc-services.ceda.ac.uk/dreq/u/9bb9a503065dfbd30c9bbe5c3c6abf99.html","web")</f>
        <v>0</v>
      </c>
      <c r="G458" s="0" t="s">
        <v>74</v>
      </c>
      <c r="H458" s="0" t="s">
        <v>75</v>
      </c>
      <c r="I458" s="0" t="s">
        <v>968</v>
      </c>
      <c r="J458" s="0" t="s">
        <v>1305</v>
      </c>
    </row>
    <row r="459" customFormat="false" ht="15" hidden="false" customHeight="false" outlineLevel="0" collapsed="false">
      <c r="A459" s="0" t="s">
        <v>1300</v>
      </c>
      <c r="B459" s="0" t="s">
        <v>965</v>
      </c>
      <c r="C459" s="0" t="s">
        <v>12</v>
      </c>
      <c r="D459" s="0" t="s">
        <v>1317</v>
      </c>
      <c r="E459" s="0" t="s">
        <v>1184</v>
      </c>
      <c r="F459" s="0" t="n">
        <f aca="false">HYPERLINK("http://clipc-services.ceda.ac.uk/dreq/u/1d4594c97188efd47935238a429e02e4.html","web")</f>
        <v>0</v>
      </c>
      <c r="G459" s="0" t="s">
        <v>74</v>
      </c>
      <c r="H459" s="0" t="s">
        <v>75</v>
      </c>
      <c r="I459" s="0" t="s">
        <v>968</v>
      </c>
      <c r="J459" s="0" t="s">
        <v>1305</v>
      </c>
    </row>
    <row r="460" customFormat="false" ht="15" hidden="false" customHeight="false" outlineLevel="0" collapsed="false"/>
    <row r="461" customFormat="false" ht="15" hidden="false" customHeight="false" outlineLevel="0" collapsed="false">
      <c r="A461" s="0" t="s">
        <v>1318</v>
      </c>
      <c r="B461" s="0" t="s">
        <v>994</v>
      </c>
      <c r="C461" s="0" t="s">
        <v>54</v>
      </c>
      <c r="D461" s="0" t="s">
        <v>292</v>
      </c>
      <c r="E461" s="0" t="s">
        <v>995</v>
      </c>
      <c r="F461" s="0" t="n">
        <f aca="false">HYPERLINK("http://clipc-services.ceda.ac.uk/dreq/u/590e3c7e-9e49-11e5-803c-0d0b866b59f3.html","web")</f>
        <v>0</v>
      </c>
      <c r="G461" s="0" t="s">
        <v>74</v>
      </c>
      <c r="H461" s="0" t="s">
        <v>75</v>
      </c>
      <c r="I461" s="0" t="s">
        <v>996</v>
      </c>
      <c r="J461" s="0" t="s">
        <v>1319</v>
      </c>
    </row>
    <row r="462" customFormat="false" ht="15" hidden="false" customHeight="false" outlineLevel="0" collapsed="false">
      <c r="A462" s="0" t="s">
        <v>1318</v>
      </c>
      <c r="B462" s="0" t="s">
        <v>602</v>
      </c>
      <c r="C462" s="0" t="s">
        <v>54</v>
      </c>
      <c r="D462" s="0" t="s">
        <v>1317</v>
      </c>
      <c r="E462" s="0" t="s">
        <v>604</v>
      </c>
      <c r="F462" s="0" t="n">
        <f aca="false">HYPERLINK("http://clipc-services.ceda.ac.uk/dreq/u/c8b1814845661bcad37910e70a59b285.html","web")</f>
        <v>0</v>
      </c>
      <c r="G462" s="0" t="s">
        <v>605</v>
      </c>
      <c r="H462" s="0" t="s">
        <v>606</v>
      </c>
      <c r="I462" s="0" t="s">
        <v>604</v>
      </c>
      <c r="J462" s="0" t="s">
        <v>1319</v>
      </c>
    </row>
    <row r="463" customFormat="false" ht="15" hidden="false" customHeight="false" outlineLevel="0" collapsed="false">
      <c r="A463" s="0" t="s">
        <v>1318</v>
      </c>
      <c r="B463" s="0" t="s">
        <v>616</v>
      </c>
      <c r="C463" s="0" t="s">
        <v>54</v>
      </c>
      <c r="D463" s="0" t="s">
        <v>1317</v>
      </c>
      <c r="E463" s="0" t="s">
        <v>617</v>
      </c>
      <c r="F463" s="0" t="n">
        <f aca="false">HYPERLINK("http://clipc-services.ceda.ac.uk/dreq/u/2a6093caf9e5cd42fb2fba6bdb73d6db.html","web")</f>
        <v>0</v>
      </c>
      <c r="G463" s="0" t="s">
        <v>618</v>
      </c>
      <c r="H463" s="0" t="s">
        <v>606</v>
      </c>
      <c r="I463" s="0" t="s">
        <v>617</v>
      </c>
      <c r="J463" s="0" t="s">
        <v>1319</v>
      </c>
    </row>
    <row r="464" customFormat="false" ht="15" hidden="false" customHeight="false" outlineLevel="0" collapsed="false"/>
    <row r="465" customFormat="false" ht="15" hidden="false" customHeight="false" outlineLevel="0" collapsed="false">
      <c r="A465" s="0" t="s">
        <v>1320</v>
      </c>
      <c r="B465" s="0" t="s">
        <v>1321</v>
      </c>
      <c r="C465" s="0" t="s">
        <v>12</v>
      </c>
      <c r="D465" s="0" t="s">
        <v>55</v>
      </c>
      <c r="E465" s="0" t="s">
        <v>1322</v>
      </c>
      <c r="F465" s="0" t="n">
        <f aca="false">HYPERLINK("http://clipc-services.ceda.ac.uk/dreq/u/f70b088300f35ad3b19c67d2490612dd.html","web")</f>
        <v>0</v>
      </c>
      <c r="G465" s="0" t="s">
        <v>74</v>
      </c>
      <c r="H465" s="0" t="s">
        <v>75</v>
      </c>
      <c r="I465" s="0" t="s">
        <v>1323</v>
      </c>
      <c r="J465" s="0" t="s">
        <v>77</v>
      </c>
    </row>
    <row r="466" customFormat="false" ht="15" hidden="false" customHeight="false" outlineLevel="0" collapsed="false">
      <c r="A466" s="0" t="s">
        <v>1320</v>
      </c>
      <c r="B466" s="0" t="s">
        <v>1324</v>
      </c>
      <c r="C466" s="0" t="s">
        <v>12</v>
      </c>
      <c r="D466" s="0" t="s">
        <v>55</v>
      </c>
      <c r="E466" s="0" t="s">
        <v>1325</v>
      </c>
      <c r="F466" s="0" t="n">
        <f aca="false">HYPERLINK("http://clipc-services.ceda.ac.uk/dreq/u/a503e8c8011c952b0b832e6074ad387d.html","web")</f>
        <v>0</v>
      </c>
      <c r="G466" s="0" t="s">
        <v>74</v>
      </c>
      <c r="H466" s="0" t="s">
        <v>75</v>
      </c>
      <c r="I466" s="0" t="s">
        <v>1326</v>
      </c>
      <c r="J466" s="0" t="s">
        <v>77</v>
      </c>
    </row>
    <row r="467" customFormat="false" ht="15" hidden="false" customHeight="false" outlineLevel="0" collapsed="false">
      <c r="A467" s="0" t="s">
        <v>1320</v>
      </c>
      <c r="B467" s="0" t="s">
        <v>1197</v>
      </c>
      <c r="C467" s="0" t="s">
        <v>12</v>
      </c>
      <c r="D467" s="0" t="s">
        <v>1008</v>
      </c>
      <c r="E467" s="0" t="s">
        <v>1198</v>
      </c>
      <c r="F467" s="0" t="n">
        <f aca="false">HYPERLINK("http://clipc-services.ceda.ac.uk/dreq/u/8f2fb9e812c26ee6cb8d9673e09d2644.html","web")</f>
        <v>0</v>
      </c>
      <c r="G467" s="0" t="s">
        <v>74</v>
      </c>
      <c r="H467" s="0" t="s">
        <v>75</v>
      </c>
      <c r="I467" s="0" t="s">
        <v>1199</v>
      </c>
      <c r="J467" s="0" t="s">
        <v>77</v>
      </c>
    </row>
    <row r="468" customFormat="false" ht="15" hidden="false" customHeight="false" outlineLevel="0" collapsed="false">
      <c r="A468" s="0" t="s">
        <v>1320</v>
      </c>
      <c r="B468" s="0" t="s">
        <v>1327</v>
      </c>
      <c r="C468" s="0" t="s">
        <v>12</v>
      </c>
      <c r="D468" s="0" t="s">
        <v>55</v>
      </c>
      <c r="E468" s="0" t="s">
        <v>1328</v>
      </c>
      <c r="F468" s="0" t="n">
        <f aca="false">HYPERLINK("http://clipc-services.ceda.ac.uk/dreq/u/0656a67a-b896-11e6-a189-5404a60d96b5.html","web")</f>
        <v>0</v>
      </c>
      <c r="G468" s="0" t="s">
        <v>74</v>
      </c>
      <c r="H468" s="0" t="s">
        <v>75</v>
      </c>
      <c r="I468" s="0" t="s">
        <v>968</v>
      </c>
      <c r="J468" s="0" t="s">
        <v>77</v>
      </c>
    </row>
    <row r="469" customFormat="false" ht="15" hidden="false" customHeight="false" outlineLevel="0" collapsed="false">
      <c r="A469" s="0" t="s">
        <v>1320</v>
      </c>
      <c r="B469" s="0" t="s">
        <v>1262</v>
      </c>
      <c r="C469" s="0" t="s">
        <v>12</v>
      </c>
      <c r="D469" s="0" t="s">
        <v>55</v>
      </c>
      <c r="E469" s="0" t="s">
        <v>1329</v>
      </c>
      <c r="F469" s="0" t="n">
        <f aca="false">HYPERLINK("http://clipc-services.ceda.ac.uk/dreq/u/79fec430c1dca1ac4b48b0fc36c48449.html","web")</f>
        <v>0</v>
      </c>
      <c r="G469" s="0" t="s">
        <v>74</v>
      </c>
      <c r="H469" s="0" t="s">
        <v>75</v>
      </c>
      <c r="I469" s="0" t="s">
        <v>1264</v>
      </c>
      <c r="J469" s="0" t="s">
        <v>77</v>
      </c>
    </row>
    <row r="470" customFormat="false" ht="15" hidden="false" customHeight="false" outlineLevel="0" collapsed="false"/>
    <row r="471" customFormat="false" ht="15" hidden="false" customHeight="false" outlineLevel="0" collapsed="false">
      <c r="A471" s="0" t="s">
        <v>1330</v>
      </c>
      <c r="B471" s="0" t="s">
        <v>126</v>
      </c>
      <c r="C471" s="0" t="s">
        <v>54</v>
      </c>
      <c r="D471" s="0" t="s">
        <v>1331</v>
      </c>
      <c r="E471" s="0" t="s">
        <v>1332</v>
      </c>
      <c r="F471" s="0" t="n">
        <f aca="false">HYPERLINK("http://clipc-services.ceda.ac.uk/dreq/u/120719dde7f96f9bc088acd33b97967f.html","web")</f>
        <v>0</v>
      </c>
      <c r="G471" s="0" t="s">
        <v>57</v>
      </c>
      <c r="H471" s="0" t="s">
        <v>58</v>
      </c>
      <c r="I471" s="0" t="s">
        <v>128</v>
      </c>
      <c r="J471" s="0" t="s">
        <v>1333</v>
      </c>
    </row>
    <row r="472" customFormat="false" ht="15" hidden="false" customHeight="false" outlineLevel="0" collapsed="false">
      <c r="A472" s="0" t="s">
        <v>1330</v>
      </c>
      <c r="B472" s="0" t="s">
        <v>129</v>
      </c>
      <c r="C472" s="0" t="s">
        <v>54</v>
      </c>
      <c r="D472" s="0" t="s">
        <v>1331</v>
      </c>
      <c r="E472" s="0" t="s">
        <v>1334</v>
      </c>
      <c r="F472" s="0" t="n">
        <f aca="false">HYPERLINK("http://clipc-services.ceda.ac.uk/dreq/u/52b1076476b074a18a91b9da1baa6bc3.html","web")</f>
        <v>0</v>
      </c>
      <c r="G472" s="0" t="s">
        <v>57</v>
      </c>
      <c r="H472" s="0" t="s">
        <v>58</v>
      </c>
      <c r="I472" s="0" t="s">
        <v>131</v>
      </c>
      <c r="J472" s="0" t="s">
        <v>1333</v>
      </c>
    </row>
    <row r="473" customFormat="false" ht="15" hidden="false" customHeight="false" outlineLevel="0" collapsed="false">
      <c r="A473" s="0" t="s">
        <v>1330</v>
      </c>
      <c r="B473" s="0" t="s">
        <v>1335</v>
      </c>
      <c r="C473" s="0" t="s">
        <v>54</v>
      </c>
      <c r="D473" s="0" t="s">
        <v>1331</v>
      </c>
      <c r="E473" s="0" t="s">
        <v>1336</v>
      </c>
      <c r="F473" s="0" t="n">
        <f aca="false">HYPERLINK("http://clipc-services.ceda.ac.uk/dreq/u/70094996b08eba1d39c13d30dc44b30f.html","web")</f>
        <v>0</v>
      </c>
      <c r="G473" s="0" t="s">
        <v>57</v>
      </c>
      <c r="H473" s="0" t="s">
        <v>58</v>
      </c>
      <c r="J473" s="0" t="s">
        <v>1337</v>
      </c>
    </row>
    <row r="474" customFormat="false" ht="15" hidden="false" customHeight="false" outlineLevel="0" collapsed="false">
      <c r="A474" s="0" t="s">
        <v>1330</v>
      </c>
      <c r="B474" s="0" t="s">
        <v>132</v>
      </c>
      <c r="C474" s="0" t="s">
        <v>54</v>
      </c>
      <c r="D474" s="0" t="s">
        <v>1331</v>
      </c>
      <c r="E474" s="0" t="s">
        <v>1338</v>
      </c>
      <c r="F474" s="0" t="n">
        <f aca="false">HYPERLINK("http://clipc-services.ceda.ac.uk/dreq/u/dfd869cd3463de6a57b2a9e10605efe7.html","web")</f>
        <v>0</v>
      </c>
      <c r="G474" s="0" t="s">
        <v>57</v>
      </c>
      <c r="H474" s="0" t="s">
        <v>58</v>
      </c>
      <c r="I474" s="0" t="s">
        <v>134</v>
      </c>
      <c r="J474" s="0" t="s">
        <v>1337</v>
      </c>
    </row>
    <row r="475" customFormat="false" ht="15" hidden="false" customHeight="false" outlineLevel="0" collapsed="false">
      <c r="A475" s="0" t="s">
        <v>1330</v>
      </c>
      <c r="B475" s="0" t="s">
        <v>1339</v>
      </c>
      <c r="C475" s="0" t="s">
        <v>54</v>
      </c>
      <c r="D475" s="0" t="s">
        <v>1331</v>
      </c>
      <c r="E475" s="0" t="s">
        <v>1340</v>
      </c>
      <c r="F475" s="0" t="n">
        <f aca="false">HYPERLINK("http://clipc-services.ceda.ac.uk/dreq/u/5f19c4be9ae133db06403c986c8136d6.html","web")</f>
        <v>0</v>
      </c>
      <c r="G475" s="0" t="s">
        <v>57</v>
      </c>
      <c r="H475" s="0" t="s">
        <v>58</v>
      </c>
      <c r="J475" s="0" t="s">
        <v>1333</v>
      </c>
    </row>
    <row r="476" customFormat="false" ht="15" hidden="false" customHeight="false" outlineLevel="0" collapsed="false">
      <c r="A476" s="0" t="s">
        <v>1330</v>
      </c>
      <c r="B476" s="0" t="s">
        <v>1341</v>
      </c>
      <c r="C476" s="0" t="s">
        <v>54</v>
      </c>
      <c r="D476" s="0" t="s">
        <v>1331</v>
      </c>
      <c r="E476" s="0" t="s">
        <v>1342</v>
      </c>
      <c r="F476" s="0" t="n">
        <f aca="false">HYPERLINK("http://clipc-services.ceda.ac.uk/dreq/u/9e50f2bc84a18f56a9c317be11770663.html","web")</f>
        <v>0</v>
      </c>
      <c r="G476" s="0" t="s">
        <v>57</v>
      </c>
      <c r="H476" s="0" t="s">
        <v>58</v>
      </c>
      <c r="J476" s="0" t="s">
        <v>1337</v>
      </c>
    </row>
    <row r="477" customFormat="false" ht="15" hidden="false" customHeight="false" outlineLevel="0" collapsed="false">
      <c r="A477" s="0" t="s">
        <v>1330</v>
      </c>
      <c r="B477" s="0" t="s">
        <v>1343</v>
      </c>
      <c r="C477" s="0" t="s">
        <v>54</v>
      </c>
      <c r="D477" s="0" t="s">
        <v>1331</v>
      </c>
      <c r="E477" s="0" t="s">
        <v>1344</v>
      </c>
      <c r="F477" s="0" t="n">
        <f aca="false">HYPERLINK("http://clipc-services.ceda.ac.uk/dreq/u/abb3f8b62cc0e93f4ef5487c41ef10cb.html","web")</f>
        <v>0</v>
      </c>
      <c r="G477" s="0" t="s">
        <v>57</v>
      </c>
      <c r="H477" s="0" t="s">
        <v>58</v>
      </c>
      <c r="J477" s="0" t="s">
        <v>1337</v>
      </c>
    </row>
    <row r="478" customFormat="false" ht="15" hidden="false" customHeight="false" outlineLevel="0" collapsed="false">
      <c r="A478" s="0" t="s">
        <v>1330</v>
      </c>
      <c r="B478" s="0" t="s">
        <v>1345</v>
      </c>
      <c r="C478" s="0" t="s">
        <v>54</v>
      </c>
      <c r="D478" s="0" t="s">
        <v>1346</v>
      </c>
      <c r="E478" s="0" t="s">
        <v>1347</v>
      </c>
      <c r="F478" s="0" t="n">
        <f aca="false">HYPERLINK("http://clipc-services.ceda.ac.uk/dreq/u/1cf6c7fa0adedf95b3eaad5fb3f96b1c.html","web")</f>
        <v>0</v>
      </c>
      <c r="G478" s="0" t="s">
        <v>57</v>
      </c>
      <c r="H478" s="0" t="s">
        <v>58</v>
      </c>
      <c r="I478" s="0" t="s">
        <v>1348</v>
      </c>
      <c r="J478" s="0" t="s">
        <v>1349</v>
      </c>
    </row>
    <row r="479" customFormat="false" ht="15" hidden="false" customHeight="false" outlineLevel="0" collapsed="false">
      <c r="A479" s="0" t="s">
        <v>1330</v>
      </c>
      <c r="B479" s="0" t="s">
        <v>1350</v>
      </c>
      <c r="C479" s="0" t="s">
        <v>54</v>
      </c>
      <c r="D479" s="0" t="s">
        <v>1346</v>
      </c>
      <c r="E479" s="0" t="s">
        <v>1351</v>
      </c>
      <c r="F479" s="0" t="n">
        <f aca="false">HYPERLINK("http://clipc-services.ceda.ac.uk/dreq/u/b02d071fff99f2632aa8ac5e83e92215.html","web")</f>
        <v>0</v>
      </c>
      <c r="G479" s="0" t="s">
        <v>57</v>
      </c>
      <c r="H479" s="0" t="s">
        <v>58</v>
      </c>
      <c r="I479" s="0" t="s">
        <v>1352</v>
      </c>
      <c r="J479" s="0" t="s">
        <v>1349</v>
      </c>
    </row>
    <row r="480" customFormat="false" ht="15" hidden="false" customHeight="false" outlineLevel="0" collapsed="false">
      <c r="A480" s="0" t="s">
        <v>1330</v>
      </c>
      <c r="B480" s="0" t="s">
        <v>1353</v>
      </c>
      <c r="C480" s="0" t="s">
        <v>54</v>
      </c>
      <c r="D480" s="0" t="s">
        <v>1346</v>
      </c>
      <c r="E480" s="0" t="s">
        <v>1354</v>
      </c>
      <c r="F480" s="0" t="n">
        <f aca="false">HYPERLINK("http://clipc-services.ceda.ac.uk/dreq/u/478c43820503be64675fb49227d2f999.html","web")</f>
        <v>0</v>
      </c>
      <c r="G480" s="0" t="s">
        <v>57</v>
      </c>
      <c r="H480" s="0" t="s">
        <v>58</v>
      </c>
      <c r="J480" s="0" t="s">
        <v>1349</v>
      </c>
    </row>
    <row r="481" customFormat="false" ht="15" hidden="false" customHeight="false" outlineLevel="0" collapsed="false">
      <c r="A481" s="0" t="s">
        <v>1330</v>
      </c>
      <c r="B481" s="0" t="s">
        <v>1355</v>
      </c>
      <c r="C481" s="0" t="s">
        <v>54</v>
      </c>
      <c r="D481" s="0" t="s">
        <v>1346</v>
      </c>
      <c r="E481" s="0" t="s">
        <v>1356</v>
      </c>
      <c r="F481" s="0" t="n">
        <f aca="false">HYPERLINK("http://clipc-services.ceda.ac.uk/dreq/u/bb27046ce21470dfbbecdd4f7eca546a.html","web")</f>
        <v>0</v>
      </c>
      <c r="G481" s="0" t="s">
        <v>57</v>
      </c>
      <c r="H481" s="0" t="s">
        <v>58</v>
      </c>
      <c r="I481" s="0" t="s">
        <v>1357</v>
      </c>
      <c r="J481" s="0" t="s">
        <v>1349</v>
      </c>
    </row>
    <row r="482" customFormat="false" ht="15" hidden="false" customHeight="false" outlineLevel="0" collapsed="false">
      <c r="A482" s="0" t="s">
        <v>1330</v>
      </c>
      <c r="B482" s="0" t="s">
        <v>1358</v>
      </c>
      <c r="C482" s="0" t="s">
        <v>54</v>
      </c>
      <c r="D482" s="0" t="s">
        <v>1346</v>
      </c>
      <c r="E482" s="0" t="s">
        <v>1359</v>
      </c>
      <c r="F482" s="0" t="n">
        <f aca="false">HYPERLINK("http://clipc-services.ceda.ac.uk/dreq/u/f56a3a44b60650b58309b1d8cf58b913.html","web")</f>
        <v>0</v>
      </c>
      <c r="G482" s="0" t="s">
        <v>57</v>
      </c>
      <c r="H482" s="0" t="s">
        <v>58</v>
      </c>
      <c r="I482" s="0" t="s">
        <v>1360</v>
      </c>
      <c r="J482" s="0" t="s">
        <v>1349</v>
      </c>
    </row>
    <row r="483" customFormat="false" ht="15" hidden="false" customHeight="false" outlineLevel="0" collapsed="false"/>
    <row r="484" customFormat="false" ht="15" hidden="false" customHeight="false" outlineLevel="0" collapsed="false">
      <c r="A484" s="0" t="s">
        <v>1361</v>
      </c>
      <c r="B484" s="0" t="s">
        <v>1362</v>
      </c>
      <c r="C484" s="0" t="s">
        <v>12</v>
      </c>
      <c r="D484" s="0" t="s">
        <v>938</v>
      </c>
      <c r="E484" s="0" t="s">
        <v>1363</v>
      </c>
      <c r="F484" s="0" t="n">
        <f aca="false">HYPERLINK("http://clipc-services.ceda.ac.uk/dreq/u/f1b8ddb539cb96eb65453dce4c8bb978.html","web")</f>
        <v>0</v>
      </c>
      <c r="G484" s="0" t="s">
        <v>57</v>
      </c>
      <c r="H484" s="0" t="s">
        <v>58</v>
      </c>
      <c r="I484" s="0" t="s">
        <v>1364</v>
      </c>
      <c r="J484" s="0" t="s">
        <v>1365</v>
      </c>
    </row>
    <row r="485" customFormat="false" ht="15" hidden="false" customHeight="false" outlineLevel="0" collapsed="false">
      <c r="A485" s="0" t="s">
        <v>1361</v>
      </c>
      <c r="B485" s="0" t="s">
        <v>658</v>
      </c>
      <c r="C485" s="0" t="s">
        <v>12</v>
      </c>
      <c r="D485" s="0" t="s">
        <v>1366</v>
      </c>
      <c r="E485" s="0" t="s">
        <v>1367</v>
      </c>
      <c r="F485" s="0" t="n">
        <f aca="false">HYPERLINK("http://clipc-services.ceda.ac.uk/dreq/u/9122e7b627c429163fd0857dc366e14e.html","web")</f>
        <v>0</v>
      </c>
      <c r="G485" s="0" t="s">
        <v>57</v>
      </c>
      <c r="H485" s="0" t="s">
        <v>58</v>
      </c>
      <c r="I485" s="0" t="s">
        <v>660</v>
      </c>
      <c r="J485" s="0" t="s">
        <v>387</v>
      </c>
    </row>
    <row r="486" customFormat="false" ht="15" hidden="false" customHeight="false" outlineLevel="0" collapsed="false">
      <c r="A486" s="0" t="s">
        <v>1361</v>
      </c>
      <c r="B486" s="0" t="s">
        <v>1368</v>
      </c>
      <c r="C486" s="0" t="s">
        <v>12</v>
      </c>
      <c r="D486" s="0" t="s">
        <v>938</v>
      </c>
      <c r="E486" s="0" t="s">
        <v>1369</v>
      </c>
      <c r="F486" s="0" t="n">
        <f aca="false">HYPERLINK("http://clipc-services.ceda.ac.uk/dreq/u/62c5b9728a01c0031e3a788ac4c8eff5.html","web")</f>
        <v>0</v>
      </c>
      <c r="G486" s="0" t="s">
        <v>57</v>
      </c>
      <c r="H486" s="0" t="s">
        <v>58</v>
      </c>
      <c r="I486" s="0" t="s">
        <v>1370</v>
      </c>
      <c r="J486" s="0" t="s">
        <v>1365</v>
      </c>
    </row>
    <row r="487" customFormat="false" ht="15" hidden="false" customHeight="false" outlineLevel="0" collapsed="false">
      <c r="A487" s="0" t="s">
        <v>1361</v>
      </c>
      <c r="B487" s="0" t="s">
        <v>1371</v>
      </c>
      <c r="C487" s="0" t="s">
        <v>12</v>
      </c>
      <c r="D487" s="0" t="s">
        <v>1372</v>
      </c>
      <c r="E487" s="0" t="s">
        <v>1373</v>
      </c>
      <c r="F487" s="0" t="n">
        <f aca="false">HYPERLINK("http://clipc-services.ceda.ac.uk/dreq/u/20e7d22ad09b324af00f41f6060701a7.html","web")</f>
        <v>0</v>
      </c>
      <c r="G487" s="0" t="s">
        <v>57</v>
      </c>
      <c r="H487" s="0" t="s">
        <v>58</v>
      </c>
      <c r="I487" s="0" t="s">
        <v>1374</v>
      </c>
      <c r="J487" s="0" t="s">
        <v>1365</v>
      </c>
    </row>
    <row r="488" customFormat="false" ht="15" hidden="false" customHeight="false" outlineLevel="0" collapsed="false">
      <c r="A488" s="0" t="s">
        <v>1361</v>
      </c>
      <c r="B488" s="0" t="s">
        <v>1375</v>
      </c>
      <c r="C488" s="0" t="s">
        <v>12</v>
      </c>
      <c r="D488" s="0" t="s">
        <v>938</v>
      </c>
      <c r="E488" s="0" t="s">
        <v>1376</v>
      </c>
      <c r="F488" s="0" t="n">
        <f aca="false">HYPERLINK("http://clipc-services.ceda.ac.uk/dreq/u/1d3ef4c73895a317948f1f3870f65834.html","web")</f>
        <v>0</v>
      </c>
      <c r="G488" s="0" t="s">
        <v>57</v>
      </c>
      <c r="H488" s="0" t="s">
        <v>58</v>
      </c>
      <c r="I488" s="0" t="s">
        <v>1377</v>
      </c>
      <c r="J488" s="0" t="s">
        <v>1378</v>
      </c>
    </row>
    <row r="489" customFormat="false" ht="15" hidden="false" customHeight="false" outlineLevel="0" collapsed="false">
      <c r="A489" s="0" t="s">
        <v>1361</v>
      </c>
      <c r="B489" s="0" t="s">
        <v>757</v>
      </c>
      <c r="C489" s="0" t="s">
        <v>12</v>
      </c>
      <c r="D489" s="0" t="s">
        <v>938</v>
      </c>
      <c r="E489" s="0" t="s">
        <v>758</v>
      </c>
      <c r="F489" s="0" t="n">
        <f aca="false">HYPERLINK("http://clipc-services.ceda.ac.uk/dreq/u/1418ccb847c5c235176620baf22d7b33.html","web")</f>
        <v>0</v>
      </c>
      <c r="G489" s="0" t="s">
        <v>57</v>
      </c>
      <c r="H489" s="0" t="s">
        <v>58</v>
      </c>
      <c r="I489" s="0" t="s">
        <v>759</v>
      </c>
      <c r="J489" s="0" t="s">
        <v>1365</v>
      </c>
    </row>
    <row r="490" customFormat="false" ht="15" hidden="false" customHeight="false" outlineLevel="0" collapsed="false"/>
    <row r="491" customFormat="false" ht="15" hidden="false" customHeight="false" outlineLevel="0" collapsed="false">
      <c r="A491" s="0" t="s">
        <v>1379</v>
      </c>
      <c r="B491" s="0" t="s">
        <v>1380</v>
      </c>
      <c r="C491" s="0" t="s">
        <v>54</v>
      </c>
      <c r="D491" s="0" t="s">
        <v>1381</v>
      </c>
      <c r="E491" s="0" t="s">
        <v>1382</v>
      </c>
      <c r="F491" s="0" t="n">
        <f aca="false">HYPERLINK("http://clipc-services.ceda.ac.uk/dreq/u/591389b8-9e49-11e5-803c-0d0b866b59f3.html","web")</f>
        <v>0</v>
      </c>
      <c r="G491" s="0" t="s">
        <v>250</v>
      </c>
      <c r="H491" s="0" t="s">
        <v>251</v>
      </c>
      <c r="I491" s="0" t="s">
        <v>1383</v>
      </c>
      <c r="J491" s="0" t="s">
        <v>1319</v>
      </c>
    </row>
    <row r="492" customFormat="false" ht="15" hidden="false" customHeight="false" outlineLevel="0" collapsed="false"/>
    <row r="493" customFormat="false" ht="15" hidden="false" customHeight="false" outlineLevel="0" collapsed="false">
      <c r="A493" s="0" t="s">
        <v>1384</v>
      </c>
      <c r="B493" s="0" t="s">
        <v>1385</v>
      </c>
      <c r="C493" s="0" t="s">
        <v>12</v>
      </c>
      <c r="D493" s="0" t="s">
        <v>55</v>
      </c>
      <c r="E493" s="0" t="s">
        <v>1386</v>
      </c>
      <c r="F493" s="0" t="n">
        <f aca="false">HYPERLINK("http://clipc-services.ceda.ac.uk/dreq/u/6c3e8db1b45a6ae7e80ca5a265c0fd50.html","web")</f>
        <v>0</v>
      </c>
      <c r="G493" s="0" t="s">
        <v>250</v>
      </c>
      <c r="H493" s="0" t="s">
        <v>251</v>
      </c>
      <c r="I493" s="0" t="s">
        <v>1387</v>
      </c>
      <c r="J493" s="0" t="s">
        <v>1388</v>
      </c>
    </row>
    <row r="494" customFormat="false" ht="15" hidden="false" customHeight="false" outlineLevel="0" collapsed="false">
      <c r="A494" s="0" t="s">
        <v>1384</v>
      </c>
      <c r="B494" s="0" t="s">
        <v>1380</v>
      </c>
      <c r="C494" s="0" t="s">
        <v>12</v>
      </c>
      <c r="D494" s="0" t="s">
        <v>1389</v>
      </c>
      <c r="E494" s="0" t="s">
        <v>1390</v>
      </c>
      <c r="F494" s="0" t="n">
        <f aca="false">HYPERLINK("http://clipc-services.ceda.ac.uk/dreq/u/591389b8-9e49-11e5-803c-0d0b866b59f3.html","web")</f>
        <v>0</v>
      </c>
      <c r="G494" s="0" t="s">
        <v>250</v>
      </c>
      <c r="H494" s="0" t="s">
        <v>251</v>
      </c>
      <c r="I494" s="0" t="s">
        <v>1383</v>
      </c>
      <c r="J494" s="0" t="s">
        <v>1391</v>
      </c>
    </row>
    <row r="495" customFormat="false" ht="15" hidden="false" customHeight="false" outlineLevel="0" collapsed="false">
      <c r="A495" s="0" t="s">
        <v>1384</v>
      </c>
      <c r="B495" s="0" t="s">
        <v>1392</v>
      </c>
      <c r="C495" s="0" t="s">
        <v>12</v>
      </c>
      <c r="D495" s="0" t="s">
        <v>1389</v>
      </c>
      <c r="E495" s="0" t="s">
        <v>1393</v>
      </c>
      <c r="F495" s="0" t="n">
        <f aca="false">HYPERLINK("http://clipc-services.ceda.ac.uk/dreq/u/5914640a-9e49-11e5-803c-0d0b866b59f3.html","web")</f>
        <v>0</v>
      </c>
      <c r="G495" s="0" t="s">
        <v>1394</v>
      </c>
      <c r="H495" s="0" t="s">
        <v>251</v>
      </c>
      <c r="I495" s="0" t="s">
        <v>1395</v>
      </c>
      <c r="J495" s="0" t="s">
        <v>1388</v>
      </c>
    </row>
    <row r="496" customFormat="false" ht="15" hidden="false" customHeight="false" outlineLevel="0" collapsed="false">
      <c r="A496" s="0" t="s">
        <v>1384</v>
      </c>
      <c r="B496" s="0" t="s">
        <v>1396</v>
      </c>
      <c r="C496" s="0" t="s">
        <v>12</v>
      </c>
      <c r="D496" s="0" t="s">
        <v>55</v>
      </c>
      <c r="E496" s="0" t="s">
        <v>1397</v>
      </c>
      <c r="F496" s="0" t="n">
        <f aca="false">HYPERLINK("http://clipc-services.ceda.ac.uk/dreq/u/c23a39645d860d5a2d7f34ea91d1fd82.html","web")</f>
        <v>0</v>
      </c>
      <c r="G496" s="0" t="s">
        <v>1398</v>
      </c>
      <c r="H496" s="0" t="s">
        <v>614</v>
      </c>
      <c r="J496" s="0" t="s">
        <v>1301</v>
      </c>
    </row>
    <row r="497" customFormat="false" ht="15" hidden="false" customHeight="false" outlineLevel="0" collapsed="false">
      <c r="A497" s="0" t="s">
        <v>1384</v>
      </c>
      <c r="B497" s="0" t="s">
        <v>1399</v>
      </c>
      <c r="C497" s="0" t="s">
        <v>80</v>
      </c>
      <c r="D497" s="0" t="s">
        <v>55</v>
      </c>
      <c r="E497" s="0" t="s">
        <v>1400</v>
      </c>
      <c r="F497" s="0" t="n">
        <f aca="false">HYPERLINK("http://clipc-services.ceda.ac.uk/dreq/u/46bc4ce008d1306ea0780510304cfa88.html","web")</f>
        <v>0</v>
      </c>
      <c r="G497" s="0" t="s">
        <v>57</v>
      </c>
      <c r="H497" s="0" t="s">
        <v>58</v>
      </c>
      <c r="J497" s="0" t="s">
        <v>253</v>
      </c>
    </row>
    <row r="498" customFormat="false" ht="15" hidden="false" customHeight="false" outlineLevel="0" collapsed="false">
      <c r="A498" s="0" t="s">
        <v>1384</v>
      </c>
      <c r="B498" s="0" t="s">
        <v>1401</v>
      </c>
      <c r="C498" s="0" t="s">
        <v>12</v>
      </c>
      <c r="D498" s="0" t="s">
        <v>55</v>
      </c>
      <c r="E498" s="0" t="s">
        <v>1402</v>
      </c>
      <c r="F498" s="0" t="n">
        <f aca="false">HYPERLINK("http://clipc-services.ceda.ac.uk/dreq/u/590ea93e-9e49-11e5-803c-0d0b866b59f3.html","web")</f>
        <v>0</v>
      </c>
      <c r="G498" s="0" t="s">
        <v>1403</v>
      </c>
      <c r="H498" s="0" t="s">
        <v>50</v>
      </c>
      <c r="I498" s="0" t="s">
        <v>1404</v>
      </c>
      <c r="J498" s="0" t="s">
        <v>1405</v>
      </c>
    </row>
    <row r="499" customFormat="false" ht="15" hidden="false" customHeight="false" outlineLevel="0" collapsed="false">
      <c r="A499" s="0" t="s">
        <v>1384</v>
      </c>
      <c r="B499" s="0" t="s">
        <v>1406</v>
      </c>
      <c r="C499" s="0" t="s">
        <v>12</v>
      </c>
      <c r="D499" s="0" t="s">
        <v>55</v>
      </c>
      <c r="E499" s="0" t="s">
        <v>1407</v>
      </c>
      <c r="F499" s="0" t="n">
        <f aca="false">HYPERLINK("http://clipc-services.ceda.ac.uk/dreq/u/590f5b72-9e49-11e5-803c-0d0b866b59f3.html","web")</f>
        <v>0</v>
      </c>
      <c r="G499" s="0" t="s">
        <v>1408</v>
      </c>
      <c r="H499" s="0" t="s">
        <v>50</v>
      </c>
      <c r="I499" s="0" t="s">
        <v>1409</v>
      </c>
      <c r="J499" s="0" t="s">
        <v>1405</v>
      </c>
    </row>
    <row r="500" customFormat="false" ht="15" hidden="false" customHeight="false" outlineLevel="0" collapsed="false">
      <c r="A500" s="0" t="s">
        <v>1384</v>
      </c>
      <c r="B500" s="0" t="s">
        <v>1410</v>
      </c>
      <c r="C500" s="0" t="s">
        <v>12</v>
      </c>
      <c r="D500" s="0" t="s">
        <v>55</v>
      </c>
      <c r="E500" s="0" t="s">
        <v>1411</v>
      </c>
      <c r="F500" s="0" t="n">
        <f aca="false">HYPERLINK("http://clipc-services.ceda.ac.uk/dreq/u/cdd8f95be110061697bc323f6bcaba2d.html","web")</f>
        <v>0</v>
      </c>
      <c r="G500" s="0" t="s">
        <v>1412</v>
      </c>
      <c r="H500" s="0" t="s">
        <v>50</v>
      </c>
      <c r="I500" s="0" t="s">
        <v>1413</v>
      </c>
      <c r="J500" s="0" t="s">
        <v>1414</v>
      </c>
    </row>
    <row r="501" customFormat="false" ht="15" hidden="false" customHeight="false" outlineLevel="0" collapsed="false">
      <c r="A501" s="0" t="s">
        <v>1384</v>
      </c>
      <c r="B501" s="0" t="s">
        <v>1415</v>
      </c>
      <c r="C501" s="0" t="s">
        <v>12</v>
      </c>
      <c r="D501" s="0" t="s">
        <v>55</v>
      </c>
      <c r="E501" s="0" t="s">
        <v>1416</v>
      </c>
      <c r="F501" s="0" t="n">
        <f aca="false">HYPERLINK("http://clipc-services.ceda.ac.uk/dreq/u/3e7348adedb540627808da06a211c81c.html","web")</f>
        <v>0</v>
      </c>
      <c r="G501" s="0" t="s">
        <v>1417</v>
      </c>
      <c r="H501" s="0" t="s">
        <v>50</v>
      </c>
      <c r="I501" s="0" t="s">
        <v>1418</v>
      </c>
      <c r="J501" s="0" t="s">
        <v>1414</v>
      </c>
    </row>
    <row r="502" customFormat="false" ht="15" hidden="false" customHeight="false" outlineLevel="0" collapsed="false">
      <c r="A502" s="0" t="s">
        <v>1384</v>
      </c>
      <c r="B502" s="0" t="s">
        <v>1419</v>
      </c>
      <c r="C502" s="0" t="s">
        <v>12</v>
      </c>
      <c r="D502" s="0" t="s">
        <v>55</v>
      </c>
      <c r="E502" s="0" t="s">
        <v>1420</v>
      </c>
      <c r="F502" s="0" t="n">
        <f aca="false">HYPERLINK("http://clipc-services.ceda.ac.uk/dreq/u/93e06dd7c756aade75235d7841c05269.html","web")</f>
        <v>0</v>
      </c>
      <c r="G502" s="0" t="s">
        <v>1421</v>
      </c>
      <c r="H502" s="0" t="s">
        <v>50</v>
      </c>
      <c r="I502" s="0" t="s">
        <v>1422</v>
      </c>
      <c r="J502" s="0" t="s">
        <v>946</v>
      </c>
    </row>
    <row r="503" customFormat="false" ht="15" hidden="false" customHeight="false" outlineLevel="0" collapsed="false">
      <c r="A503" s="0" t="s">
        <v>1384</v>
      </c>
      <c r="B503" s="0" t="s">
        <v>1423</v>
      </c>
      <c r="C503" s="0" t="s">
        <v>12</v>
      </c>
      <c r="D503" s="0" t="s">
        <v>55</v>
      </c>
      <c r="E503" s="0" t="s">
        <v>1424</v>
      </c>
      <c r="F503" s="0" t="n">
        <f aca="false">HYPERLINK("http://clipc-services.ceda.ac.uk/dreq/u/81f029ba-b63d-11e6-98cb-ac72891c3257.html","web")</f>
        <v>0</v>
      </c>
      <c r="G503" s="0" t="s">
        <v>1425</v>
      </c>
      <c r="H503" s="0" t="s">
        <v>251</v>
      </c>
      <c r="I503" s="0" t="s">
        <v>1426</v>
      </c>
      <c r="J503" s="0" t="s">
        <v>997</v>
      </c>
    </row>
    <row r="505" customFormat="false" ht="13.8" hidden="false" customHeight="false" outlineLevel="0" collapsed="false">
      <c r="A505" s="0" t="s">
        <v>1384</v>
      </c>
      <c r="B505" s="0" t="s">
        <v>1427</v>
      </c>
      <c r="C505" s="0" t="n">
        <v>1</v>
      </c>
      <c r="D505" s="0" t="s">
        <v>55</v>
      </c>
      <c r="E505" s="0" t="s">
        <v>1428</v>
      </c>
      <c r="F505" s="0" t="s">
        <v>1429</v>
      </c>
      <c r="G505" s="0" t="s">
        <v>1430</v>
      </c>
      <c r="H505" s="0" t="s">
        <v>251</v>
      </c>
      <c r="J505" s="0" t="s">
        <v>25</v>
      </c>
    </row>
    <row r="506" customFormat="false" ht="13.8" hidden="false" customHeight="false" outlineLevel="0" collapsed="false">
      <c r="A506" s="0" t="s">
        <v>1384</v>
      </c>
      <c r="B506" s="0" t="s">
        <v>1431</v>
      </c>
      <c r="C506" s="0" t="n">
        <v>1</v>
      </c>
      <c r="D506" s="0" t="s">
        <v>55</v>
      </c>
      <c r="E506" s="0" t="s">
        <v>1432</v>
      </c>
      <c r="F506" s="0" t="s">
        <v>1429</v>
      </c>
      <c r="G506" s="0" t="s">
        <v>1433</v>
      </c>
      <c r="H506" s="0" t="s">
        <v>251</v>
      </c>
      <c r="J506" s="0" t="s">
        <v>25</v>
      </c>
    </row>
    <row r="507" customFormat="false" ht="13.8" hidden="false" customHeight="false" outlineLevel="0" collapsed="false">
      <c r="A507" s="0" t="s">
        <v>1384</v>
      </c>
      <c r="B507" s="0" t="s">
        <v>1434</v>
      </c>
      <c r="C507" s="0" t="n">
        <v>1</v>
      </c>
      <c r="D507" s="0" t="s">
        <v>55</v>
      </c>
      <c r="E507" s="0" t="s">
        <v>1435</v>
      </c>
      <c r="F507" s="0" t="s">
        <v>1429</v>
      </c>
      <c r="G507" s="0" t="s">
        <v>1436</v>
      </c>
      <c r="H507" s="0" t="s">
        <v>251</v>
      </c>
      <c r="I507" s="0" t="s">
        <v>1437</v>
      </c>
      <c r="J507" s="0" t="s">
        <v>25</v>
      </c>
    </row>
    <row r="508" customFormat="false" ht="13.8" hidden="false" customHeight="false" outlineLevel="0" collapsed="false">
      <c r="A508" s="0" t="s">
        <v>1384</v>
      </c>
      <c r="B508" s="0" t="s">
        <v>1438</v>
      </c>
      <c r="C508" s="0" t="n">
        <v>1</v>
      </c>
      <c r="D508" s="0" t="s">
        <v>55</v>
      </c>
      <c r="E508" s="0" t="s">
        <v>1439</v>
      </c>
      <c r="F508" s="0" t="s">
        <v>1429</v>
      </c>
      <c r="G508" s="0" t="s">
        <v>1440</v>
      </c>
      <c r="H508" s="0" t="s">
        <v>251</v>
      </c>
      <c r="I508" s="0" t="s">
        <v>1441</v>
      </c>
      <c r="J508" s="0" t="s">
        <v>25</v>
      </c>
    </row>
    <row r="511" customFormat="false" ht="13.8" hidden="false" customHeight="false" outlineLevel="0" collapsed="false">
      <c r="A511" s="0" t="s">
        <v>1442</v>
      </c>
      <c r="B511" s="0" t="s">
        <v>982</v>
      </c>
      <c r="C511" s="0" t="s">
        <v>12</v>
      </c>
      <c r="D511" s="0" t="s">
        <v>947</v>
      </c>
      <c r="E511" s="0" t="s">
        <v>1031</v>
      </c>
      <c r="F511" s="0" t="n">
        <f aca="false">HYPERLINK("http://clipc-services.ceda.ac.uk/dreq/u/7f4c49e8abe3230e87fa7299b73448fa.html","web")</f>
        <v>0</v>
      </c>
      <c r="G511" s="0" t="s">
        <v>74</v>
      </c>
      <c r="H511" s="0" t="s">
        <v>75</v>
      </c>
      <c r="I511" s="0" t="s">
        <v>968</v>
      </c>
      <c r="J511" s="0" t="s">
        <v>77</v>
      </c>
    </row>
    <row r="512" customFormat="false" ht="13.8" hidden="false" customHeight="false" outlineLevel="0" collapsed="false">
      <c r="A512" s="0" t="s">
        <v>1442</v>
      </c>
      <c r="B512" s="0" t="s">
        <v>1113</v>
      </c>
      <c r="C512" s="0" t="s">
        <v>12</v>
      </c>
      <c r="D512" s="0" t="s">
        <v>947</v>
      </c>
      <c r="E512" s="0" t="s">
        <v>1114</v>
      </c>
      <c r="F512" s="0" t="n">
        <f aca="false">HYPERLINK("http://clipc-services.ceda.ac.uk/dreq/u/a7cf325e9bf994ade073a1297378a57c.html","web")</f>
        <v>0</v>
      </c>
      <c r="G512" s="0" t="s">
        <v>74</v>
      </c>
      <c r="H512" s="0" t="s">
        <v>75</v>
      </c>
      <c r="I512" s="0" t="s">
        <v>1115</v>
      </c>
      <c r="J512" s="0" t="s">
        <v>77</v>
      </c>
    </row>
    <row r="513" customFormat="false" ht="13.8" hidden="false" customHeight="false" outlineLevel="0" collapsed="false">
      <c r="A513" s="0" t="s">
        <v>1442</v>
      </c>
      <c r="B513" s="0" t="s">
        <v>1119</v>
      </c>
      <c r="C513" s="0" t="s">
        <v>12</v>
      </c>
      <c r="D513" s="0" t="s">
        <v>947</v>
      </c>
      <c r="E513" s="0" t="s">
        <v>1120</v>
      </c>
      <c r="F513" s="0" t="n">
        <f aca="false">HYPERLINK("http://clipc-services.ceda.ac.uk/dreq/u/07ae8a0c132c9bf65a2722885a2fcd08.html","web")</f>
        <v>0</v>
      </c>
      <c r="G513" s="0" t="s">
        <v>74</v>
      </c>
      <c r="H513" s="0" t="s">
        <v>75</v>
      </c>
      <c r="I513" s="0" t="s">
        <v>968</v>
      </c>
      <c r="J513" s="0" t="s">
        <v>77</v>
      </c>
    </row>
    <row r="514" customFormat="false" ht="13.8" hidden="false" customHeight="false" outlineLevel="0" collapsed="false">
      <c r="A514" s="0" t="s">
        <v>1442</v>
      </c>
      <c r="B514" s="0" t="s">
        <v>1443</v>
      </c>
      <c r="C514" s="0" t="s">
        <v>12</v>
      </c>
      <c r="D514" s="0" t="s">
        <v>947</v>
      </c>
      <c r="E514" s="0" t="s">
        <v>1444</v>
      </c>
      <c r="F514" s="0" t="n">
        <f aca="false">HYPERLINK("http://clipc-services.ceda.ac.uk/dreq/u/96f51020-b096-11e6-aab6-ac72891c3257.html","web")</f>
        <v>0</v>
      </c>
      <c r="G514" s="0" t="s">
        <v>74</v>
      </c>
      <c r="H514" s="0" t="s">
        <v>75</v>
      </c>
      <c r="I514" s="0" t="s">
        <v>1445</v>
      </c>
      <c r="J514" s="0" t="s">
        <v>77</v>
      </c>
    </row>
    <row r="515" customFormat="false" ht="13.8" hidden="false" customHeight="false" outlineLevel="0" collapsed="false">
      <c r="A515" s="0" t="s">
        <v>1442</v>
      </c>
      <c r="B515" s="0" t="s">
        <v>1446</v>
      </c>
      <c r="C515" s="0" t="s">
        <v>12</v>
      </c>
      <c r="D515" s="0" t="s">
        <v>947</v>
      </c>
      <c r="E515" s="0" t="s">
        <v>1447</v>
      </c>
      <c r="F515" s="0" t="n">
        <f aca="false">HYPERLINK("http://clipc-services.ceda.ac.uk/dreq/u/e29fbc42-b095-11e6-aab6-ac72891c3257.html","web")</f>
        <v>0</v>
      </c>
      <c r="G515" s="0" t="s">
        <v>74</v>
      </c>
      <c r="H515" s="0" t="s">
        <v>75</v>
      </c>
      <c r="I515" s="0" t="s">
        <v>1448</v>
      </c>
      <c r="J515" s="0" t="s">
        <v>77</v>
      </c>
    </row>
    <row r="516" customFormat="false" ht="13.8" hidden="false" customHeight="false" outlineLevel="0" collapsed="false">
      <c r="A516" s="0" t="s">
        <v>1442</v>
      </c>
      <c r="B516" s="0" t="s">
        <v>965</v>
      </c>
      <c r="C516" s="0" t="s">
        <v>12</v>
      </c>
      <c r="D516" s="0" t="s">
        <v>947</v>
      </c>
      <c r="E516" s="0" t="s">
        <v>1184</v>
      </c>
      <c r="F516" s="0" t="n">
        <f aca="false">HYPERLINK("http://clipc-services.ceda.ac.uk/dreq/u/1d4594c97188efd47935238a429e02e4.html","web")</f>
        <v>0</v>
      </c>
      <c r="G516" s="0" t="s">
        <v>74</v>
      </c>
      <c r="H516" s="0" t="s">
        <v>75</v>
      </c>
      <c r="I516" s="0" t="s">
        <v>968</v>
      </c>
      <c r="J516" s="0" t="s">
        <v>77</v>
      </c>
    </row>
    <row r="517" customFormat="false" ht="13.8" hidden="false" customHeight="false" outlineLevel="0" collapsed="false">
      <c r="A517" s="0" t="s">
        <v>1442</v>
      </c>
      <c r="B517" s="0" t="s">
        <v>1234</v>
      </c>
      <c r="C517" s="0" t="s">
        <v>12</v>
      </c>
      <c r="D517" s="0" t="s">
        <v>947</v>
      </c>
      <c r="E517" s="0" t="s">
        <v>1235</v>
      </c>
      <c r="F517" s="0" t="n">
        <f aca="false">HYPERLINK("http://clipc-services.ceda.ac.uk/dreq/u/609d47152c2ed8122caa2528117aff9a.html","web")</f>
        <v>0</v>
      </c>
      <c r="G517" s="0" t="s">
        <v>74</v>
      </c>
      <c r="H517" s="0" t="s">
        <v>75</v>
      </c>
      <c r="I517" s="0" t="s">
        <v>968</v>
      </c>
      <c r="J517" s="0" t="s">
        <v>77</v>
      </c>
    </row>
    <row r="519" customFormat="false" ht="13.8" hidden="false" customHeight="false" outlineLevel="0" collapsed="false">
      <c r="A519" s="0" t="s">
        <v>1449</v>
      </c>
      <c r="B519" s="0" t="s">
        <v>1041</v>
      </c>
      <c r="C519" s="0" t="s">
        <v>12</v>
      </c>
      <c r="D519" s="0" t="s">
        <v>292</v>
      </c>
      <c r="E519" s="0" t="s">
        <v>1450</v>
      </c>
      <c r="F519" s="0" t="n">
        <f aca="false">HYPERLINK("http://clipc-services.ceda.ac.uk/dreq/u/4e6ce0bc3ad0814b4c0523304965513f.html","web")</f>
        <v>0</v>
      </c>
      <c r="G519" s="0" t="s">
        <v>1043</v>
      </c>
      <c r="H519" s="0" t="s">
        <v>50</v>
      </c>
      <c r="I519" s="0" t="s">
        <v>1044</v>
      </c>
      <c r="J519" s="0" t="s">
        <v>1301</v>
      </c>
    </row>
    <row r="520" customFormat="false" ht="13.8" hidden="false" customHeight="false" outlineLevel="0" collapsed="false">
      <c r="A520" s="0" t="s">
        <v>1449</v>
      </c>
      <c r="B520" s="0" t="s">
        <v>242</v>
      </c>
      <c r="C520" s="0" t="s">
        <v>80</v>
      </c>
      <c r="D520" s="0" t="s">
        <v>1451</v>
      </c>
      <c r="E520" s="0" t="s">
        <v>244</v>
      </c>
      <c r="F520" s="0" t="n">
        <f aca="false">HYPERLINK("http://clipc-services.ceda.ac.uk/dreq/u/154ab10964742eaff37de9cc5beef39c.html","web")</f>
        <v>0</v>
      </c>
      <c r="G520" s="0" t="s">
        <v>74</v>
      </c>
      <c r="H520" s="0" t="s">
        <v>75</v>
      </c>
      <c r="I520" s="0" t="s">
        <v>245</v>
      </c>
      <c r="J520" s="0" t="s">
        <v>1452</v>
      </c>
    </row>
    <row r="521" customFormat="false" ht="13.8" hidden="false" customHeight="false" outlineLevel="0" collapsed="false">
      <c r="A521" s="0" t="s">
        <v>1449</v>
      </c>
      <c r="B521" s="0" t="s">
        <v>1113</v>
      </c>
      <c r="C521" s="0" t="s">
        <v>80</v>
      </c>
      <c r="D521" s="0" t="s">
        <v>1317</v>
      </c>
      <c r="E521" s="0" t="s">
        <v>1114</v>
      </c>
      <c r="F521" s="0" t="n">
        <f aca="false">HYPERLINK("http://clipc-services.ceda.ac.uk/dreq/u/a7cf325e9bf994ade073a1297378a57c.html","web")</f>
        <v>0</v>
      </c>
      <c r="G521" s="0" t="s">
        <v>74</v>
      </c>
      <c r="H521" s="0" t="s">
        <v>75</v>
      </c>
      <c r="I521" s="0" t="s">
        <v>1115</v>
      </c>
      <c r="J521" s="0" t="s">
        <v>1301</v>
      </c>
    </row>
    <row r="523" customFormat="false" ht="13.8" hidden="false" customHeight="false" outlineLevel="0" collapsed="false">
      <c r="A523" s="0" t="s">
        <v>1453</v>
      </c>
      <c r="B523" s="0" t="s">
        <v>199</v>
      </c>
      <c r="C523" s="0" t="s">
        <v>80</v>
      </c>
      <c r="D523" s="0" t="s">
        <v>55</v>
      </c>
      <c r="E523" s="0" t="s">
        <v>1454</v>
      </c>
      <c r="F523" s="0" t="n">
        <f aca="false">HYPERLINK("http://clipc-services.ceda.ac.uk/dreq/u/5912cab4-9e49-11e5-803c-0d0b866b59f3.html","web")</f>
        <v>0</v>
      </c>
      <c r="G523" s="0" t="s">
        <v>202</v>
      </c>
      <c r="H523" s="0" t="s">
        <v>203</v>
      </c>
      <c r="I523" s="0" t="s">
        <v>204</v>
      </c>
      <c r="J523" s="0" t="s">
        <v>25</v>
      </c>
    </row>
    <row r="524" customFormat="false" ht="13.8" hidden="false" customHeight="false" outlineLevel="0" collapsed="false">
      <c r="A524" s="0" t="s">
        <v>1453</v>
      </c>
      <c r="B524" s="0" t="s">
        <v>1455</v>
      </c>
      <c r="C524" s="0" t="s">
        <v>12</v>
      </c>
      <c r="D524" s="0" t="s">
        <v>55</v>
      </c>
      <c r="E524" s="0" t="s">
        <v>1456</v>
      </c>
      <c r="F524" s="0" t="n">
        <f aca="false">HYPERLINK("http://clipc-services.ceda.ac.uk/dreq/u/5917e2ba-9e49-11e5-803c-0d0b866b59f3.html","web")</f>
        <v>0</v>
      </c>
      <c r="G524" s="0" t="s">
        <v>1457</v>
      </c>
      <c r="H524" s="0" t="s">
        <v>614</v>
      </c>
      <c r="I524" s="0" t="s">
        <v>204</v>
      </c>
      <c r="J524" s="0" t="s">
        <v>25</v>
      </c>
    </row>
    <row r="526" customFormat="false" ht="13.8" hidden="false" customHeight="false" outlineLevel="0" collapsed="false">
      <c r="A526" s="0" t="s">
        <v>1458</v>
      </c>
      <c r="B526" s="0" t="s">
        <v>291</v>
      </c>
      <c r="C526" s="0" t="s">
        <v>12</v>
      </c>
      <c r="D526" s="0" t="s">
        <v>55</v>
      </c>
      <c r="E526" s="0" t="s">
        <v>293</v>
      </c>
      <c r="F526" s="0" t="n">
        <f aca="false">HYPERLINK("http://clipc-services.ceda.ac.uk/dreq/u/6c08493dc9183b6ec7005a6be27f67f1.html","web")</f>
        <v>0</v>
      </c>
      <c r="G526" s="0" t="s">
        <v>250</v>
      </c>
      <c r="H526" s="0" t="s">
        <v>251</v>
      </c>
      <c r="I526" s="0" t="s">
        <v>294</v>
      </c>
      <c r="J526" s="0" t="s">
        <v>1459</v>
      </c>
    </row>
    <row r="527" customFormat="false" ht="13.8" hidden="false" customHeight="false" outlineLevel="0" collapsed="false">
      <c r="A527" s="0" t="s">
        <v>1458</v>
      </c>
      <c r="B527" s="0" t="s">
        <v>1380</v>
      </c>
      <c r="C527" s="0" t="s">
        <v>12</v>
      </c>
      <c r="D527" s="0" t="s">
        <v>1389</v>
      </c>
      <c r="E527" s="0" t="s">
        <v>1390</v>
      </c>
      <c r="F527" s="0" t="n">
        <f aca="false">HYPERLINK("http://clipc-services.ceda.ac.uk/dreq/u/591389b8-9e49-11e5-803c-0d0b866b59f3.html","web")</f>
        <v>0</v>
      </c>
      <c r="G527" s="0" t="s">
        <v>250</v>
      </c>
      <c r="H527" s="0" t="s">
        <v>251</v>
      </c>
      <c r="I527" s="0" t="s">
        <v>1383</v>
      </c>
      <c r="J527" s="0" t="s">
        <v>1460</v>
      </c>
    </row>
    <row r="528" customFormat="false" ht="13.8" hidden="false" customHeight="false" outlineLevel="0" collapsed="false">
      <c r="A528" s="0" t="s">
        <v>1458</v>
      </c>
      <c r="B528" s="0" t="s">
        <v>1461</v>
      </c>
      <c r="C528" s="0" t="s">
        <v>12</v>
      </c>
      <c r="D528" s="0" t="s">
        <v>55</v>
      </c>
      <c r="E528" s="0" t="s">
        <v>1462</v>
      </c>
      <c r="F528" s="0" t="n">
        <f aca="false">HYPERLINK("http://clipc-services.ceda.ac.uk/dreq/u/590ddf9a-9e49-11e5-803c-0d0b866b59f3.html","web")</f>
        <v>0</v>
      </c>
      <c r="G528" s="0" t="s">
        <v>250</v>
      </c>
      <c r="H528" s="0" t="s">
        <v>251</v>
      </c>
      <c r="I528" s="0" t="s">
        <v>1463</v>
      </c>
      <c r="J528" s="0" t="s">
        <v>1464</v>
      </c>
    </row>
    <row r="529" customFormat="false" ht="13.8" hidden="false" customHeight="false" outlineLevel="0" collapsed="false">
      <c r="A529" s="0" t="s">
        <v>1458</v>
      </c>
      <c r="B529" s="0" t="s">
        <v>1465</v>
      </c>
      <c r="C529" s="0" t="s">
        <v>12</v>
      </c>
      <c r="D529" s="0" t="s">
        <v>55</v>
      </c>
      <c r="E529" s="0" t="s">
        <v>1466</v>
      </c>
      <c r="F529" s="0" t="n">
        <f aca="false">HYPERLINK("http://clipc-services.ceda.ac.uk/dreq/u/590f58de-9e49-11e5-803c-0d0b866b59f3.html","web")</f>
        <v>0</v>
      </c>
      <c r="G529" s="0" t="s">
        <v>250</v>
      </c>
      <c r="H529" s="0" t="s">
        <v>251</v>
      </c>
      <c r="I529" s="0" t="s">
        <v>1467</v>
      </c>
      <c r="J529" s="0" t="s">
        <v>1464</v>
      </c>
    </row>
    <row r="530" customFormat="false" ht="13.8" hidden="false" customHeight="false" outlineLevel="0" collapsed="false">
      <c r="A530" s="0" t="s">
        <v>1458</v>
      </c>
      <c r="B530" s="0" t="s">
        <v>1468</v>
      </c>
      <c r="C530" s="0" t="s">
        <v>12</v>
      </c>
      <c r="D530" s="0" t="s">
        <v>55</v>
      </c>
      <c r="E530" s="0" t="s">
        <v>1469</v>
      </c>
      <c r="F530" s="0" t="n">
        <f aca="false">HYPERLINK("http://clipc-services.ceda.ac.uk/dreq/u/590f933a-9e49-11e5-803c-0d0b866b59f3.html","web")</f>
        <v>0</v>
      </c>
      <c r="G530" s="0" t="s">
        <v>250</v>
      </c>
      <c r="H530" s="0" t="s">
        <v>251</v>
      </c>
      <c r="J530" s="0" t="s">
        <v>1464</v>
      </c>
    </row>
    <row r="531" customFormat="false" ht="13.8" hidden="false" customHeight="false" outlineLevel="0" collapsed="false">
      <c r="A531" s="0" t="s">
        <v>1458</v>
      </c>
      <c r="B531" s="0" t="s">
        <v>1470</v>
      </c>
      <c r="C531" s="0" t="s">
        <v>12</v>
      </c>
      <c r="D531" s="0" t="s">
        <v>55</v>
      </c>
      <c r="E531" s="0" t="s">
        <v>1471</v>
      </c>
      <c r="F531" s="0" t="n">
        <f aca="false">HYPERLINK("http://clipc-services.ceda.ac.uk/dreq/u/59149f2e-9e49-11e5-803c-0d0b866b59f3.html","web")</f>
        <v>0</v>
      </c>
      <c r="G531" s="0" t="s">
        <v>250</v>
      </c>
      <c r="H531" s="0" t="s">
        <v>251</v>
      </c>
      <c r="I531" s="0" t="s">
        <v>1472</v>
      </c>
      <c r="J531" s="0" t="s">
        <v>1464</v>
      </c>
    </row>
    <row r="532" customFormat="false" ht="13.8" hidden="false" customHeight="false" outlineLevel="0" collapsed="false">
      <c r="A532" s="0" t="s">
        <v>1458</v>
      </c>
      <c r="B532" s="0" t="s">
        <v>1473</v>
      </c>
      <c r="C532" s="0" t="s">
        <v>12</v>
      </c>
      <c r="D532" s="0" t="s">
        <v>55</v>
      </c>
      <c r="E532" s="0" t="s">
        <v>1474</v>
      </c>
      <c r="F532" s="0" t="n">
        <f aca="false">HYPERLINK("http://clipc-services.ceda.ac.uk/dreq/u/5913de9a-9e49-11e5-803c-0d0b866b59f3.html","web")</f>
        <v>0</v>
      </c>
      <c r="G532" s="0" t="s">
        <v>250</v>
      </c>
      <c r="H532" s="0" t="s">
        <v>251</v>
      </c>
      <c r="I532" s="0" t="s">
        <v>1475</v>
      </c>
      <c r="J532" s="0" t="s">
        <v>1464</v>
      </c>
    </row>
    <row r="533" customFormat="false" ht="13.8" hidden="false" customHeight="false" outlineLevel="0" collapsed="false">
      <c r="A533" s="0" t="s">
        <v>1458</v>
      </c>
      <c r="B533" s="0" t="s">
        <v>1476</v>
      </c>
      <c r="C533" s="0" t="s">
        <v>12</v>
      </c>
      <c r="D533" s="0" t="s">
        <v>55</v>
      </c>
      <c r="E533" s="0" t="s">
        <v>1477</v>
      </c>
      <c r="F533" s="0" t="n">
        <f aca="false">HYPERLINK("http://clipc-services.ceda.ac.uk/dreq/u/5917a796-9e49-11e5-803c-0d0b866b59f3.html","web")</f>
        <v>0</v>
      </c>
      <c r="G533" s="0" t="s">
        <v>250</v>
      </c>
      <c r="H533" s="0" t="s">
        <v>251</v>
      </c>
      <c r="I533" s="0" t="s">
        <v>1478</v>
      </c>
      <c r="J533" s="0" t="s">
        <v>1464</v>
      </c>
    </row>
    <row r="534" customFormat="false" ht="13.8" hidden="false" customHeight="false" outlineLevel="0" collapsed="false">
      <c r="A534" s="0" t="s">
        <v>1458</v>
      </c>
      <c r="B534" s="0" t="s">
        <v>1479</v>
      </c>
      <c r="C534" s="0" t="s">
        <v>12</v>
      </c>
      <c r="D534" s="0" t="s">
        <v>55</v>
      </c>
      <c r="E534" s="0" t="s">
        <v>1480</v>
      </c>
      <c r="F534" s="0" t="n">
        <f aca="false">HYPERLINK("http://clipc-services.ceda.ac.uk/dreq/u/590e70f4-9e49-11e5-803c-0d0b866b59f3.html","web")</f>
        <v>0</v>
      </c>
      <c r="G534" s="0" t="s">
        <v>250</v>
      </c>
      <c r="H534" s="0" t="s">
        <v>251</v>
      </c>
      <c r="I534" s="0" t="s">
        <v>1481</v>
      </c>
      <c r="J534" s="0" t="s">
        <v>1482</v>
      </c>
    </row>
    <row r="535" customFormat="false" ht="13.8" hidden="false" customHeight="false" outlineLevel="0" collapsed="false">
      <c r="A535" s="0" t="s">
        <v>1458</v>
      </c>
      <c r="B535" s="0" t="s">
        <v>1483</v>
      </c>
      <c r="C535" s="0" t="s">
        <v>12</v>
      </c>
      <c r="D535" s="0" t="s">
        <v>55</v>
      </c>
      <c r="E535" s="0" t="s">
        <v>1484</v>
      </c>
      <c r="F535" s="0" t="n">
        <f aca="false">HYPERLINK("http://clipc-services.ceda.ac.uk/dreq/u/5917f21e-9e49-11e5-803c-0d0b866b59f3.html","web")</f>
        <v>0</v>
      </c>
      <c r="G535" s="0" t="s">
        <v>250</v>
      </c>
      <c r="H535" s="0" t="s">
        <v>251</v>
      </c>
      <c r="I535" s="0" t="s">
        <v>1481</v>
      </c>
      <c r="J535" s="0" t="s">
        <v>1482</v>
      </c>
    </row>
    <row r="536" customFormat="false" ht="13.8" hidden="false" customHeight="false" outlineLevel="0" collapsed="false">
      <c r="A536" s="0" t="s">
        <v>1458</v>
      </c>
      <c r="B536" s="0" t="s">
        <v>1485</v>
      </c>
      <c r="C536" s="0" t="s">
        <v>12</v>
      </c>
      <c r="D536" s="0" t="s">
        <v>55</v>
      </c>
      <c r="E536" s="0" t="s">
        <v>1486</v>
      </c>
      <c r="F536" s="0" t="n">
        <f aca="false">HYPERLINK("http://clipc-services.ceda.ac.uk/dreq/u/59142e0e-9e49-11e5-803c-0d0b866b59f3.html","web")</f>
        <v>0</v>
      </c>
      <c r="G536" s="0" t="s">
        <v>250</v>
      </c>
      <c r="H536" s="0" t="s">
        <v>251</v>
      </c>
      <c r="I536" s="0" t="s">
        <v>1481</v>
      </c>
      <c r="J536" s="0" t="s">
        <v>1482</v>
      </c>
    </row>
    <row r="537" customFormat="false" ht="13.8" hidden="false" customHeight="false" outlineLevel="0" collapsed="false">
      <c r="A537" s="0" t="s">
        <v>1458</v>
      </c>
      <c r="B537" s="0" t="s">
        <v>1487</v>
      </c>
      <c r="C537" s="0" t="s">
        <v>12</v>
      </c>
      <c r="D537" s="0" t="s">
        <v>55</v>
      </c>
      <c r="E537" s="0" t="s">
        <v>1488</v>
      </c>
      <c r="F537" s="0" t="n">
        <f aca="false">HYPERLINK("http://clipc-services.ceda.ac.uk/dreq/u/5913fa10-9e49-11e5-803c-0d0b866b59f3.html","web")</f>
        <v>0</v>
      </c>
      <c r="G537" s="0" t="s">
        <v>250</v>
      </c>
      <c r="H537" s="0" t="s">
        <v>251</v>
      </c>
      <c r="I537" s="0" t="s">
        <v>1489</v>
      </c>
      <c r="J537" s="0" t="s">
        <v>1464</v>
      </c>
    </row>
    <row r="538" customFormat="false" ht="13.8" hidden="false" customHeight="false" outlineLevel="0" collapsed="false">
      <c r="A538" s="0" t="s">
        <v>1458</v>
      </c>
      <c r="B538" s="0" t="s">
        <v>1490</v>
      </c>
      <c r="C538" s="0" t="s">
        <v>12</v>
      </c>
      <c r="D538" s="0" t="s">
        <v>55</v>
      </c>
      <c r="E538" s="0" t="s">
        <v>1491</v>
      </c>
      <c r="F538" s="0" t="n">
        <f aca="false">HYPERLINK("http://clipc-services.ceda.ac.uk/dreq/u/591478be-9e49-11e5-803c-0d0b866b59f3.html","web")</f>
        <v>0</v>
      </c>
      <c r="G538" s="0" t="s">
        <v>250</v>
      </c>
      <c r="H538" s="0" t="s">
        <v>251</v>
      </c>
      <c r="I538" s="0" t="s">
        <v>1492</v>
      </c>
      <c r="J538" s="0" t="s">
        <v>1464</v>
      </c>
    </row>
    <row r="539" customFormat="false" ht="13.8" hidden="false" customHeight="false" outlineLevel="0" collapsed="false">
      <c r="A539" s="0" t="s">
        <v>1458</v>
      </c>
      <c r="B539" s="0" t="s">
        <v>1493</v>
      </c>
      <c r="C539" s="0" t="s">
        <v>12</v>
      </c>
      <c r="D539" s="0" t="s">
        <v>55</v>
      </c>
      <c r="E539" s="0" t="s">
        <v>1494</v>
      </c>
      <c r="F539" s="0" t="n">
        <f aca="false">HYPERLINK("http://clipc-services.ceda.ac.uk/dreq/u/84f09af8-acb7-11e6-b5ee-ac72891c3257.html","web")</f>
        <v>0</v>
      </c>
      <c r="G539" s="0" t="s">
        <v>250</v>
      </c>
      <c r="H539" s="0" t="s">
        <v>251</v>
      </c>
      <c r="I539" s="0" t="s">
        <v>1495</v>
      </c>
      <c r="J539" s="0" t="s">
        <v>1464</v>
      </c>
    </row>
    <row r="540" customFormat="false" ht="13.8" hidden="false" customHeight="false" outlineLevel="0" collapsed="false">
      <c r="A540" s="0" t="s">
        <v>1458</v>
      </c>
      <c r="B540" s="0" t="s">
        <v>1496</v>
      </c>
      <c r="C540" s="0" t="s">
        <v>12</v>
      </c>
      <c r="D540" s="0" t="s">
        <v>55</v>
      </c>
      <c r="E540" s="0" t="s">
        <v>1497</v>
      </c>
      <c r="F540" s="0" t="n">
        <f aca="false">HYPERLINK("http://clipc-services.ceda.ac.uk/dreq/u/5913bfe6-9e49-11e5-803c-0d0b866b59f3.html","web")</f>
        <v>0</v>
      </c>
      <c r="G540" s="0" t="s">
        <v>250</v>
      </c>
      <c r="H540" s="0" t="s">
        <v>251</v>
      </c>
      <c r="J540" s="0" t="s">
        <v>1464</v>
      </c>
    </row>
    <row r="541" customFormat="false" ht="13.8" hidden="false" customHeight="false" outlineLevel="0" collapsed="false">
      <c r="A541" s="0" t="s">
        <v>1458</v>
      </c>
      <c r="B541" s="0" t="s">
        <v>1498</v>
      </c>
      <c r="C541" s="0" t="s">
        <v>12</v>
      </c>
      <c r="D541" s="0" t="s">
        <v>55</v>
      </c>
      <c r="E541" s="0" t="s">
        <v>1499</v>
      </c>
      <c r="F541" s="0" t="n">
        <f aca="false">HYPERLINK("http://clipc-services.ceda.ac.uk/dreq/u/590d2ed8-9e49-11e5-803c-0d0b866b59f3.html","web")</f>
        <v>0</v>
      </c>
      <c r="G541" s="0" t="s">
        <v>250</v>
      </c>
      <c r="H541" s="0" t="s">
        <v>251</v>
      </c>
      <c r="J541" s="0" t="s">
        <v>1464</v>
      </c>
    </row>
    <row r="542" customFormat="false" ht="13.8" hidden="false" customHeight="false" outlineLevel="0" collapsed="false">
      <c r="A542" s="0" t="s">
        <v>1458</v>
      </c>
      <c r="B542" s="0" t="s">
        <v>1500</v>
      </c>
      <c r="C542" s="0" t="s">
        <v>12</v>
      </c>
      <c r="D542" s="0" t="s">
        <v>55</v>
      </c>
      <c r="E542" s="0" t="s">
        <v>1501</v>
      </c>
      <c r="F542" s="0" t="n">
        <f aca="false">HYPERLINK("http://clipc-services.ceda.ac.uk/dreq/u/5917c654-9e49-11e5-803c-0d0b866b59f3.html","web")</f>
        <v>0</v>
      </c>
      <c r="G542" s="0" t="s">
        <v>250</v>
      </c>
      <c r="H542" s="0" t="s">
        <v>251</v>
      </c>
      <c r="J542" s="0" t="s">
        <v>1482</v>
      </c>
    </row>
    <row r="543" customFormat="false" ht="13.8" hidden="false" customHeight="false" outlineLevel="0" collapsed="false">
      <c r="A543" s="0" t="s">
        <v>1458</v>
      </c>
      <c r="B543" s="0" t="s">
        <v>1502</v>
      </c>
      <c r="C543" s="0" t="s">
        <v>12</v>
      </c>
      <c r="D543" s="0" t="s">
        <v>55</v>
      </c>
      <c r="E543" s="0" t="s">
        <v>1503</v>
      </c>
      <c r="F543" s="0" t="n">
        <f aca="false">HYPERLINK("http://clipc-services.ceda.ac.uk/dreq/u/590dda36-9e49-11e5-803c-0d0b866b59f3.html","web")</f>
        <v>0</v>
      </c>
      <c r="G543" s="0" t="s">
        <v>250</v>
      </c>
      <c r="H543" s="0" t="s">
        <v>251</v>
      </c>
      <c r="J543" s="0" t="s">
        <v>1482</v>
      </c>
    </row>
    <row r="544" customFormat="false" ht="13.8" hidden="false" customHeight="false" outlineLevel="0" collapsed="false">
      <c r="A544" s="0" t="s">
        <v>1458</v>
      </c>
      <c r="B544" s="0" t="s">
        <v>1504</v>
      </c>
      <c r="C544" s="0" t="s">
        <v>12</v>
      </c>
      <c r="D544" s="0" t="s">
        <v>55</v>
      </c>
      <c r="E544" s="0" t="s">
        <v>1505</v>
      </c>
      <c r="F544" s="0" t="n">
        <f aca="false">HYPERLINK("http://clipc-services.ceda.ac.uk/dreq/u/5913ba00-9e49-11e5-803c-0d0b866b59f3.html","web")</f>
        <v>0</v>
      </c>
      <c r="G544" s="0" t="s">
        <v>250</v>
      </c>
      <c r="H544" s="0" t="s">
        <v>251</v>
      </c>
      <c r="J544" s="0" t="s">
        <v>1464</v>
      </c>
    </row>
    <row r="545" customFormat="false" ht="13.8" hidden="false" customHeight="false" outlineLevel="0" collapsed="false">
      <c r="A545" s="0" t="s">
        <v>1458</v>
      </c>
      <c r="B545" s="0" t="s">
        <v>1506</v>
      </c>
      <c r="C545" s="0" t="s">
        <v>12</v>
      </c>
      <c r="D545" s="0" t="s">
        <v>55</v>
      </c>
      <c r="E545" s="0" t="s">
        <v>1507</v>
      </c>
      <c r="F545" s="0" t="n">
        <f aca="false">HYPERLINK("http://clipc-services.ceda.ac.uk/dreq/u/59151c42-9e49-11e5-803c-0d0b866b59f3.html","web")</f>
        <v>0</v>
      </c>
      <c r="G545" s="0" t="s">
        <v>250</v>
      </c>
      <c r="H545" s="0" t="s">
        <v>251</v>
      </c>
      <c r="I545" s="0" t="s">
        <v>1508</v>
      </c>
      <c r="J545" s="0" t="s">
        <v>1464</v>
      </c>
    </row>
    <row r="546" customFormat="false" ht="13.8" hidden="false" customHeight="false" outlineLevel="0" collapsed="false">
      <c r="A546" s="0" t="s">
        <v>1458</v>
      </c>
      <c r="B546" s="0" t="s">
        <v>1509</v>
      </c>
      <c r="C546" s="0" t="s">
        <v>12</v>
      </c>
      <c r="D546" s="0" t="s">
        <v>55</v>
      </c>
      <c r="E546" s="0" t="s">
        <v>1510</v>
      </c>
      <c r="F546" s="0" t="n">
        <f aca="false">HYPERLINK("http://clipc-services.ceda.ac.uk/dreq/u/590ded6e-9e49-11e5-803c-0d0b866b59f3.html","web")</f>
        <v>0</v>
      </c>
      <c r="G546" s="0" t="s">
        <v>250</v>
      </c>
      <c r="H546" s="0" t="s">
        <v>251</v>
      </c>
      <c r="J546" s="0" t="s">
        <v>1464</v>
      </c>
    </row>
    <row r="547" customFormat="false" ht="13.8" hidden="false" customHeight="false" outlineLevel="0" collapsed="false">
      <c r="A547" s="0" t="s">
        <v>1458</v>
      </c>
      <c r="B547" s="0" t="s">
        <v>1511</v>
      </c>
      <c r="C547" s="0" t="s">
        <v>12</v>
      </c>
      <c r="D547" s="0" t="s">
        <v>55</v>
      </c>
      <c r="E547" s="0" t="s">
        <v>1512</v>
      </c>
      <c r="F547" s="0" t="n">
        <f aca="false">HYPERLINK("http://clipc-services.ceda.ac.uk/dreq/u/5913e3e0-9e49-11e5-803c-0d0b866b59f3.html","web")</f>
        <v>0</v>
      </c>
      <c r="G547" s="0" t="s">
        <v>250</v>
      </c>
      <c r="H547" s="0" t="s">
        <v>251</v>
      </c>
      <c r="I547" s="0" t="s">
        <v>1475</v>
      </c>
      <c r="J547" s="0" t="s">
        <v>1464</v>
      </c>
    </row>
    <row r="548" customFormat="false" ht="13.8" hidden="false" customHeight="false" outlineLevel="0" collapsed="false">
      <c r="A548" s="0" t="s">
        <v>1458</v>
      </c>
      <c r="B548" s="0" t="s">
        <v>1513</v>
      </c>
      <c r="C548" s="0" t="s">
        <v>12</v>
      </c>
      <c r="D548" s="0" t="s">
        <v>55</v>
      </c>
      <c r="E548" s="0" t="s">
        <v>1514</v>
      </c>
      <c r="F548" s="0" t="n">
        <f aca="false">HYPERLINK("http://clipc-services.ceda.ac.uk/dreq/u/84f0ea44-acb7-11e6-b5ee-ac72891c3257.html","web")</f>
        <v>0</v>
      </c>
      <c r="G548" s="0" t="s">
        <v>250</v>
      </c>
      <c r="H548" s="0" t="s">
        <v>251</v>
      </c>
      <c r="I548" s="0" t="s">
        <v>1515</v>
      </c>
      <c r="J548" s="0" t="s">
        <v>1464</v>
      </c>
    </row>
    <row r="549" customFormat="false" ht="13.8" hidden="false" customHeight="false" outlineLevel="0" collapsed="false">
      <c r="A549" s="0" t="s">
        <v>1458</v>
      </c>
      <c r="B549" s="0" t="s">
        <v>1516</v>
      </c>
      <c r="C549" s="0" t="s">
        <v>12</v>
      </c>
      <c r="D549" s="0" t="s">
        <v>1517</v>
      </c>
      <c r="E549" s="0" t="s">
        <v>1518</v>
      </c>
      <c r="F549" s="0" t="n">
        <f aca="false">HYPERLINK("http://clipc-services.ceda.ac.uk/dreq/u/59131672-9e49-11e5-803c-0d0b866b59f3.html","web")</f>
        <v>0</v>
      </c>
      <c r="G549" s="0" t="s">
        <v>250</v>
      </c>
      <c r="H549" s="0" t="s">
        <v>251</v>
      </c>
      <c r="I549" s="0" t="s">
        <v>1519</v>
      </c>
      <c r="J549" s="0" t="s">
        <v>1482</v>
      </c>
    </row>
    <row r="550" customFormat="false" ht="13.8" hidden="false" customHeight="false" outlineLevel="0" collapsed="false">
      <c r="A550" s="0" t="s">
        <v>1458</v>
      </c>
      <c r="B550" s="0" t="s">
        <v>1520</v>
      </c>
      <c r="C550" s="0" t="s">
        <v>12</v>
      </c>
      <c r="D550" s="0" t="s">
        <v>1521</v>
      </c>
      <c r="E550" s="0" t="s">
        <v>1522</v>
      </c>
      <c r="F550" s="0" t="n">
        <f aca="false">HYPERLINK("http://clipc-services.ceda.ac.uk/dreq/u/5914dbb0-9e49-11e5-803c-0d0b866b59f3.html","web")</f>
        <v>0</v>
      </c>
      <c r="G550" s="0" t="s">
        <v>250</v>
      </c>
      <c r="H550" s="0" t="s">
        <v>251</v>
      </c>
      <c r="I550" s="0" t="s">
        <v>1523</v>
      </c>
      <c r="J550" s="0" t="s">
        <v>1482</v>
      </c>
    </row>
    <row r="551" customFormat="false" ht="13.8" hidden="false" customHeight="false" outlineLevel="0" collapsed="false">
      <c r="A551" s="0" t="s">
        <v>1458</v>
      </c>
      <c r="B551" s="0" t="s">
        <v>1524</v>
      </c>
      <c r="C551" s="0" t="s">
        <v>12</v>
      </c>
      <c r="D551" s="0" t="s">
        <v>1525</v>
      </c>
      <c r="E551" s="0" t="s">
        <v>1526</v>
      </c>
      <c r="F551" s="0" t="n">
        <f aca="false">HYPERLINK("http://clipc-services.ceda.ac.uk/dreq/u/5914ccba-9e49-11e5-803c-0d0b866b59f3.html","web")</f>
        <v>0</v>
      </c>
      <c r="G551" s="0" t="s">
        <v>250</v>
      </c>
      <c r="H551" s="0" t="s">
        <v>251</v>
      </c>
      <c r="I551" s="0" t="s">
        <v>1527</v>
      </c>
      <c r="J551" s="0" t="s">
        <v>1482</v>
      </c>
    </row>
    <row r="552" customFormat="false" ht="13.8" hidden="false" customHeight="false" outlineLevel="0" collapsed="false">
      <c r="A552" s="0" t="s">
        <v>1458</v>
      </c>
      <c r="B552" s="0" t="s">
        <v>1528</v>
      </c>
      <c r="C552" s="0" t="s">
        <v>12</v>
      </c>
      <c r="D552" s="0" t="s">
        <v>1529</v>
      </c>
      <c r="E552" s="0" t="s">
        <v>1530</v>
      </c>
      <c r="F552" s="0" t="n">
        <f aca="false">HYPERLINK("http://clipc-services.ceda.ac.uk/dreq/u/590dc8ac-9e49-11e5-803c-0d0b866b59f3.html","web")</f>
        <v>0</v>
      </c>
      <c r="G552" s="0" t="s">
        <v>250</v>
      </c>
      <c r="H552" s="0" t="s">
        <v>251</v>
      </c>
      <c r="I552" s="0" t="s">
        <v>1531</v>
      </c>
      <c r="J552" s="0" t="s">
        <v>1482</v>
      </c>
    </row>
    <row r="553" customFormat="false" ht="13.8" hidden="false" customHeight="false" outlineLevel="0" collapsed="false">
      <c r="A553" s="0" t="s">
        <v>1458</v>
      </c>
      <c r="B553" s="0" t="s">
        <v>1532</v>
      </c>
      <c r="C553" s="0" t="s">
        <v>12</v>
      </c>
      <c r="D553" s="0" t="s">
        <v>1533</v>
      </c>
      <c r="E553" s="0" t="s">
        <v>1534</v>
      </c>
      <c r="F553" s="0" t="n">
        <f aca="false">HYPERLINK("http://clipc-services.ceda.ac.uk/dreq/u/590dc37a-9e49-11e5-803c-0d0b866b59f3.html","web")</f>
        <v>0</v>
      </c>
      <c r="G553" s="0" t="s">
        <v>250</v>
      </c>
      <c r="H553" s="0" t="s">
        <v>251</v>
      </c>
      <c r="I553" s="0" t="s">
        <v>1535</v>
      </c>
      <c r="J553" s="0" t="s">
        <v>1482</v>
      </c>
    </row>
    <row r="554" customFormat="false" ht="13.8" hidden="false" customHeight="false" outlineLevel="0" collapsed="false">
      <c r="A554" s="0" t="s">
        <v>1458</v>
      </c>
      <c r="B554" s="0" t="s">
        <v>1536</v>
      </c>
      <c r="C554" s="0" t="s">
        <v>80</v>
      </c>
      <c r="D554" s="0" t="s">
        <v>1537</v>
      </c>
      <c r="E554" s="0" t="s">
        <v>1538</v>
      </c>
      <c r="F554" s="0" t="n">
        <f aca="false">HYPERLINK("http://clipc-services.ceda.ac.uk/dreq/u/84f091c0-acb7-11e6-b5ee-ac72891c3257.html","web")</f>
        <v>0</v>
      </c>
      <c r="G554" s="0" t="s">
        <v>250</v>
      </c>
      <c r="H554" s="0" t="s">
        <v>251</v>
      </c>
      <c r="I554" s="0" t="s">
        <v>1539</v>
      </c>
      <c r="J554" s="0" t="s">
        <v>1464</v>
      </c>
    </row>
    <row r="555" customFormat="false" ht="13.8" hidden="false" customHeight="false" outlineLevel="0" collapsed="false">
      <c r="A555" s="0" t="s">
        <v>1458</v>
      </c>
      <c r="B555" s="0" t="s">
        <v>1540</v>
      </c>
      <c r="C555" s="0" t="s">
        <v>80</v>
      </c>
      <c r="D555" s="0" t="s">
        <v>1541</v>
      </c>
      <c r="E555" s="0" t="s">
        <v>1542</v>
      </c>
      <c r="F555" s="0" t="n">
        <f aca="false">HYPERLINK("http://clipc-services.ceda.ac.uk/dreq/u/84eff3c8-acb7-11e6-b5ee-ac72891c3257.html","web")</f>
        <v>0</v>
      </c>
      <c r="G555" s="0" t="s">
        <v>250</v>
      </c>
      <c r="H555" s="0" t="s">
        <v>251</v>
      </c>
      <c r="I555" s="0" t="s">
        <v>1543</v>
      </c>
      <c r="J555" s="0" t="s">
        <v>1464</v>
      </c>
    </row>
    <row r="556" customFormat="false" ht="13.8" hidden="false" customHeight="false" outlineLevel="0" collapsed="false">
      <c r="A556" s="0" t="s">
        <v>1458</v>
      </c>
      <c r="B556" s="0" t="s">
        <v>1544</v>
      </c>
      <c r="C556" s="0" t="s">
        <v>80</v>
      </c>
      <c r="D556" s="0" t="s">
        <v>55</v>
      </c>
      <c r="E556" s="0" t="s">
        <v>1545</v>
      </c>
      <c r="F556" s="0" t="n">
        <f aca="false">HYPERLINK("http://clipc-services.ceda.ac.uk/dreq/u/59171df8-9e49-11e5-803c-0d0b866b59f3.html","web")</f>
        <v>0</v>
      </c>
      <c r="G556" s="0" t="s">
        <v>250</v>
      </c>
      <c r="H556" s="0" t="s">
        <v>251</v>
      </c>
      <c r="I556" s="0" t="s">
        <v>1546</v>
      </c>
      <c r="J556" s="0" t="s">
        <v>1464</v>
      </c>
    </row>
    <row r="557" customFormat="false" ht="13.8" hidden="false" customHeight="false" outlineLevel="0" collapsed="false">
      <c r="A557" s="0" t="s">
        <v>1458</v>
      </c>
      <c r="B557" s="0" t="s">
        <v>1547</v>
      </c>
      <c r="C557" s="0" t="s">
        <v>80</v>
      </c>
      <c r="D557" s="0" t="s">
        <v>55</v>
      </c>
      <c r="E557" s="0" t="s">
        <v>1548</v>
      </c>
      <c r="F557" s="0" t="n">
        <f aca="false">HYPERLINK("http://clipc-services.ceda.ac.uk/dreq/u/5914b748-9e49-11e5-803c-0d0b866b59f3.html","web")</f>
        <v>0</v>
      </c>
      <c r="G557" s="0" t="s">
        <v>250</v>
      </c>
      <c r="H557" s="0" t="s">
        <v>251</v>
      </c>
      <c r="I557" s="0" t="s">
        <v>1549</v>
      </c>
      <c r="J557" s="0" t="s">
        <v>1464</v>
      </c>
    </row>
    <row r="558" customFormat="false" ht="13.8" hidden="false" customHeight="false" outlineLevel="0" collapsed="false">
      <c r="A558" s="0" t="s">
        <v>1458</v>
      </c>
      <c r="B558" s="0" t="s">
        <v>1550</v>
      </c>
      <c r="C558" s="0" t="s">
        <v>80</v>
      </c>
      <c r="D558" s="0" t="s">
        <v>55</v>
      </c>
      <c r="E558" s="0" t="s">
        <v>1551</v>
      </c>
      <c r="F558" s="0" t="n">
        <f aca="false">HYPERLINK("http://clipc-services.ceda.ac.uk/dreq/u/5912b196-9e49-11e5-803c-0d0b866b59f3.html","web")</f>
        <v>0</v>
      </c>
      <c r="G558" s="0" t="s">
        <v>250</v>
      </c>
      <c r="H558" s="0" t="s">
        <v>251</v>
      </c>
      <c r="J558" s="0" t="s">
        <v>1464</v>
      </c>
    </row>
    <row r="559" customFormat="false" ht="13.8" hidden="false" customHeight="false" outlineLevel="0" collapsed="false">
      <c r="A559" s="0" t="s">
        <v>1458</v>
      </c>
      <c r="B559" s="0" t="s">
        <v>1552</v>
      </c>
      <c r="C559" s="0" t="s">
        <v>80</v>
      </c>
      <c r="D559" s="0" t="s">
        <v>55</v>
      </c>
      <c r="E559" s="0" t="s">
        <v>1553</v>
      </c>
      <c r="F559" s="0" t="n">
        <f aca="false">HYPERLINK("http://clipc-services.ceda.ac.uk/dreq/u/590f4c7c-9e49-11e5-803c-0d0b866b59f3.html","web")</f>
        <v>0</v>
      </c>
      <c r="G559" s="0" t="s">
        <v>250</v>
      </c>
      <c r="H559" s="0" t="s">
        <v>251</v>
      </c>
      <c r="I559" s="0" t="s">
        <v>1554</v>
      </c>
      <c r="J559" s="0" t="s">
        <v>1464</v>
      </c>
    </row>
    <row r="560" customFormat="false" ht="13.8" hidden="false" customHeight="false" outlineLevel="0" collapsed="false">
      <c r="A560" s="0" t="s">
        <v>1458</v>
      </c>
      <c r="B560" s="0" t="s">
        <v>1555</v>
      </c>
      <c r="C560" s="0" t="s">
        <v>80</v>
      </c>
      <c r="D560" s="0" t="s">
        <v>55</v>
      </c>
      <c r="E560" s="0" t="s">
        <v>1556</v>
      </c>
      <c r="F560" s="0" t="n">
        <f aca="false">HYPERLINK("http://clipc-services.ceda.ac.uk/dreq/u/5913b4ec-9e49-11e5-803c-0d0b866b59f3.html","web")</f>
        <v>0</v>
      </c>
      <c r="G560" s="0" t="s">
        <v>250</v>
      </c>
      <c r="H560" s="0" t="s">
        <v>251</v>
      </c>
      <c r="I560" s="0" t="s">
        <v>1557</v>
      </c>
      <c r="J560" s="0" t="s">
        <v>1464</v>
      </c>
    </row>
    <row r="561" customFormat="false" ht="13.8" hidden="false" customHeight="false" outlineLevel="0" collapsed="false">
      <c r="A561" s="0" t="s">
        <v>1458</v>
      </c>
      <c r="B561" s="0" t="s">
        <v>1558</v>
      </c>
      <c r="C561" s="0" t="s">
        <v>80</v>
      </c>
      <c r="D561" s="0" t="s">
        <v>55</v>
      </c>
      <c r="E561" s="0" t="s">
        <v>1559</v>
      </c>
      <c r="F561" s="0" t="n">
        <f aca="false">HYPERLINK("http://clipc-services.ceda.ac.uk/dreq/u/590e2f36-9e49-11e5-803c-0d0b866b59f3.html","web")</f>
        <v>0</v>
      </c>
      <c r="G561" s="0" t="s">
        <v>250</v>
      </c>
      <c r="H561" s="0" t="s">
        <v>251</v>
      </c>
      <c r="I561" s="0" t="s">
        <v>1560</v>
      </c>
      <c r="J561" s="0" t="s">
        <v>1464</v>
      </c>
    </row>
    <row r="562" customFormat="false" ht="13.8" hidden="false" customHeight="false" outlineLevel="0" collapsed="false">
      <c r="A562" s="0" t="s">
        <v>1458</v>
      </c>
      <c r="B562" s="0" t="s">
        <v>1561</v>
      </c>
      <c r="C562" s="0" t="s">
        <v>80</v>
      </c>
      <c r="D562" s="0" t="s">
        <v>55</v>
      </c>
      <c r="E562" s="0" t="s">
        <v>1562</v>
      </c>
      <c r="F562" s="0" t="n">
        <f aca="false">HYPERLINK("http://clipc-services.ceda.ac.uk/dreq/u/5914f2a8-9e49-11e5-803c-0d0b866b59f3.html","web")</f>
        <v>0</v>
      </c>
      <c r="G562" s="0" t="s">
        <v>250</v>
      </c>
      <c r="H562" s="0" t="s">
        <v>251</v>
      </c>
      <c r="I562" s="0" t="s">
        <v>1560</v>
      </c>
      <c r="J562" s="0" t="s">
        <v>1464</v>
      </c>
    </row>
    <row r="563" customFormat="false" ht="13.8" hidden="false" customHeight="false" outlineLevel="0" collapsed="false">
      <c r="A563" s="0" t="s">
        <v>1458</v>
      </c>
      <c r="B563" s="0" t="s">
        <v>1563</v>
      </c>
      <c r="C563" s="0" t="s">
        <v>80</v>
      </c>
      <c r="D563" s="0" t="s">
        <v>55</v>
      </c>
      <c r="E563" s="0" t="s">
        <v>1564</v>
      </c>
      <c r="F563" s="0" t="n">
        <f aca="false">HYPERLINK("http://clipc-services.ceda.ac.uk/dreq/u/590eb456-9e49-11e5-803c-0d0b866b59f3.html","web")</f>
        <v>0</v>
      </c>
      <c r="G563" s="0" t="s">
        <v>250</v>
      </c>
      <c r="H563" s="0" t="s">
        <v>251</v>
      </c>
      <c r="I563" s="0" t="s">
        <v>1565</v>
      </c>
      <c r="J563" s="0" t="s">
        <v>1464</v>
      </c>
    </row>
    <row r="564" customFormat="false" ht="13.8" hidden="false" customHeight="false" outlineLevel="0" collapsed="false">
      <c r="A564" s="0" t="s">
        <v>1458</v>
      </c>
      <c r="B564" s="0" t="s">
        <v>1566</v>
      </c>
      <c r="C564" s="0" t="s">
        <v>80</v>
      </c>
      <c r="D564" s="0" t="s">
        <v>55</v>
      </c>
      <c r="E564" s="0" t="s">
        <v>1567</v>
      </c>
      <c r="F564" s="0" t="n">
        <f aca="false">HYPERLINK("http://clipc-services.ceda.ac.uk/dreq/u/591491e6-9e49-11e5-803c-0d0b866b59f3.html","web")</f>
        <v>0</v>
      </c>
      <c r="G564" s="0" t="s">
        <v>250</v>
      </c>
      <c r="H564" s="0" t="s">
        <v>251</v>
      </c>
      <c r="I564" s="0" t="s">
        <v>1568</v>
      </c>
      <c r="J564" s="0" t="s">
        <v>1464</v>
      </c>
    </row>
    <row r="565" customFormat="false" ht="13.8" hidden="false" customHeight="false" outlineLevel="0" collapsed="false">
      <c r="A565" s="0" t="s">
        <v>1458</v>
      </c>
      <c r="B565" s="0" t="s">
        <v>1569</v>
      </c>
      <c r="C565" s="0" t="s">
        <v>80</v>
      </c>
      <c r="D565" s="0" t="s">
        <v>55</v>
      </c>
      <c r="E565" s="0" t="s">
        <v>1570</v>
      </c>
      <c r="F565" s="0" t="n">
        <f aca="false">HYPERLINK("http://clipc-services.ceda.ac.uk/dreq/u/590db236-9e49-11e5-803c-0d0b866b59f3.html","web")</f>
        <v>0</v>
      </c>
      <c r="G565" s="0" t="s">
        <v>250</v>
      </c>
      <c r="H565" s="0" t="s">
        <v>251</v>
      </c>
      <c r="I565" s="0" t="s">
        <v>1571</v>
      </c>
      <c r="J565" s="0" t="s">
        <v>1464</v>
      </c>
    </row>
    <row r="566" customFormat="false" ht="13.8" hidden="false" customHeight="false" outlineLevel="0" collapsed="false">
      <c r="A566" s="0" t="s">
        <v>1458</v>
      </c>
      <c r="B566" s="0" t="s">
        <v>1572</v>
      </c>
      <c r="C566" s="0" t="s">
        <v>80</v>
      </c>
      <c r="D566" s="0" t="s">
        <v>55</v>
      </c>
      <c r="E566" s="0" t="s">
        <v>1573</v>
      </c>
      <c r="F566" s="0" t="n">
        <f aca="false">HYPERLINK("http://clipc-services.ceda.ac.uk/dreq/u/590f2bfc-9e49-11e5-803c-0d0b866b59f3.html","web")</f>
        <v>0</v>
      </c>
      <c r="G566" s="0" t="s">
        <v>250</v>
      </c>
      <c r="H566" s="0" t="s">
        <v>251</v>
      </c>
      <c r="I566" s="0" t="s">
        <v>1571</v>
      </c>
      <c r="J566" s="0" t="s">
        <v>1464</v>
      </c>
    </row>
    <row r="567" customFormat="false" ht="13.8" hidden="false" customHeight="false" outlineLevel="0" collapsed="false">
      <c r="A567" s="0" t="s">
        <v>1458</v>
      </c>
      <c r="B567" s="0" t="s">
        <v>1574</v>
      </c>
      <c r="C567" s="0" t="s">
        <v>80</v>
      </c>
      <c r="D567" s="0" t="s">
        <v>55</v>
      </c>
      <c r="E567" s="0" t="s">
        <v>1575</v>
      </c>
      <c r="F567" s="0" t="n">
        <f aca="false">HYPERLINK("http://clipc-services.ceda.ac.uk/dreq/u/84f0b2cc-acb7-11e6-b5ee-ac72891c3257.html","web")</f>
        <v>0</v>
      </c>
      <c r="G567" s="0" t="s">
        <v>250</v>
      </c>
      <c r="H567" s="0" t="s">
        <v>251</v>
      </c>
      <c r="I567" s="0" t="s">
        <v>1571</v>
      </c>
      <c r="J567" s="0" t="s">
        <v>1464</v>
      </c>
    </row>
    <row r="568" customFormat="false" ht="13.8" hidden="false" customHeight="false" outlineLevel="0" collapsed="false">
      <c r="A568" s="0" t="s">
        <v>1458</v>
      </c>
      <c r="B568" s="0" t="s">
        <v>1576</v>
      </c>
      <c r="C568" s="0" t="s">
        <v>80</v>
      </c>
      <c r="D568" s="0" t="s">
        <v>55</v>
      </c>
      <c r="E568" s="0" t="s">
        <v>1577</v>
      </c>
      <c r="F568" s="0" t="n">
        <f aca="false">HYPERLINK("http://clipc-services.ceda.ac.uk/dreq/u/59136654-9e49-11e5-803c-0d0b866b59f3.html","web")</f>
        <v>0</v>
      </c>
      <c r="G568" s="0" t="s">
        <v>250</v>
      </c>
      <c r="H568" s="0" t="s">
        <v>251</v>
      </c>
      <c r="I568" s="0" t="s">
        <v>1578</v>
      </c>
      <c r="J568" s="0" t="s">
        <v>1464</v>
      </c>
    </row>
    <row r="569" customFormat="false" ht="13.8" hidden="false" customHeight="false" outlineLevel="0" collapsed="false">
      <c r="A569" s="0" t="s">
        <v>1458</v>
      </c>
      <c r="B569" s="0" t="s">
        <v>1579</v>
      </c>
      <c r="C569" s="0" t="s">
        <v>80</v>
      </c>
      <c r="D569" s="0" t="s">
        <v>55</v>
      </c>
      <c r="E569" s="0" t="s">
        <v>1580</v>
      </c>
      <c r="F569" s="0" t="n">
        <f aca="false">HYPERLINK("http://clipc-services.ceda.ac.uk/dreq/u/590f3674-9e49-11e5-803c-0d0b866b59f3.html","web")</f>
        <v>0</v>
      </c>
      <c r="G569" s="0" t="s">
        <v>250</v>
      </c>
      <c r="H569" s="0" t="s">
        <v>251</v>
      </c>
      <c r="I569" s="0" t="s">
        <v>1581</v>
      </c>
      <c r="J569" s="0" t="s">
        <v>1464</v>
      </c>
    </row>
    <row r="570" customFormat="false" ht="13.8" hidden="false" customHeight="false" outlineLevel="0" collapsed="false">
      <c r="A570" s="0" t="s">
        <v>1458</v>
      </c>
      <c r="B570" s="0" t="s">
        <v>1582</v>
      </c>
      <c r="C570" s="0" t="s">
        <v>80</v>
      </c>
      <c r="D570" s="0" t="s">
        <v>55</v>
      </c>
      <c r="E570" s="0" t="s">
        <v>1583</v>
      </c>
      <c r="F570" s="0" t="n">
        <f aca="false">HYPERLINK("http://clipc-services.ceda.ac.uk/dreq/u/84f10236-acb7-11e6-b5ee-ac72891c3257.html","web")</f>
        <v>0</v>
      </c>
      <c r="G570" s="0" t="s">
        <v>250</v>
      </c>
      <c r="H570" s="0" t="s">
        <v>251</v>
      </c>
      <c r="I570" s="0" t="s">
        <v>1584</v>
      </c>
      <c r="J570" s="0" t="s">
        <v>1464</v>
      </c>
    </row>
    <row r="571" customFormat="false" ht="13.8" hidden="false" customHeight="false" outlineLevel="0" collapsed="false">
      <c r="A571" s="0" t="s">
        <v>1458</v>
      </c>
      <c r="B571" s="0" t="s">
        <v>1585</v>
      </c>
      <c r="C571" s="0" t="s">
        <v>80</v>
      </c>
      <c r="D571" s="0" t="s">
        <v>55</v>
      </c>
      <c r="E571" s="0" t="s">
        <v>1586</v>
      </c>
      <c r="F571" s="0" t="n">
        <f aca="false">HYPERLINK("http://clipc-services.ceda.ac.uk/dreq/u/84f0afac-acb7-11e6-b5ee-ac72891c3257.html","web")</f>
        <v>0</v>
      </c>
      <c r="G571" s="0" t="s">
        <v>250</v>
      </c>
      <c r="H571" s="0" t="s">
        <v>251</v>
      </c>
      <c r="I571" s="0" t="s">
        <v>1587</v>
      </c>
      <c r="J571" s="0" t="s">
        <v>1464</v>
      </c>
    </row>
    <row r="572" customFormat="false" ht="13.8" hidden="false" customHeight="false" outlineLevel="0" collapsed="false">
      <c r="A572" s="0" t="s">
        <v>1458</v>
      </c>
      <c r="B572" s="0" t="s">
        <v>1588</v>
      </c>
      <c r="C572" s="0" t="s">
        <v>80</v>
      </c>
      <c r="D572" s="0" t="s">
        <v>55</v>
      </c>
      <c r="E572" s="0" t="s">
        <v>1589</v>
      </c>
      <c r="F572" s="0" t="n">
        <f aca="false">HYPERLINK("http://clipc-services.ceda.ac.uk/dreq/u/84f10e7a-acb7-11e6-b5ee-ac72891c3257.html","web")</f>
        <v>0</v>
      </c>
      <c r="G572" s="0" t="s">
        <v>250</v>
      </c>
      <c r="H572" s="0" t="s">
        <v>251</v>
      </c>
      <c r="I572" s="0" t="s">
        <v>1590</v>
      </c>
      <c r="J572" s="0" t="s">
        <v>1464</v>
      </c>
    </row>
    <row r="573" customFormat="false" ht="13.8" hidden="false" customHeight="false" outlineLevel="0" collapsed="false">
      <c r="A573" s="0" t="s">
        <v>1458</v>
      </c>
      <c r="B573" s="0" t="s">
        <v>1591</v>
      </c>
      <c r="C573" s="0" t="s">
        <v>80</v>
      </c>
      <c r="D573" s="0" t="s">
        <v>55</v>
      </c>
      <c r="E573" s="0" t="s">
        <v>1592</v>
      </c>
      <c r="F573" s="0" t="n">
        <f aca="false">HYPERLINK("http://clipc-services.ceda.ac.uk/dreq/u/84f0b8d0-acb7-11e6-b5ee-ac72891c3257.html","web")</f>
        <v>0</v>
      </c>
      <c r="G573" s="0" t="s">
        <v>250</v>
      </c>
      <c r="H573" s="0" t="s">
        <v>251</v>
      </c>
      <c r="I573" s="0" t="s">
        <v>1593</v>
      </c>
      <c r="J573" s="0" t="s">
        <v>1464</v>
      </c>
    </row>
    <row r="574" customFormat="false" ht="13.8" hidden="false" customHeight="false" outlineLevel="0" collapsed="false">
      <c r="A574" s="0" t="s">
        <v>1458</v>
      </c>
      <c r="B574" s="0" t="s">
        <v>1594</v>
      </c>
      <c r="C574" s="0" t="s">
        <v>80</v>
      </c>
      <c r="D574" s="0" t="s">
        <v>55</v>
      </c>
      <c r="E574" s="0" t="s">
        <v>1595</v>
      </c>
      <c r="F574" s="0" t="n">
        <f aca="false">HYPERLINK("http://clipc-services.ceda.ac.uk/dreq/u/84f0b5e2-acb7-11e6-b5ee-ac72891c3257.html","web")</f>
        <v>0</v>
      </c>
      <c r="G574" s="0" t="s">
        <v>250</v>
      </c>
      <c r="H574" s="0" t="s">
        <v>251</v>
      </c>
      <c r="I574" s="0" t="s">
        <v>1596</v>
      </c>
      <c r="J574" s="0" t="s">
        <v>1464</v>
      </c>
    </row>
    <row r="575" customFormat="false" ht="13.8" hidden="false" customHeight="false" outlineLevel="0" collapsed="false">
      <c r="A575" s="0" t="s">
        <v>1458</v>
      </c>
      <c r="B575" s="0" t="s">
        <v>1597</v>
      </c>
      <c r="C575" s="0" t="s">
        <v>80</v>
      </c>
      <c r="D575" s="0" t="s">
        <v>55</v>
      </c>
      <c r="E575" s="0" t="s">
        <v>1598</v>
      </c>
      <c r="F575" s="0" t="n">
        <f aca="false">HYPERLINK("http://clipc-services.ceda.ac.uk/dreq/u/84f105a6-acb7-11e6-b5ee-ac72891c3257.html","web")</f>
        <v>0</v>
      </c>
      <c r="G575" s="0" t="s">
        <v>250</v>
      </c>
      <c r="H575" s="0" t="s">
        <v>251</v>
      </c>
      <c r="I575" s="0" t="s">
        <v>1599</v>
      </c>
      <c r="J575" s="0" t="s">
        <v>1464</v>
      </c>
    </row>
    <row r="576" customFormat="false" ht="13.8" hidden="false" customHeight="false" outlineLevel="0" collapsed="false">
      <c r="A576" s="0" t="s">
        <v>1458</v>
      </c>
      <c r="B576" s="0" t="s">
        <v>1600</v>
      </c>
      <c r="C576" s="0" t="s">
        <v>80</v>
      </c>
      <c r="D576" s="0" t="s">
        <v>55</v>
      </c>
      <c r="E576" s="0" t="s">
        <v>1601</v>
      </c>
      <c r="F576" s="0" t="n">
        <f aca="false">HYPERLINK("http://clipc-services.ceda.ac.uk/dreq/u/590d9f1c-9e49-11e5-803c-0d0b866b59f3.html","web")</f>
        <v>0</v>
      </c>
      <c r="G576" s="0" t="s">
        <v>250</v>
      </c>
      <c r="H576" s="0" t="s">
        <v>251</v>
      </c>
      <c r="I576" s="0" t="s">
        <v>1602</v>
      </c>
      <c r="J576" s="0" t="s">
        <v>1464</v>
      </c>
    </row>
    <row r="577" customFormat="false" ht="13.8" hidden="false" customHeight="false" outlineLevel="0" collapsed="false">
      <c r="A577" s="0" t="s">
        <v>1458</v>
      </c>
      <c r="B577" s="0" t="s">
        <v>1603</v>
      </c>
      <c r="C577" s="0" t="s">
        <v>80</v>
      </c>
      <c r="D577" s="0" t="s">
        <v>55</v>
      </c>
      <c r="E577" s="0" t="s">
        <v>1604</v>
      </c>
      <c r="F577" s="0" t="n">
        <f aca="false">HYPERLINK("http://clipc-services.ceda.ac.uk/dreq/u/591324be-9e49-11e5-803c-0d0b866b59f3.html","web")</f>
        <v>0</v>
      </c>
      <c r="G577" s="0" t="s">
        <v>250</v>
      </c>
      <c r="H577" s="0" t="s">
        <v>251</v>
      </c>
      <c r="I577" s="0" t="s">
        <v>1475</v>
      </c>
      <c r="J577" s="0" t="s">
        <v>1464</v>
      </c>
    </row>
    <row r="578" customFormat="false" ht="13.8" hidden="false" customHeight="false" outlineLevel="0" collapsed="false">
      <c r="A578" s="0" t="s">
        <v>1458</v>
      </c>
      <c r="B578" s="0" t="s">
        <v>1605</v>
      </c>
      <c r="C578" s="0" t="s">
        <v>80</v>
      </c>
      <c r="D578" s="0" t="s">
        <v>55</v>
      </c>
      <c r="E578" s="0" t="s">
        <v>1606</v>
      </c>
      <c r="F578" s="0" t="n">
        <f aca="false">HYPERLINK("http://clipc-services.ceda.ac.uk/dreq/u/591397be-9e49-11e5-803c-0d0b866b59f3.html","web")</f>
        <v>0</v>
      </c>
      <c r="G578" s="0" t="s">
        <v>250</v>
      </c>
      <c r="H578" s="0" t="s">
        <v>251</v>
      </c>
      <c r="J578" s="0" t="s">
        <v>1464</v>
      </c>
    </row>
    <row r="579" customFormat="false" ht="13.8" hidden="false" customHeight="false" outlineLevel="0" collapsed="false">
      <c r="A579" s="0" t="s">
        <v>1458</v>
      </c>
      <c r="B579" s="0" t="s">
        <v>1607</v>
      </c>
      <c r="C579" s="0" t="s">
        <v>80</v>
      </c>
      <c r="D579" s="0" t="s">
        <v>55</v>
      </c>
      <c r="E579" s="0" t="s">
        <v>1608</v>
      </c>
      <c r="F579" s="0" t="n">
        <f aca="false">HYPERLINK("http://clipc-services.ceda.ac.uk/dreq/u/59128f0e-9e49-11e5-803c-0d0b866b59f3.html","web")</f>
        <v>0</v>
      </c>
      <c r="G579" s="0" t="s">
        <v>250</v>
      </c>
      <c r="H579" s="0" t="s">
        <v>251</v>
      </c>
      <c r="I579" s="0" t="s">
        <v>1546</v>
      </c>
      <c r="J579" s="0" t="s">
        <v>1464</v>
      </c>
    </row>
    <row r="580" customFormat="false" ht="13.8" hidden="false" customHeight="false" outlineLevel="0" collapsed="false">
      <c r="A580" s="0" t="s">
        <v>1458</v>
      </c>
      <c r="B580" s="0" t="s">
        <v>1609</v>
      </c>
      <c r="C580" s="0" t="s">
        <v>80</v>
      </c>
      <c r="D580" s="0" t="s">
        <v>55</v>
      </c>
      <c r="E580" s="0" t="s">
        <v>1610</v>
      </c>
      <c r="F580" s="0" t="n">
        <f aca="false">HYPERLINK("http://clipc-services.ceda.ac.uk/dreq/u/59136dfc-9e49-11e5-803c-0d0b866b59f3.html","web")</f>
        <v>0</v>
      </c>
      <c r="G580" s="0" t="s">
        <v>250</v>
      </c>
      <c r="H580" s="0" t="s">
        <v>251</v>
      </c>
      <c r="I580" s="0" t="s">
        <v>1611</v>
      </c>
      <c r="J580" s="0" t="s">
        <v>1464</v>
      </c>
    </row>
    <row r="581" customFormat="false" ht="13.8" hidden="false" customHeight="false" outlineLevel="0" collapsed="false">
      <c r="A581" s="0" t="s">
        <v>1458</v>
      </c>
      <c r="B581" s="0" t="s">
        <v>1612</v>
      </c>
      <c r="C581" s="0" t="s">
        <v>80</v>
      </c>
      <c r="D581" s="0" t="s">
        <v>55</v>
      </c>
      <c r="E581" s="0" t="s">
        <v>1613</v>
      </c>
      <c r="F581" s="0" t="n">
        <f aca="false">HYPERLINK("http://clipc-services.ceda.ac.uk/dreq/u/5917cc94-9e49-11e5-803c-0d0b866b59f3.html","web")</f>
        <v>0</v>
      </c>
      <c r="G581" s="0" t="s">
        <v>250</v>
      </c>
      <c r="H581" s="0" t="s">
        <v>251</v>
      </c>
      <c r="I581" s="0" t="s">
        <v>1549</v>
      </c>
      <c r="J581" s="0" t="s">
        <v>1464</v>
      </c>
    </row>
    <row r="582" customFormat="false" ht="13.8" hidden="false" customHeight="false" outlineLevel="0" collapsed="false">
      <c r="A582" s="0" t="s">
        <v>1458</v>
      </c>
      <c r="B582" s="0" t="s">
        <v>1614</v>
      </c>
      <c r="C582" s="0" t="s">
        <v>80</v>
      </c>
      <c r="D582" s="0" t="s">
        <v>55</v>
      </c>
      <c r="E582" s="0" t="s">
        <v>1615</v>
      </c>
      <c r="F582" s="0" t="n">
        <f aca="false">HYPERLINK("http://clipc-services.ceda.ac.uk/dreq/u/5914de26-9e49-11e5-803c-0d0b866b59f3.html","web")</f>
        <v>0</v>
      </c>
      <c r="G582" s="0" t="s">
        <v>250</v>
      </c>
      <c r="H582" s="0" t="s">
        <v>251</v>
      </c>
      <c r="J582" s="0" t="s">
        <v>1464</v>
      </c>
    </row>
    <row r="583" customFormat="false" ht="13.8" hidden="false" customHeight="false" outlineLevel="0" collapsed="false">
      <c r="A583" s="0" t="s">
        <v>1458</v>
      </c>
      <c r="B583" s="0" t="s">
        <v>1616</v>
      </c>
      <c r="C583" s="0" t="s">
        <v>80</v>
      </c>
      <c r="D583" s="0" t="s">
        <v>55</v>
      </c>
      <c r="E583" s="0" t="s">
        <v>1617</v>
      </c>
      <c r="F583" s="0" t="n">
        <f aca="false">HYPERLINK("http://clipc-services.ceda.ac.uk/dreq/u/71c982aa-b8ab-11e6-97ab-ac72891c3257.html","web")</f>
        <v>0</v>
      </c>
      <c r="G583" s="0" t="s">
        <v>250</v>
      </c>
      <c r="H583" s="0" t="s">
        <v>251</v>
      </c>
      <c r="J583" s="0" t="s">
        <v>1464</v>
      </c>
    </row>
    <row r="584" customFormat="false" ht="13.8" hidden="false" customHeight="false" outlineLevel="0" collapsed="false">
      <c r="A584" s="0" t="s">
        <v>1458</v>
      </c>
      <c r="B584" s="0" t="s">
        <v>1618</v>
      </c>
      <c r="C584" s="0" t="s">
        <v>80</v>
      </c>
      <c r="D584" s="0" t="s">
        <v>55</v>
      </c>
      <c r="E584" s="0" t="s">
        <v>1619</v>
      </c>
      <c r="F584" s="0" t="n">
        <f aca="false">HYPERLINK("http://clipc-services.ceda.ac.uk/dreq/u/71c9768e-b8ab-11e6-97ab-ac72891c3257.html","web")</f>
        <v>0</v>
      </c>
      <c r="G584" s="0" t="s">
        <v>250</v>
      </c>
      <c r="H584" s="0" t="s">
        <v>251</v>
      </c>
      <c r="J584" s="0" t="s">
        <v>1464</v>
      </c>
    </row>
    <row r="585" customFormat="false" ht="13.8" hidden="false" customHeight="false" outlineLevel="0" collapsed="false">
      <c r="A585" s="0" t="s">
        <v>1458</v>
      </c>
      <c r="B585" s="0" t="s">
        <v>1620</v>
      </c>
      <c r="C585" s="0" t="s">
        <v>80</v>
      </c>
      <c r="D585" s="0" t="s">
        <v>55</v>
      </c>
      <c r="E585" s="0" t="s">
        <v>1621</v>
      </c>
      <c r="F585" s="0" t="n">
        <f aca="false">HYPERLINK("http://clipc-services.ceda.ac.uk/dreq/u/59151012-9e49-11e5-803c-0d0b866b59f3.html","web")</f>
        <v>0</v>
      </c>
      <c r="G585" s="0" t="s">
        <v>250</v>
      </c>
      <c r="H585" s="0" t="s">
        <v>251</v>
      </c>
      <c r="I585" s="0" t="s">
        <v>1622</v>
      </c>
      <c r="J585" s="0" t="s">
        <v>1464</v>
      </c>
    </row>
    <row r="586" customFormat="false" ht="13.8" hidden="false" customHeight="false" outlineLevel="0" collapsed="false">
      <c r="A586" s="0" t="s">
        <v>1458</v>
      </c>
      <c r="B586" s="0" t="s">
        <v>1623</v>
      </c>
      <c r="C586" s="0" t="s">
        <v>80</v>
      </c>
      <c r="D586" s="0" t="s">
        <v>55</v>
      </c>
      <c r="E586" s="0" t="s">
        <v>1624</v>
      </c>
      <c r="F586" s="0" t="n">
        <f aca="false">HYPERLINK("http://clipc-services.ceda.ac.uk/dreq/u/59129468-9e49-11e5-803c-0d0b866b59f3.html","web")</f>
        <v>0</v>
      </c>
      <c r="G586" s="0" t="s">
        <v>250</v>
      </c>
      <c r="H586" s="0" t="s">
        <v>251</v>
      </c>
      <c r="I586" s="0" t="s">
        <v>1625</v>
      </c>
      <c r="J586" s="0" t="s">
        <v>1464</v>
      </c>
    </row>
    <row r="587" customFormat="false" ht="13.8" hidden="false" customHeight="false" outlineLevel="0" collapsed="false">
      <c r="A587" s="0" t="s">
        <v>1458</v>
      </c>
      <c r="B587" s="0" t="s">
        <v>1626</v>
      </c>
      <c r="C587" s="0" t="s">
        <v>12</v>
      </c>
      <c r="D587" s="0" t="s">
        <v>55</v>
      </c>
      <c r="E587" s="0" t="s">
        <v>1627</v>
      </c>
      <c r="F587" s="0" t="n">
        <f aca="false">HYPERLINK("http://clipc-services.ceda.ac.uk/dreq/u/591514ea-9e49-11e5-803c-0d0b866b59f3.html","web")</f>
        <v>0</v>
      </c>
      <c r="G587" s="0" t="s">
        <v>250</v>
      </c>
      <c r="H587" s="0" t="s">
        <v>251</v>
      </c>
      <c r="J587" s="0" t="s">
        <v>1482</v>
      </c>
    </row>
    <row r="588" customFormat="false" ht="13.8" hidden="false" customHeight="false" outlineLevel="0" collapsed="false">
      <c r="A588" s="0" t="s">
        <v>1458</v>
      </c>
      <c r="B588" s="0" t="s">
        <v>1628</v>
      </c>
      <c r="C588" s="0" t="s">
        <v>80</v>
      </c>
      <c r="D588" s="0" t="s">
        <v>55</v>
      </c>
      <c r="E588" s="0" t="s">
        <v>1629</v>
      </c>
      <c r="F588" s="0" t="n">
        <f aca="false">HYPERLINK("http://clipc-services.ceda.ac.uk/dreq/u/59174d14-9e49-11e5-803c-0d0b866b59f3.html","web")</f>
        <v>0</v>
      </c>
      <c r="G588" s="0" t="s">
        <v>250</v>
      </c>
      <c r="H588" s="0" t="s">
        <v>251</v>
      </c>
      <c r="J588" s="0" t="s">
        <v>1464</v>
      </c>
    </row>
    <row r="589" customFormat="false" ht="13.8" hidden="false" customHeight="false" outlineLevel="0" collapsed="false">
      <c r="A589" s="0" t="s">
        <v>1458</v>
      </c>
      <c r="B589" s="0" t="s">
        <v>1630</v>
      </c>
      <c r="C589" s="0" t="s">
        <v>80</v>
      </c>
      <c r="D589" s="0" t="s">
        <v>55</v>
      </c>
      <c r="E589" s="0" t="s">
        <v>1631</v>
      </c>
      <c r="F589" s="0" t="n">
        <f aca="false">HYPERLINK("http://clipc-services.ceda.ac.uk/dreq/u/5913e156-9e49-11e5-803c-0d0b866b59f3.html","web")</f>
        <v>0</v>
      </c>
      <c r="G589" s="0" t="s">
        <v>250</v>
      </c>
      <c r="H589" s="0" t="s">
        <v>251</v>
      </c>
      <c r="J589" s="0" t="s">
        <v>1464</v>
      </c>
    </row>
    <row r="590" customFormat="false" ht="13.8" hidden="false" customHeight="false" outlineLevel="0" collapsed="false">
      <c r="A590" s="0" t="s">
        <v>1458</v>
      </c>
      <c r="B590" s="0" t="s">
        <v>88</v>
      </c>
      <c r="C590" s="0" t="s">
        <v>80</v>
      </c>
      <c r="D590" s="0" t="s">
        <v>55</v>
      </c>
      <c r="E590" s="0" t="s">
        <v>89</v>
      </c>
      <c r="F590" s="0" t="n">
        <f aca="false">HYPERLINK("http://clipc-services.ceda.ac.uk/dreq/u/180d4bd9a18a9d5ecf3d45690b8e9c75.html","web")</f>
        <v>0</v>
      </c>
      <c r="G590" s="0" t="s">
        <v>57</v>
      </c>
      <c r="H590" s="0" t="s">
        <v>58</v>
      </c>
      <c r="I590" s="0" t="s">
        <v>90</v>
      </c>
      <c r="J590" s="0" t="s">
        <v>1632</v>
      </c>
    </row>
    <row r="591" customFormat="false" ht="13.8" hidden="false" customHeight="false" outlineLevel="0" collapsed="false">
      <c r="A591" s="0" t="s">
        <v>1458</v>
      </c>
      <c r="B591" s="0" t="s">
        <v>1633</v>
      </c>
      <c r="C591" s="0" t="s">
        <v>12</v>
      </c>
      <c r="D591" s="0" t="s">
        <v>55</v>
      </c>
      <c r="E591" s="0" t="s">
        <v>1634</v>
      </c>
      <c r="F591" s="0" t="n">
        <f aca="false">HYPERLINK("http://clipc-services.ceda.ac.uk/dreq/u/59152142-9e49-11e5-803c-0d0b866b59f3.html","web")</f>
        <v>0</v>
      </c>
      <c r="G591" s="0" t="s">
        <v>1635</v>
      </c>
      <c r="H591" s="0" t="s">
        <v>251</v>
      </c>
      <c r="I591" s="0" t="s">
        <v>1636</v>
      </c>
      <c r="J591" s="0" t="s">
        <v>1637</v>
      </c>
    </row>
    <row r="592" customFormat="false" ht="13.8" hidden="false" customHeight="false" outlineLevel="0" collapsed="false">
      <c r="A592" s="0" t="s">
        <v>1458</v>
      </c>
      <c r="B592" s="0" t="s">
        <v>1638</v>
      </c>
      <c r="C592" s="0" t="s">
        <v>12</v>
      </c>
      <c r="D592" s="0" t="s">
        <v>1639</v>
      </c>
      <c r="E592" s="0" t="s">
        <v>1640</v>
      </c>
      <c r="F592" s="0" t="n">
        <f aca="false">HYPERLINK("http://clipc-services.ceda.ac.uk/dreq/u/590d2b9a-9e49-11e5-803c-0d0b866b59f3.html","web")</f>
        <v>0</v>
      </c>
      <c r="G592" s="0" t="s">
        <v>57</v>
      </c>
      <c r="H592" s="0" t="s">
        <v>58</v>
      </c>
      <c r="I592" s="0" t="s">
        <v>1641</v>
      </c>
      <c r="J592" s="0" t="s">
        <v>253</v>
      </c>
    </row>
    <row r="593" customFormat="false" ht="13.8" hidden="false" customHeight="false" outlineLevel="0" collapsed="false">
      <c r="A593" s="0" t="s">
        <v>1458</v>
      </c>
      <c r="B593" s="0" t="s">
        <v>1642</v>
      </c>
      <c r="C593" s="0" t="s">
        <v>12</v>
      </c>
      <c r="D593" s="0" t="s">
        <v>1643</v>
      </c>
      <c r="E593" s="0" t="s">
        <v>1644</v>
      </c>
      <c r="F593" s="0" t="n">
        <f aca="false">HYPERLINK("http://clipc-services.ceda.ac.uk/dreq/u/590eda94-9e49-11e5-803c-0d0b866b59f3.html","web")</f>
        <v>0</v>
      </c>
      <c r="G593" s="0" t="s">
        <v>57</v>
      </c>
      <c r="H593" s="0" t="s">
        <v>58</v>
      </c>
      <c r="I593" s="0" t="s">
        <v>1645</v>
      </c>
      <c r="J593" s="0" t="s">
        <v>253</v>
      </c>
    </row>
    <row r="594" customFormat="false" ht="13.8" hidden="false" customHeight="false" outlineLevel="0" collapsed="false">
      <c r="A594" s="0" t="s">
        <v>1458</v>
      </c>
      <c r="B594" s="0" t="s">
        <v>1646</v>
      </c>
      <c r="C594" s="0" t="s">
        <v>12</v>
      </c>
      <c r="D594" s="0" t="s">
        <v>1647</v>
      </c>
      <c r="E594" s="0" t="s">
        <v>1648</v>
      </c>
      <c r="F594" s="0" t="n">
        <f aca="false">HYPERLINK("http://clipc-services.ceda.ac.uk/dreq/u/59130bf0-9e49-11e5-803c-0d0b866b59f3.html","web")</f>
        <v>0</v>
      </c>
      <c r="G594" s="0" t="s">
        <v>57</v>
      </c>
      <c r="H594" s="0" t="s">
        <v>58</v>
      </c>
      <c r="I594" s="0" t="s">
        <v>1649</v>
      </c>
      <c r="J594" s="0" t="s">
        <v>253</v>
      </c>
    </row>
    <row r="595" customFormat="false" ht="13.8" hidden="false" customHeight="false" outlineLevel="0" collapsed="false">
      <c r="A595" s="0" t="s">
        <v>1458</v>
      </c>
      <c r="B595" s="0" t="s">
        <v>95</v>
      </c>
      <c r="C595" s="0" t="s">
        <v>80</v>
      </c>
      <c r="D595" s="0" t="s">
        <v>81</v>
      </c>
      <c r="E595" s="0" t="s">
        <v>96</v>
      </c>
      <c r="F595" s="0" t="n">
        <f aca="false">HYPERLINK("http://clipc-services.ceda.ac.uk/dreq/u/c4c0cce59536f11df06a045fa8d0c091.html","web")</f>
        <v>0</v>
      </c>
      <c r="G595" s="0" t="s">
        <v>57</v>
      </c>
      <c r="H595" s="0" t="s">
        <v>58</v>
      </c>
      <c r="I595" s="0" t="s">
        <v>97</v>
      </c>
      <c r="J595" s="0" t="s">
        <v>1650</v>
      </c>
    </row>
    <row r="596" customFormat="false" ht="13.8" hidden="false" customHeight="false" outlineLevel="0" collapsed="false">
      <c r="A596" s="0" t="s">
        <v>1458</v>
      </c>
      <c r="B596" s="0" t="s">
        <v>99</v>
      </c>
      <c r="C596" s="0" t="s">
        <v>80</v>
      </c>
      <c r="D596" s="0" t="s">
        <v>81</v>
      </c>
      <c r="E596" s="0" t="s">
        <v>100</v>
      </c>
      <c r="F596" s="0" t="n">
        <f aca="false">HYPERLINK("http://clipc-services.ceda.ac.uk/dreq/u/479c5de8-12cc-11e6-b2bc-ac72891c3257.html","web")</f>
        <v>0</v>
      </c>
      <c r="G596" s="0" t="s">
        <v>57</v>
      </c>
      <c r="H596" s="0" t="s">
        <v>58</v>
      </c>
      <c r="I596" s="0" t="s">
        <v>101</v>
      </c>
      <c r="J596" s="0" t="s">
        <v>1650</v>
      </c>
    </row>
    <row r="597" customFormat="false" ht="13.8" hidden="false" customHeight="false" outlineLevel="0" collapsed="false">
      <c r="A597" s="0" t="s">
        <v>1458</v>
      </c>
      <c r="B597" s="0" t="s">
        <v>102</v>
      </c>
      <c r="C597" s="0" t="s">
        <v>80</v>
      </c>
      <c r="D597" s="0" t="s">
        <v>81</v>
      </c>
      <c r="E597" s="0" t="s">
        <v>103</v>
      </c>
      <c r="F597" s="0" t="n">
        <f aca="false">HYPERLINK("http://clipc-services.ceda.ac.uk/dreq/u/c172481027367670eaf1e53fb8d2e841.html","web")</f>
        <v>0</v>
      </c>
      <c r="G597" s="0" t="s">
        <v>57</v>
      </c>
      <c r="H597" s="0" t="s">
        <v>58</v>
      </c>
      <c r="I597" s="0" t="s">
        <v>104</v>
      </c>
      <c r="J597" s="0" t="s">
        <v>1650</v>
      </c>
    </row>
    <row r="598" customFormat="false" ht="13.8" hidden="false" customHeight="false" outlineLevel="0" collapsed="false">
      <c r="A598" s="0" t="s">
        <v>1458</v>
      </c>
      <c r="B598" s="0" t="s">
        <v>105</v>
      </c>
      <c r="C598" s="0" t="s">
        <v>80</v>
      </c>
      <c r="D598" s="0" t="s">
        <v>81</v>
      </c>
      <c r="E598" s="0" t="s">
        <v>106</v>
      </c>
      <c r="F598" s="0" t="n">
        <f aca="false">HYPERLINK("http://clipc-services.ceda.ac.uk/dreq/u/7c5c71f969a6318b3fa5ff2875272caf.html","web")</f>
        <v>0</v>
      </c>
      <c r="G598" s="0" t="s">
        <v>57</v>
      </c>
      <c r="H598" s="0" t="s">
        <v>58</v>
      </c>
      <c r="I598" s="0" t="s">
        <v>107</v>
      </c>
      <c r="J598" s="0" t="s">
        <v>1650</v>
      </c>
    </row>
    <row r="599" customFormat="false" ht="13.8" hidden="false" customHeight="false" outlineLevel="0" collapsed="false">
      <c r="A599" s="0" t="s">
        <v>1458</v>
      </c>
      <c r="B599" s="0" t="s">
        <v>108</v>
      </c>
      <c r="C599" s="0" t="s">
        <v>80</v>
      </c>
      <c r="D599" s="0" t="s">
        <v>81</v>
      </c>
      <c r="E599" s="0" t="s">
        <v>109</v>
      </c>
      <c r="F599" s="0" t="n">
        <f aca="false">HYPERLINK("http://clipc-services.ceda.ac.uk/dreq/u/c4b3f6005f73f2fc2d0e348fdff3c2bc.html","web")</f>
        <v>0</v>
      </c>
      <c r="G599" s="0" t="s">
        <v>57</v>
      </c>
      <c r="H599" s="0" t="s">
        <v>58</v>
      </c>
      <c r="I599" s="0" t="s">
        <v>110</v>
      </c>
      <c r="J599" s="0" t="s">
        <v>1650</v>
      </c>
    </row>
    <row r="600" customFormat="false" ht="13.8" hidden="false" customHeight="false" outlineLevel="0" collapsed="false">
      <c r="A600" s="0" t="s">
        <v>1458</v>
      </c>
      <c r="B600" s="0" t="s">
        <v>111</v>
      </c>
      <c r="C600" s="0" t="s">
        <v>80</v>
      </c>
      <c r="D600" s="0" t="s">
        <v>81</v>
      </c>
      <c r="E600" s="0" t="s">
        <v>112</v>
      </c>
      <c r="F600" s="0" t="n">
        <f aca="false">HYPERLINK("http://clipc-services.ceda.ac.uk/dreq/u/14d70240caeb3a95922af16eca2d497b.html","web")</f>
        <v>0</v>
      </c>
      <c r="G600" s="0" t="s">
        <v>57</v>
      </c>
      <c r="H600" s="0" t="s">
        <v>58</v>
      </c>
      <c r="I600" s="0" t="s">
        <v>113</v>
      </c>
      <c r="J600" s="0" t="s">
        <v>1650</v>
      </c>
    </row>
    <row r="601" customFormat="false" ht="13.8" hidden="false" customHeight="false" outlineLevel="0" collapsed="false">
      <c r="A601" s="0" t="s">
        <v>1458</v>
      </c>
      <c r="B601" s="0" t="s">
        <v>114</v>
      </c>
      <c r="C601" s="0" t="s">
        <v>80</v>
      </c>
      <c r="D601" s="0" t="s">
        <v>81</v>
      </c>
      <c r="E601" s="0" t="s">
        <v>115</v>
      </c>
      <c r="F601" s="0" t="n">
        <f aca="false">HYPERLINK("http://clipc-services.ceda.ac.uk/dreq/u/4f1bd1a2-12cc-11e6-b2bc-ac72891c3257.html","web")</f>
        <v>0</v>
      </c>
      <c r="G601" s="0" t="s">
        <v>57</v>
      </c>
      <c r="H601" s="0" t="s">
        <v>58</v>
      </c>
      <c r="I601" s="0" t="s">
        <v>116</v>
      </c>
      <c r="J601" s="0" t="s">
        <v>1650</v>
      </c>
    </row>
    <row r="602" customFormat="false" ht="13.8" hidden="false" customHeight="false" outlineLevel="0" collapsed="false">
      <c r="A602" s="0" t="s">
        <v>1458</v>
      </c>
      <c r="B602" s="0" t="s">
        <v>117</v>
      </c>
      <c r="C602" s="0" t="s">
        <v>80</v>
      </c>
      <c r="D602" s="0" t="s">
        <v>81</v>
      </c>
      <c r="E602" s="0" t="s">
        <v>118</v>
      </c>
      <c r="F602" s="0" t="n">
        <f aca="false">HYPERLINK("http://clipc-services.ceda.ac.uk/dreq/u/f507e49404f47a6255539751483d8bdc.html","web")</f>
        <v>0</v>
      </c>
      <c r="G602" s="0" t="s">
        <v>57</v>
      </c>
      <c r="H602" s="0" t="s">
        <v>58</v>
      </c>
      <c r="I602" s="0" t="s">
        <v>119</v>
      </c>
      <c r="J602" s="0" t="s">
        <v>1650</v>
      </c>
    </row>
    <row r="603" customFormat="false" ht="13.8" hidden="false" customHeight="false" outlineLevel="0" collapsed="false">
      <c r="A603" s="0" t="s">
        <v>1458</v>
      </c>
      <c r="B603" s="0" t="s">
        <v>120</v>
      </c>
      <c r="C603" s="0" t="s">
        <v>80</v>
      </c>
      <c r="D603" s="0" t="s">
        <v>81</v>
      </c>
      <c r="E603" s="0" t="s">
        <v>121</v>
      </c>
      <c r="F603" s="0" t="n">
        <f aca="false">HYPERLINK("http://clipc-services.ceda.ac.uk/dreq/u/02e08dbdee260db0debd5685cb62934f.html","web")</f>
        <v>0</v>
      </c>
      <c r="G603" s="0" t="s">
        <v>57</v>
      </c>
      <c r="H603" s="0" t="s">
        <v>58</v>
      </c>
      <c r="I603" s="0" t="s">
        <v>122</v>
      </c>
      <c r="J603" s="0" t="s">
        <v>1650</v>
      </c>
    </row>
    <row r="604" customFormat="false" ht="13.8" hidden="false" customHeight="false" outlineLevel="0" collapsed="false">
      <c r="A604" s="0" t="s">
        <v>1458</v>
      </c>
      <c r="B604" s="0" t="s">
        <v>123</v>
      </c>
      <c r="C604" s="0" t="s">
        <v>80</v>
      </c>
      <c r="D604" s="0" t="s">
        <v>81</v>
      </c>
      <c r="E604" s="0" t="s">
        <v>124</v>
      </c>
      <c r="F604" s="0" t="n">
        <f aca="false">HYPERLINK("http://clipc-services.ceda.ac.uk/dreq/u/a41ce7d71eb9622c88b8f18438cbe36c.html","web")</f>
        <v>0</v>
      </c>
      <c r="G604" s="0" t="s">
        <v>57</v>
      </c>
      <c r="H604" s="0" t="s">
        <v>58</v>
      </c>
      <c r="I604" s="0" t="s">
        <v>125</v>
      </c>
      <c r="J604" s="0" t="s">
        <v>1650</v>
      </c>
    </row>
    <row r="605" customFormat="false" ht="13.8" hidden="false" customHeight="false" outlineLevel="0" collapsed="false">
      <c r="A605" s="0" t="s">
        <v>1458</v>
      </c>
      <c r="B605" s="0" t="s">
        <v>71</v>
      </c>
      <c r="C605" s="0" t="s">
        <v>12</v>
      </c>
      <c r="D605" s="0" t="s">
        <v>72</v>
      </c>
      <c r="E605" s="0" t="s">
        <v>73</v>
      </c>
      <c r="F605" s="0" t="n">
        <f aca="false">HYPERLINK("http://clipc-services.ceda.ac.uk/dreq/u/be9cffbb781e32b0bc311b22fa5c0322.html","web")</f>
        <v>0</v>
      </c>
      <c r="G605" s="0" t="s">
        <v>74</v>
      </c>
      <c r="H605" s="0" t="s">
        <v>75</v>
      </c>
      <c r="I605" s="0" t="s">
        <v>76</v>
      </c>
      <c r="J605" s="0" t="s">
        <v>1651</v>
      </c>
    </row>
    <row r="606" customFormat="false" ht="13.8" hidden="false" customHeight="false" outlineLevel="0" collapsed="false">
      <c r="A606" s="0" t="s">
        <v>1458</v>
      </c>
      <c r="B606" s="0" t="s">
        <v>1652</v>
      </c>
      <c r="C606" s="0" t="s">
        <v>12</v>
      </c>
      <c r="D606" s="0" t="s">
        <v>55</v>
      </c>
      <c r="E606" s="0" t="s">
        <v>1653</v>
      </c>
      <c r="F606" s="0" t="n">
        <f aca="false">HYPERLINK("http://clipc-services.ceda.ac.uk/dreq/u/59177dc0-9e49-11e5-803c-0d0b866b59f3.html","web")</f>
        <v>0</v>
      </c>
      <c r="G606" s="0" t="s">
        <v>1654</v>
      </c>
      <c r="H606" s="0" t="s">
        <v>50</v>
      </c>
      <c r="I606" s="0" t="s">
        <v>1655</v>
      </c>
      <c r="J606" s="0" t="s">
        <v>1319</v>
      </c>
    </row>
    <row r="607" customFormat="false" ht="13.8" hidden="false" customHeight="false" outlineLevel="0" collapsed="false">
      <c r="A607" s="0" t="s">
        <v>1458</v>
      </c>
      <c r="B607" s="0" t="s">
        <v>1656</v>
      </c>
      <c r="C607" s="0" t="s">
        <v>12</v>
      </c>
      <c r="D607" s="0" t="s">
        <v>55</v>
      </c>
      <c r="E607" s="0" t="s">
        <v>1657</v>
      </c>
      <c r="F607" s="0" t="n">
        <f aca="false">HYPERLINK("http://clipc-services.ceda.ac.uk/dreq/u/591306a0-9e49-11e5-803c-0d0b866b59f3.html","web")</f>
        <v>0</v>
      </c>
      <c r="G607" s="0" t="s">
        <v>1658</v>
      </c>
      <c r="H607" s="0" t="s">
        <v>50</v>
      </c>
      <c r="I607" s="0" t="s">
        <v>1659</v>
      </c>
      <c r="J607" s="0" t="s">
        <v>1319</v>
      </c>
    </row>
    <row r="608" customFormat="false" ht="13.8" hidden="false" customHeight="false" outlineLevel="0" collapsed="false">
      <c r="A608" s="0" t="s">
        <v>1458</v>
      </c>
      <c r="B608" s="0" t="s">
        <v>1660</v>
      </c>
      <c r="C608" s="0" t="s">
        <v>12</v>
      </c>
      <c r="D608" s="0" t="s">
        <v>55</v>
      </c>
      <c r="E608" s="0" t="s">
        <v>1661</v>
      </c>
      <c r="F608" s="0" t="n">
        <f aca="false">HYPERLINK("http://clipc-services.ceda.ac.uk/dreq/u/591505ae-9e49-11e5-803c-0d0b866b59f3.html","web")</f>
        <v>0</v>
      </c>
      <c r="G608" s="0" t="s">
        <v>57</v>
      </c>
      <c r="H608" s="0" t="s">
        <v>58</v>
      </c>
      <c r="I608" s="0" t="s">
        <v>1662</v>
      </c>
      <c r="J608" s="0" t="s">
        <v>18</v>
      </c>
    </row>
    <row r="609" customFormat="false" ht="13.8" hidden="false" customHeight="false" outlineLevel="0" collapsed="false">
      <c r="A609" s="0" t="s">
        <v>1458</v>
      </c>
      <c r="B609" s="0" t="s">
        <v>1663</v>
      </c>
      <c r="C609" s="0" t="s">
        <v>12</v>
      </c>
      <c r="D609" s="0" t="s">
        <v>55</v>
      </c>
      <c r="E609" s="0" t="s">
        <v>1664</v>
      </c>
      <c r="F609" s="0" t="n">
        <f aca="false">HYPERLINK("http://clipc-services.ceda.ac.uk/dreq/u/b71c89e6003d19738e44474eaacf8ef0.html","web")</f>
        <v>0</v>
      </c>
      <c r="G609" s="0" t="s">
        <v>1635</v>
      </c>
      <c r="H609" s="0" t="s">
        <v>251</v>
      </c>
      <c r="I609" s="0" t="s">
        <v>1665</v>
      </c>
      <c r="J609" s="0" t="s">
        <v>1666</v>
      </c>
    </row>
    <row r="610" customFormat="false" ht="13.8" hidden="false" customHeight="false" outlineLevel="0" collapsed="false">
      <c r="A610" s="0" t="s">
        <v>1458</v>
      </c>
      <c r="B610" s="0" t="s">
        <v>1667</v>
      </c>
      <c r="C610" s="0" t="s">
        <v>12</v>
      </c>
      <c r="D610" s="0" t="s">
        <v>55</v>
      </c>
      <c r="E610" s="0" t="s">
        <v>1668</v>
      </c>
      <c r="F610" s="0" t="n">
        <f aca="false">HYPERLINK("http://clipc-services.ceda.ac.uk/dreq/u/2191e3410c3a2beedfec222f81f028b6.html","web")</f>
        <v>0</v>
      </c>
      <c r="G610" s="0" t="s">
        <v>250</v>
      </c>
      <c r="H610" s="0" t="s">
        <v>251</v>
      </c>
      <c r="I610" s="0" t="s">
        <v>1669</v>
      </c>
      <c r="J610" s="0" t="s">
        <v>1666</v>
      </c>
    </row>
    <row r="611" customFormat="false" ht="13.8" hidden="false" customHeight="false" outlineLevel="0" collapsed="false">
      <c r="A611" s="0" t="s">
        <v>1458</v>
      </c>
      <c r="B611" s="0" t="s">
        <v>1670</v>
      </c>
      <c r="C611" s="0" t="s">
        <v>80</v>
      </c>
      <c r="D611" s="0" t="s">
        <v>55</v>
      </c>
      <c r="E611" s="0" t="s">
        <v>1671</v>
      </c>
      <c r="F611" s="0" t="n">
        <f aca="false">HYPERLINK("http://clipc-services.ceda.ac.uk/dreq/u/64d818a9a2f9e72570449c024070950e.html","web")</f>
        <v>0</v>
      </c>
      <c r="G611" s="0" t="s">
        <v>250</v>
      </c>
      <c r="H611" s="0" t="s">
        <v>251</v>
      </c>
      <c r="I611" s="0" t="s">
        <v>1672</v>
      </c>
      <c r="J611" s="0" t="s">
        <v>1666</v>
      </c>
    </row>
    <row r="612" customFormat="false" ht="13.8" hidden="false" customHeight="false" outlineLevel="0" collapsed="false">
      <c r="A612" s="0" t="s">
        <v>1458</v>
      </c>
      <c r="B612" s="0" t="s">
        <v>1673</v>
      </c>
      <c r="C612" s="0" t="s">
        <v>12</v>
      </c>
      <c r="D612" s="0" t="s">
        <v>304</v>
      </c>
      <c r="E612" s="0" t="s">
        <v>1674</v>
      </c>
      <c r="F612" s="0" t="n">
        <f aca="false">HYPERLINK("http://clipc-services.ceda.ac.uk/dreq/u/590a8976-9e49-11e5-803c-0d0b866b59f3.html","web")</f>
        <v>0</v>
      </c>
      <c r="G612" s="0" t="s">
        <v>250</v>
      </c>
      <c r="H612" s="0" t="s">
        <v>251</v>
      </c>
      <c r="I612" s="0" t="s">
        <v>1675</v>
      </c>
      <c r="J612" s="0" t="s">
        <v>283</v>
      </c>
    </row>
    <row r="613" customFormat="false" ht="13.8" hidden="false" customHeight="false" outlineLevel="0" collapsed="false">
      <c r="A613" s="0" t="s">
        <v>1458</v>
      </c>
      <c r="B613" s="0" t="s">
        <v>1676</v>
      </c>
      <c r="C613" s="0" t="s">
        <v>12</v>
      </c>
      <c r="D613" s="0" t="s">
        <v>304</v>
      </c>
      <c r="E613" s="0" t="s">
        <v>1677</v>
      </c>
      <c r="F613" s="0" t="n">
        <f aca="false">HYPERLINK("http://clipc-services.ceda.ac.uk/dreq/u/59140726-9e49-11e5-803c-0d0b866b59f3.html","web")</f>
        <v>0</v>
      </c>
      <c r="G613" s="0" t="s">
        <v>250</v>
      </c>
      <c r="H613" s="0" t="s">
        <v>251</v>
      </c>
      <c r="I613" s="0" t="s">
        <v>1678</v>
      </c>
      <c r="J613" s="0" t="s">
        <v>283</v>
      </c>
    </row>
    <row r="614" customFormat="false" ht="13.8" hidden="false" customHeight="false" outlineLevel="0" collapsed="false">
      <c r="A614" s="0" t="s">
        <v>1458</v>
      </c>
      <c r="B614" s="0" t="s">
        <v>1679</v>
      </c>
      <c r="C614" s="0" t="s">
        <v>12</v>
      </c>
      <c r="D614" s="0" t="s">
        <v>304</v>
      </c>
      <c r="E614" s="0" t="s">
        <v>1680</v>
      </c>
      <c r="F614" s="0" t="n">
        <f aca="false">HYPERLINK("http://clipc-services.ceda.ac.uk/dreq/u/59148a84-9e49-11e5-803c-0d0b866b59f3.html","web")</f>
        <v>0</v>
      </c>
      <c r="G614" s="0" t="s">
        <v>250</v>
      </c>
      <c r="H614" s="0" t="s">
        <v>251</v>
      </c>
      <c r="I614" s="0" t="s">
        <v>1681</v>
      </c>
      <c r="J614" s="0" t="s">
        <v>283</v>
      </c>
    </row>
    <row r="615" customFormat="false" ht="13.8" hidden="false" customHeight="false" outlineLevel="0" collapsed="false">
      <c r="A615" s="0" t="s">
        <v>1458</v>
      </c>
      <c r="B615" s="0" t="s">
        <v>1682</v>
      </c>
      <c r="C615" s="0" t="s">
        <v>12</v>
      </c>
      <c r="D615" s="0" t="s">
        <v>304</v>
      </c>
      <c r="E615" s="0" t="s">
        <v>1683</v>
      </c>
      <c r="F615" s="0" t="n">
        <f aca="false">HYPERLINK("http://clipc-services.ceda.ac.uk/dreq/u/59148f52-9e49-11e5-803c-0d0b866b59f3.html","web")</f>
        <v>0</v>
      </c>
      <c r="G615" s="0" t="s">
        <v>250</v>
      </c>
      <c r="H615" s="0" t="s">
        <v>251</v>
      </c>
      <c r="I615" s="0" t="s">
        <v>1684</v>
      </c>
      <c r="J615" s="0" t="s">
        <v>283</v>
      </c>
    </row>
    <row r="616" customFormat="false" ht="13.8" hidden="false" customHeight="false" outlineLevel="0" collapsed="false">
      <c r="A616" s="0" t="s">
        <v>1458</v>
      </c>
      <c r="B616" s="0" t="s">
        <v>1685</v>
      </c>
      <c r="C616" s="0" t="s">
        <v>12</v>
      </c>
      <c r="D616" s="0" t="s">
        <v>304</v>
      </c>
      <c r="E616" s="0" t="s">
        <v>1686</v>
      </c>
      <c r="F616" s="0" t="n">
        <f aca="false">HYPERLINK("http://clipc-services.ceda.ac.uk/dreq/u/5912a174-9e49-11e5-803c-0d0b866b59f3.html","web")</f>
        <v>0</v>
      </c>
      <c r="G616" s="0" t="s">
        <v>250</v>
      </c>
      <c r="H616" s="0" t="s">
        <v>251</v>
      </c>
      <c r="I616" s="0" t="s">
        <v>1687</v>
      </c>
      <c r="J616" s="0" t="s">
        <v>283</v>
      </c>
    </row>
    <row r="617" customFormat="false" ht="13.8" hidden="false" customHeight="false" outlineLevel="0" collapsed="false">
      <c r="A617" s="0" t="s">
        <v>1458</v>
      </c>
      <c r="B617" s="0" t="s">
        <v>1688</v>
      </c>
      <c r="C617" s="0" t="s">
        <v>12</v>
      </c>
      <c r="D617" s="0" t="s">
        <v>304</v>
      </c>
      <c r="E617" s="0" t="s">
        <v>1689</v>
      </c>
      <c r="F617" s="0" t="n">
        <f aca="false">HYPERLINK("http://clipc-services.ceda.ac.uk/dreq/u/590ed0a8-9e49-11e5-803c-0d0b866b59f3.html","web")</f>
        <v>0</v>
      </c>
      <c r="G617" s="0" t="s">
        <v>250</v>
      </c>
      <c r="H617" s="0" t="s">
        <v>251</v>
      </c>
      <c r="I617" s="0" t="s">
        <v>1690</v>
      </c>
      <c r="J617" s="0" t="s">
        <v>283</v>
      </c>
    </row>
    <row r="618" customFormat="false" ht="13.8" hidden="false" customHeight="false" outlineLevel="0" collapsed="false">
      <c r="A618" s="0" t="s">
        <v>1458</v>
      </c>
      <c r="B618" s="0" t="s">
        <v>1691</v>
      </c>
      <c r="C618" s="0" t="s">
        <v>12</v>
      </c>
      <c r="D618" s="0" t="s">
        <v>1692</v>
      </c>
      <c r="E618" s="0" t="s">
        <v>1693</v>
      </c>
      <c r="F618" s="0" t="n">
        <f aca="false">HYPERLINK("http://clipc-services.ceda.ac.uk/dreq/u/59170110-9e49-11e5-803c-0d0b866b59f3.html","web")</f>
        <v>0</v>
      </c>
      <c r="G618" s="0" t="s">
        <v>250</v>
      </c>
      <c r="H618" s="0" t="s">
        <v>251</v>
      </c>
      <c r="I618" s="0" t="s">
        <v>1694</v>
      </c>
      <c r="J618" s="0" t="s">
        <v>283</v>
      </c>
    </row>
    <row r="619" customFormat="false" ht="13.8" hidden="false" customHeight="false" outlineLevel="0" collapsed="false">
      <c r="A619" s="0" t="s">
        <v>1458</v>
      </c>
      <c r="B619" s="0" t="s">
        <v>1695</v>
      </c>
      <c r="C619" s="0" t="s">
        <v>12</v>
      </c>
      <c r="D619" s="0" t="s">
        <v>304</v>
      </c>
      <c r="E619" s="0" t="s">
        <v>1696</v>
      </c>
      <c r="F619" s="0" t="n">
        <f aca="false">HYPERLINK("http://clipc-services.ceda.ac.uk/dreq/u/590f8d36-9e49-11e5-803c-0d0b866b59f3.html","web")</f>
        <v>0</v>
      </c>
      <c r="G619" s="0" t="s">
        <v>250</v>
      </c>
      <c r="H619" s="0" t="s">
        <v>251</v>
      </c>
      <c r="I619" s="0" t="s">
        <v>1697</v>
      </c>
      <c r="J619" s="0" t="s">
        <v>283</v>
      </c>
    </row>
    <row r="620" customFormat="false" ht="13.8" hidden="false" customHeight="false" outlineLevel="0" collapsed="false">
      <c r="A620" s="0" t="s">
        <v>1458</v>
      </c>
      <c r="B620" s="0" t="s">
        <v>1698</v>
      </c>
      <c r="C620" s="0" t="s">
        <v>12</v>
      </c>
      <c r="D620" s="0" t="s">
        <v>1699</v>
      </c>
      <c r="E620" s="0" t="s">
        <v>1700</v>
      </c>
      <c r="F620" s="0" t="n">
        <f aca="false">HYPERLINK("http://clipc-services.ceda.ac.uk/dreq/u/590f983a-9e49-11e5-803c-0d0b866b59f3.html","web")</f>
        <v>0</v>
      </c>
      <c r="G620" s="0" t="s">
        <v>250</v>
      </c>
      <c r="H620" s="0" t="s">
        <v>251</v>
      </c>
      <c r="I620" s="0" t="s">
        <v>1701</v>
      </c>
      <c r="J620" s="0" t="s">
        <v>283</v>
      </c>
    </row>
    <row r="621" customFormat="false" ht="13.8" hidden="false" customHeight="false" outlineLevel="0" collapsed="false">
      <c r="A621" s="0" t="s">
        <v>1458</v>
      </c>
      <c r="B621" s="0" t="s">
        <v>1702</v>
      </c>
      <c r="C621" s="0" t="s">
        <v>12</v>
      </c>
      <c r="D621" s="0" t="s">
        <v>304</v>
      </c>
      <c r="E621" s="0" t="s">
        <v>1703</v>
      </c>
      <c r="F621" s="0" t="n">
        <f aca="false">HYPERLINK("http://clipc-services.ceda.ac.uk/dreq/u/5913bc80-9e49-11e5-803c-0d0b866b59f3.html","web")</f>
        <v>0</v>
      </c>
      <c r="G621" s="0" t="s">
        <v>250</v>
      </c>
      <c r="H621" s="0" t="s">
        <v>251</v>
      </c>
      <c r="I621" s="0" t="s">
        <v>1704</v>
      </c>
      <c r="J621" s="0" t="s">
        <v>283</v>
      </c>
    </row>
    <row r="622" customFormat="false" ht="13.8" hidden="false" customHeight="false" outlineLevel="0" collapsed="false">
      <c r="A622" s="0" t="s">
        <v>1458</v>
      </c>
      <c r="B622" s="0" t="s">
        <v>1705</v>
      </c>
      <c r="C622" s="0" t="s">
        <v>12</v>
      </c>
      <c r="D622" s="0" t="s">
        <v>304</v>
      </c>
      <c r="E622" s="0" t="s">
        <v>1706</v>
      </c>
      <c r="F622" s="0" t="n">
        <f aca="false">HYPERLINK("http://clipc-services.ceda.ac.uk/dreq/u/590d606a-9e49-11e5-803c-0d0b866b59f3.html","web")</f>
        <v>0</v>
      </c>
      <c r="G622" s="0" t="s">
        <v>250</v>
      </c>
      <c r="H622" s="0" t="s">
        <v>251</v>
      </c>
      <c r="I622" s="0" t="s">
        <v>1707</v>
      </c>
      <c r="J622" s="0" t="s">
        <v>283</v>
      </c>
    </row>
    <row r="623" customFormat="false" ht="13.8" hidden="false" customHeight="false" outlineLevel="0" collapsed="false">
      <c r="A623" s="0" t="s">
        <v>1458</v>
      </c>
      <c r="B623" s="0" t="s">
        <v>1708</v>
      </c>
      <c r="C623" s="0" t="s">
        <v>12</v>
      </c>
      <c r="D623" s="0" t="s">
        <v>304</v>
      </c>
      <c r="E623" s="0" t="s">
        <v>1709</v>
      </c>
      <c r="F623" s="0" t="n">
        <f aca="false">HYPERLINK("http://clipc-services.ceda.ac.uk/dreq/u/3f305b94-b89b-11e6-be04-ac72891c3257.html","web")</f>
        <v>0</v>
      </c>
      <c r="G623" s="0" t="s">
        <v>250</v>
      </c>
      <c r="H623" s="0" t="s">
        <v>251</v>
      </c>
      <c r="J623" s="0" t="s">
        <v>283</v>
      </c>
    </row>
    <row r="624" customFormat="false" ht="13.8" hidden="false" customHeight="false" outlineLevel="0" collapsed="false">
      <c r="A624" s="0" t="s">
        <v>1458</v>
      </c>
      <c r="B624" s="0" t="s">
        <v>1710</v>
      </c>
      <c r="C624" s="0" t="s">
        <v>12</v>
      </c>
      <c r="D624" s="0" t="s">
        <v>304</v>
      </c>
      <c r="E624" s="0" t="s">
        <v>1711</v>
      </c>
      <c r="F624" s="0" t="n">
        <f aca="false">HYPERLINK("http://clipc-services.ceda.ac.uk/dreq/u/3f3074ee-b89b-11e6-be04-ac72891c3257.html","web")</f>
        <v>0</v>
      </c>
      <c r="G624" s="0" t="s">
        <v>250</v>
      </c>
      <c r="H624" s="0" t="s">
        <v>251</v>
      </c>
      <c r="I624" s="0" t="s">
        <v>1712</v>
      </c>
      <c r="J624" s="0" t="s">
        <v>283</v>
      </c>
    </row>
    <row r="625" customFormat="false" ht="13.8" hidden="false" customHeight="false" outlineLevel="0" collapsed="false">
      <c r="A625" s="0" t="s">
        <v>1458</v>
      </c>
      <c r="B625" s="0" t="s">
        <v>1713</v>
      </c>
      <c r="C625" s="0" t="s">
        <v>12</v>
      </c>
      <c r="D625" s="0" t="s">
        <v>304</v>
      </c>
      <c r="E625" s="0" t="s">
        <v>1714</v>
      </c>
      <c r="F625" s="0" t="n">
        <f aca="false">HYPERLINK("http://clipc-services.ceda.ac.uk/dreq/u/3f30714c-b89b-11e6-be04-ac72891c3257.html","web")</f>
        <v>0</v>
      </c>
      <c r="G625" s="0" t="s">
        <v>250</v>
      </c>
      <c r="H625" s="0" t="s">
        <v>251</v>
      </c>
      <c r="I625" s="0" t="s">
        <v>1715</v>
      </c>
      <c r="J625" s="0" t="s">
        <v>283</v>
      </c>
    </row>
    <row r="626" customFormat="false" ht="13.8" hidden="false" customHeight="false" outlineLevel="0" collapsed="false">
      <c r="A626" s="0" t="s">
        <v>1458</v>
      </c>
      <c r="B626" s="0" t="s">
        <v>1716</v>
      </c>
      <c r="C626" s="0" t="s">
        <v>12</v>
      </c>
      <c r="D626" s="0" t="s">
        <v>304</v>
      </c>
      <c r="E626" s="0" t="s">
        <v>1717</v>
      </c>
      <c r="F626" s="0" t="n">
        <f aca="false">HYPERLINK("http://clipc-services.ceda.ac.uk/dreq/u/3f3067e2-b89b-11e6-be04-ac72891c3257.html","web")</f>
        <v>0</v>
      </c>
      <c r="G626" s="0" t="s">
        <v>250</v>
      </c>
      <c r="H626" s="0" t="s">
        <v>251</v>
      </c>
      <c r="I626" s="0" t="s">
        <v>1718</v>
      </c>
      <c r="J626" s="0" t="s">
        <v>283</v>
      </c>
    </row>
    <row r="627" customFormat="false" ht="13.8" hidden="false" customHeight="false" outlineLevel="0" collapsed="false">
      <c r="A627" s="0" t="s">
        <v>1458</v>
      </c>
      <c r="B627" s="0" t="s">
        <v>1719</v>
      </c>
      <c r="C627" s="0" t="s">
        <v>12</v>
      </c>
      <c r="D627" s="0" t="s">
        <v>304</v>
      </c>
      <c r="E627" s="0" t="s">
        <v>1720</v>
      </c>
      <c r="F627" s="0" t="n">
        <f aca="false">HYPERLINK("http://clipc-services.ceda.ac.uk/dreq/u/3f3051c6-b89b-11e6-be04-ac72891c3257.html","web")</f>
        <v>0</v>
      </c>
      <c r="G627" s="0" t="s">
        <v>250</v>
      </c>
      <c r="H627" s="0" t="s">
        <v>251</v>
      </c>
      <c r="I627" s="0" t="s">
        <v>1721</v>
      </c>
      <c r="J627" s="0" t="s">
        <v>283</v>
      </c>
    </row>
    <row r="628" customFormat="false" ht="13.8" hidden="false" customHeight="false" outlineLevel="0" collapsed="false">
      <c r="A628" s="0" t="s">
        <v>1458</v>
      </c>
      <c r="B628" s="0" t="s">
        <v>309</v>
      </c>
      <c r="C628" s="0" t="s">
        <v>12</v>
      </c>
      <c r="D628" s="0" t="s">
        <v>304</v>
      </c>
      <c r="E628" s="0" t="s">
        <v>310</v>
      </c>
      <c r="F628" s="0" t="n">
        <f aca="false">HYPERLINK("http://clipc-services.ceda.ac.uk/dreq/u/591423aa-9e49-11e5-803c-0d0b866b59f3.html","web")</f>
        <v>0</v>
      </c>
      <c r="G628" s="0" t="s">
        <v>250</v>
      </c>
      <c r="H628" s="0" t="s">
        <v>251</v>
      </c>
      <c r="I628" s="0" t="s">
        <v>311</v>
      </c>
      <c r="J628" s="0" t="s">
        <v>283</v>
      </c>
    </row>
    <row r="629" customFormat="false" ht="13.8" hidden="false" customHeight="false" outlineLevel="0" collapsed="false">
      <c r="A629" s="0" t="s">
        <v>1458</v>
      </c>
      <c r="B629" s="0" t="s">
        <v>1438</v>
      </c>
      <c r="C629" s="0" t="s">
        <v>12</v>
      </c>
      <c r="D629" s="0" t="s">
        <v>55</v>
      </c>
      <c r="E629" s="0" t="s">
        <v>1439</v>
      </c>
      <c r="F629" s="0" t="n">
        <f aca="false">HYPERLINK("http://clipc-services.ceda.ac.uk/dreq/u/2ca539fe3d21e4555ac39018c99b357d.html","web")</f>
        <v>0</v>
      </c>
      <c r="G629" s="0" t="s">
        <v>1440</v>
      </c>
      <c r="H629" s="0" t="s">
        <v>251</v>
      </c>
      <c r="I629" s="0" t="s">
        <v>1441</v>
      </c>
      <c r="J629" s="0" t="s">
        <v>946</v>
      </c>
    </row>
    <row r="630" customFormat="false" ht="13.8" hidden="false" customHeight="false" outlineLevel="0" collapsed="false">
      <c r="A630" s="0" t="s">
        <v>1458</v>
      </c>
      <c r="B630" s="0" t="s">
        <v>1415</v>
      </c>
      <c r="C630" s="0" t="s">
        <v>12</v>
      </c>
      <c r="D630" s="0" t="s">
        <v>55</v>
      </c>
      <c r="E630" s="0" t="s">
        <v>1416</v>
      </c>
      <c r="F630" s="0" t="n">
        <f aca="false">HYPERLINK("http://clipc-services.ceda.ac.uk/dreq/u/3e7348adedb540627808da06a211c81c.html","web")</f>
        <v>0</v>
      </c>
      <c r="G630" s="0" t="s">
        <v>1417</v>
      </c>
      <c r="H630" s="0" t="s">
        <v>50</v>
      </c>
      <c r="I630" s="0" t="s">
        <v>1418</v>
      </c>
      <c r="J630" s="0" t="s">
        <v>1722</v>
      </c>
    </row>
    <row r="631" customFormat="false" ht="13.8" hidden="false" customHeight="false" outlineLevel="0" collapsed="false">
      <c r="A631" s="0" t="s">
        <v>1458</v>
      </c>
      <c r="B631" s="0" t="s">
        <v>1410</v>
      </c>
      <c r="C631" s="0" t="s">
        <v>12</v>
      </c>
      <c r="D631" s="0" t="s">
        <v>55</v>
      </c>
      <c r="E631" s="0" t="s">
        <v>1411</v>
      </c>
      <c r="F631" s="0" t="n">
        <f aca="false">HYPERLINK("http://clipc-services.ceda.ac.uk/dreq/u/cdd8f95be110061697bc323f6bcaba2d.html","web")</f>
        <v>0</v>
      </c>
      <c r="G631" s="0" t="s">
        <v>1412</v>
      </c>
      <c r="H631" s="0" t="s">
        <v>50</v>
      </c>
      <c r="I631" s="0" t="s">
        <v>1413</v>
      </c>
      <c r="J631" s="0" t="s">
        <v>1722</v>
      </c>
    </row>
    <row r="632" customFormat="false" ht="13.8" hidden="false" customHeight="false" outlineLevel="0" collapsed="false">
      <c r="A632" s="0" t="s">
        <v>1458</v>
      </c>
      <c r="B632" s="0" t="s">
        <v>1723</v>
      </c>
      <c r="C632" s="0" t="s">
        <v>12</v>
      </c>
      <c r="D632" s="0" t="s">
        <v>55</v>
      </c>
      <c r="E632" s="0" t="s">
        <v>1724</v>
      </c>
      <c r="F632" s="0" t="n">
        <f aca="false">HYPERLINK("http://clipc-services.ceda.ac.uk/dreq/u/590de58a-9e49-11e5-803c-0d0b866b59f3.html","web")</f>
        <v>0</v>
      </c>
      <c r="G632" s="0" t="s">
        <v>1725</v>
      </c>
      <c r="H632" s="0" t="s">
        <v>50</v>
      </c>
      <c r="I632" s="0" t="s">
        <v>1726</v>
      </c>
      <c r="J632" s="0" t="s">
        <v>946</v>
      </c>
    </row>
    <row r="633" customFormat="false" ht="13.8" hidden="false" customHeight="false" outlineLevel="0" collapsed="false">
      <c r="A633" s="0" t="s">
        <v>1458</v>
      </c>
      <c r="B633" s="0" t="s">
        <v>1727</v>
      </c>
      <c r="C633" s="0" t="s">
        <v>12</v>
      </c>
      <c r="D633" s="0" t="s">
        <v>55</v>
      </c>
      <c r="E633" s="0" t="s">
        <v>1728</v>
      </c>
      <c r="F633" s="0" t="n">
        <f aca="false">HYPERLINK("http://clipc-services.ceda.ac.uk/dreq/u/591444ca-9e49-11e5-803c-0d0b866b59f3.html","web")</f>
        <v>0</v>
      </c>
      <c r="G633" s="0" t="s">
        <v>1729</v>
      </c>
      <c r="H633" s="0" t="s">
        <v>50</v>
      </c>
      <c r="I633" s="0" t="s">
        <v>1726</v>
      </c>
      <c r="J633" s="0" t="s">
        <v>946</v>
      </c>
    </row>
    <row r="634" customFormat="false" ht="13.8" hidden="false" customHeight="false" outlineLevel="0" collapsed="false">
      <c r="A634" s="0" t="s">
        <v>1458</v>
      </c>
      <c r="B634" s="0" t="s">
        <v>1730</v>
      </c>
      <c r="C634" s="0" t="s">
        <v>12</v>
      </c>
      <c r="D634" s="0" t="s">
        <v>55</v>
      </c>
      <c r="E634" s="0" t="s">
        <v>1731</v>
      </c>
      <c r="F634" s="0" t="n">
        <f aca="false">HYPERLINK("http://clipc-services.ceda.ac.uk/dreq/u/5917acf0-9e49-11e5-803c-0d0b866b59f3.html","web")</f>
        <v>0</v>
      </c>
      <c r="G634" s="0" t="s">
        <v>1732</v>
      </c>
      <c r="H634" s="0" t="s">
        <v>50</v>
      </c>
      <c r="I634" s="0" t="s">
        <v>1733</v>
      </c>
      <c r="J634" s="0" t="s">
        <v>946</v>
      </c>
    </row>
    <row r="635" customFormat="false" ht="13.8" hidden="false" customHeight="false" outlineLevel="0" collapsed="false">
      <c r="A635" s="0" t="s">
        <v>1458</v>
      </c>
      <c r="B635" s="0" t="s">
        <v>1734</v>
      </c>
      <c r="C635" s="0" t="s">
        <v>12</v>
      </c>
      <c r="D635" s="0" t="s">
        <v>55</v>
      </c>
      <c r="E635" s="0" t="s">
        <v>1735</v>
      </c>
      <c r="F635" s="0" t="n">
        <f aca="false">HYPERLINK("http://clipc-services.ceda.ac.uk/dreq/u/59147b48-9e49-11e5-803c-0d0b866b59f3.html","web")</f>
        <v>0</v>
      </c>
      <c r="G635" s="0" t="s">
        <v>1736</v>
      </c>
      <c r="H635" s="0" t="s">
        <v>50</v>
      </c>
      <c r="I635" s="0" t="s">
        <v>1726</v>
      </c>
      <c r="J635" s="0" t="s">
        <v>946</v>
      </c>
    </row>
    <row r="636" customFormat="false" ht="13.8" hidden="false" customHeight="false" outlineLevel="0" collapsed="false">
      <c r="A636" s="0" t="s">
        <v>1458</v>
      </c>
      <c r="B636" s="0" t="s">
        <v>1737</v>
      </c>
      <c r="C636" s="0" t="s">
        <v>12</v>
      </c>
      <c r="D636" s="0" t="s">
        <v>55</v>
      </c>
      <c r="E636" s="0" t="s">
        <v>1738</v>
      </c>
      <c r="F636" s="0" t="n">
        <f aca="false">HYPERLINK("http://clipc-services.ceda.ac.uk/dreq/u/23ecf19e478a3ed9026b011e1e1fed02.html","web")</f>
        <v>0</v>
      </c>
      <c r="G636" s="0" t="s">
        <v>1398</v>
      </c>
      <c r="H636" s="0" t="s">
        <v>614</v>
      </c>
      <c r="I636" s="0" t="s">
        <v>1739</v>
      </c>
      <c r="J636" s="0" t="s">
        <v>946</v>
      </c>
    </row>
    <row r="637" customFormat="false" ht="13.8" hidden="false" customHeight="false" outlineLevel="0" collapsed="false">
      <c r="A637" s="0" t="s">
        <v>1458</v>
      </c>
      <c r="B637" s="0" t="s">
        <v>1392</v>
      </c>
      <c r="C637" s="0" t="s">
        <v>12</v>
      </c>
      <c r="D637" s="0" t="s">
        <v>1389</v>
      </c>
      <c r="E637" s="0" t="s">
        <v>1393</v>
      </c>
      <c r="F637" s="0" t="n">
        <f aca="false">HYPERLINK("http://clipc-services.ceda.ac.uk/dreq/u/5914640a-9e49-11e5-803c-0d0b866b59f3.html","web")</f>
        <v>0</v>
      </c>
      <c r="G637" s="0" t="s">
        <v>1394</v>
      </c>
      <c r="H637" s="0" t="s">
        <v>251</v>
      </c>
      <c r="I637" s="0" t="s">
        <v>1395</v>
      </c>
      <c r="J637" s="0" t="s">
        <v>1482</v>
      </c>
    </row>
    <row r="638" customFormat="false" ht="13.8" hidden="false" customHeight="false" outlineLevel="0" collapsed="false">
      <c r="A638" s="0" t="s">
        <v>1458</v>
      </c>
      <c r="B638" s="0" t="s">
        <v>267</v>
      </c>
      <c r="C638" s="0" t="s">
        <v>12</v>
      </c>
      <c r="D638" s="0" t="s">
        <v>268</v>
      </c>
      <c r="E638" s="0" t="s">
        <v>269</v>
      </c>
      <c r="F638" s="0" t="n">
        <f aca="false">HYPERLINK("http://clipc-services.ceda.ac.uk/dreq/u/590e75c2-9e49-11e5-803c-0d0b866b59f3.html","web")</f>
        <v>0</v>
      </c>
      <c r="G638" s="0" t="s">
        <v>250</v>
      </c>
      <c r="H638" s="0" t="s">
        <v>251</v>
      </c>
      <c r="I638" s="0" t="s">
        <v>270</v>
      </c>
      <c r="J638" s="0" t="s">
        <v>1482</v>
      </c>
    </row>
    <row r="639" customFormat="false" ht="13.8" hidden="false" customHeight="false" outlineLevel="0" collapsed="false">
      <c r="A639" s="0" t="s">
        <v>1458</v>
      </c>
      <c r="B639" s="0" t="s">
        <v>1740</v>
      </c>
      <c r="C639" s="0" t="s">
        <v>12</v>
      </c>
      <c r="D639" s="0" t="s">
        <v>1741</v>
      </c>
      <c r="E639" s="0" t="s">
        <v>1742</v>
      </c>
      <c r="F639" s="0" t="n">
        <f aca="false">HYPERLINK("http://clipc-services.ceda.ac.uk/dreq/u/59144f06-9e49-11e5-803c-0d0b866b59f3.html","web")</f>
        <v>0</v>
      </c>
      <c r="G639" s="0" t="s">
        <v>250</v>
      </c>
      <c r="H639" s="0" t="s">
        <v>251</v>
      </c>
      <c r="I639" s="0" t="s">
        <v>1743</v>
      </c>
      <c r="J639" s="0" t="s">
        <v>1482</v>
      </c>
    </row>
    <row r="640" customFormat="false" ht="13.8" hidden="false" customHeight="false" outlineLevel="0" collapsed="false">
      <c r="A640" s="0" t="s">
        <v>1458</v>
      </c>
      <c r="B640" s="0" t="s">
        <v>1744</v>
      </c>
      <c r="C640" s="0" t="s">
        <v>12</v>
      </c>
      <c r="D640" s="0" t="s">
        <v>1745</v>
      </c>
      <c r="E640" s="0" t="s">
        <v>1746</v>
      </c>
      <c r="F640" s="0" t="n">
        <f aca="false">HYPERLINK("http://clipc-services.ceda.ac.uk/dreq/u/5916fc60-9e49-11e5-803c-0d0b866b59f3.html","web")</f>
        <v>0</v>
      </c>
      <c r="G640" s="0" t="s">
        <v>250</v>
      </c>
      <c r="H640" s="0" t="s">
        <v>251</v>
      </c>
      <c r="I640" s="0" t="s">
        <v>1747</v>
      </c>
      <c r="J640" s="0" t="s">
        <v>1482</v>
      </c>
    </row>
    <row r="641" customFormat="false" ht="13.8" hidden="false" customHeight="false" outlineLevel="0" collapsed="false">
      <c r="A641" s="0" t="s">
        <v>1458</v>
      </c>
      <c r="B641" s="0" t="s">
        <v>1748</v>
      </c>
      <c r="C641" s="0" t="s">
        <v>12</v>
      </c>
      <c r="D641" s="0" t="s">
        <v>1749</v>
      </c>
      <c r="E641" s="0" t="s">
        <v>1750</v>
      </c>
      <c r="F641" s="0" t="n">
        <f aca="false">HYPERLINK("http://clipc-services.ceda.ac.uk/dreq/u/59170444-9e49-11e5-803c-0d0b866b59f3.html","web")</f>
        <v>0</v>
      </c>
      <c r="G641" s="0" t="s">
        <v>250</v>
      </c>
      <c r="H641" s="0" t="s">
        <v>251</v>
      </c>
      <c r="I641" s="0" t="s">
        <v>1751</v>
      </c>
      <c r="J641" s="0" t="s">
        <v>1482</v>
      </c>
    </row>
    <row r="642" customFormat="false" ht="13.8" hidden="false" customHeight="false" outlineLevel="0" collapsed="false">
      <c r="A642" s="0" t="s">
        <v>1458</v>
      </c>
      <c r="B642" s="0" t="s">
        <v>1752</v>
      </c>
      <c r="C642" s="0" t="s">
        <v>12</v>
      </c>
      <c r="D642" s="0" t="s">
        <v>55</v>
      </c>
      <c r="E642" s="0" t="s">
        <v>1753</v>
      </c>
      <c r="F642" s="0" t="n">
        <f aca="false">HYPERLINK("http://clipc-services.ceda.ac.uk/dreq/u/5917aa7a-9e49-11e5-803c-0d0b866b59f3.html","web")</f>
        <v>0</v>
      </c>
      <c r="G642" s="0" t="s">
        <v>250</v>
      </c>
      <c r="H642" s="0" t="s">
        <v>251</v>
      </c>
      <c r="I642" s="0" t="s">
        <v>1481</v>
      </c>
      <c r="J642" s="0" t="s">
        <v>1637</v>
      </c>
    </row>
    <row r="643" customFormat="false" ht="13.8" hidden="false" customHeight="false" outlineLevel="0" collapsed="false">
      <c r="A643" s="0" t="s">
        <v>1458</v>
      </c>
      <c r="B643" s="0" t="s">
        <v>1754</v>
      </c>
      <c r="C643" s="0" t="s">
        <v>80</v>
      </c>
      <c r="D643" s="0" t="s">
        <v>55</v>
      </c>
      <c r="E643" s="0" t="s">
        <v>1755</v>
      </c>
      <c r="F643" s="0" t="n">
        <f aca="false">HYPERLINK("http://clipc-services.ceda.ac.uk/dreq/u/59136000-9e49-11e5-803c-0d0b866b59f3.html","web")</f>
        <v>0</v>
      </c>
      <c r="G643" s="0" t="s">
        <v>250</v>
      </c>
      <c r="H643" s="0" t="s">
        <v>251</v>
      </c>
      <c r="I643" s="0" t="s">
        <v>1756</v>
      </c>
      <c r="J643" s="0" t="s">
        <v>1482</v>
      </c>
    </row>
    <row r="644" customFormat="false" ht="13.8" hidden="false" customHeight="false" outlineLevel="0" collapsed="false">
      <c r="A644" s="0" t="s">
        <v>1458</v>
      </c>
      <c r="B644" s="0" t="s">
        <v>1757</v>
      </c>
      <c r="C644" s="0" t="s">
        <v>12</v>
      </c>
      <c r="D644" s="0" t="s">
        <v>55</v>
      </c>
      <c r="E644" s="0" t="s">
        <v>1758</v>
      </c>
      <c r="F644" s="0" t="n">
        <f aca="false">HYPERLINK("http://clipc-services.ceda.ac.uk/dreq/u/59176128-9e49-11e5-803c-0d0b866b59f3.html","web")</f>
        <v>0</v>
      </c>
      <c r="G644" s="0" t="s">
        <v>250</v>
      </c>
      <c r="H644" s="0" t="s">
        <v>251</v>
      </c>
      <c r="I644" s="0" t="s">
        <v>1481</v>
      </c>
      <c r="J644" s="0" t="s">
        <v>1482</v>
      </c>
    </row>
    <row r="645" customFormat="false" ht="13.8" hidden="false" customHeight="false" outlineLevel="0" collapsed="false">
      <c r="A645" s="0" t="s">
        <v>1458</v>
      </c>
      <c r="B645" s="0" t="s">
        <v>1759</v>
      </c>
      <c r="C645" s="0" t="s">
        <v>12</v>
      </c>
      <c r="D645" s="0" t="s">
        <v>55</v>
      </c>
      <c r="E645" s="0" t="s">
        <v>1760</v>
      </c>
      <c r="F645" s="0" t="n">
        <f aca="false">HYPERLINK("http://clipc-services.ceda.ac.uk/dreq/u/590e5100-9e49-11e5-803c-0d0b866b59f3.html","web")</f>
        <v>0</v>
      </c>
      <c r="G645" s="0" t="s">
        <v>250</v>
      </c>
      <c r="H645" s="0" t="s">
        <v>251</v>
      </c>
      <c r="I645" s="0" t="s">
        <v>1481</v>
      </c>
      <c r="J645" s="0" t="s">
        <v>1482</v>
      </c>
    </row>
    <row r="646" customFormat="false" ht="13.8" hidden="false" customHeight="false" outlineLevel="0" collapsed="false">
      <c r="A646" s="0" t="s">
        <v>1458</v>
      </c>
      <c r="B646" s="0" t="s">
        <v>1761</v>
      </c>
      <c r="C646" s="0" t="s">
        <v>12</v>
      </c>
      <c r="D646" s="0" t="s">
        <v>55</v>
      </c>
      <c r="E646" s="0" t="s">
        <v>1762</v>
      </c>
      <c r="F646" s="0" t="n">
        <f aca="false">HYPERLINK("http://clipc-services.ceda.ac.uk/dreq/u/5914d462-9e49-11e5-803c-0d0b866b59f3.html","web")</f>
        <v>0</v>
      </c>
      <c r="G646" s="0" t="s">
        <v>250</v>
      </c>
      <c r="H646" s="0" t="s">
        <v>251</v>
      </c>
      <c r="J646" s="0" t="s">
        <v>1482</v>
      </c>
    </row>
    <row r="647" customFormat="false" ht="13.8" hidden="false" customHeight="false" outlineLevel="0" collapsed="false">
      <c r="A647" s="0" t="s">
        <v>1458</v>
      </c>
      <c r="B647" s="0" t="s">
        <v>1763</v>
      </c>
      <c r="C647" s="0" t="s">
        <v>12</v>
      </c>
      <c r="D647" s="0" t="s">
        <v>1639</v>
      </c>
      <c r="E647" s="0" t="s">
        <v>1764</v>
      </c>
      <c r="F647" s="0" t="n">
        <f aca="false">HYPERLINK("http://clipc-services.ceda.ac.uk/dreq/u/59138f8a-9e49-11e5-803c-0d0b866b59f3.html","web")</f>
        <v>0</v>
      </c>
      <c r="G647" s="0" t="s">
        <v>57</v>
      </c>
      <c r="H647" s="0" t="s">
        <v>58</v>
      </c>
      <c r="I647" s="0" t="s">
        <v>1726</v>
      </c>
      <c r="J647" s="0" t="s">
        <v>946</v>
      </c>
    </row>
    <row r="648" customFormat="false" ht="13.8" hidden="false" customHeight="false" outlineLevel="0" collapsed="false">
      <c r="A648" s="0" t="s">
        <v>1458</v>
      </c>
      <c r="B648" s="0" t="s">
        <v>1399</v>
      </c>
      <c r="C648" s="0" t="s">
        <v>12</v>
      </c>
      <c r="D648" s="0" t="s">
        <v>55</v>
      </c>
      <c r="E648" s="0" t="s">
        <v>1400</v>
      </c>
      <c r="F648" s="0" t="n">
        <f aca="false">HYPERLINK("http://clipc-services.ceda.ac.uk/dreq/u/46bc4ce008d1306ea0780510304cfa88.html","web")</f>
        <v>0</v>
      </c>
      <c r="G648" s="0" t="s">
        <v>57</v>
      </c>
      <c r="H648" s="0" t="s">
        <v>58</v>
      </c>
      <c r="J648" s="0" t="s">
        <v>1722</v>
      </c>
    </row>
    <row r="649" customFormat="false" ht="13.8" hidden="false" customHeight="false" outlineLevel="0" collapsed="false">
      <c r="A649" s="0" t="s">
        <v>1458</v>
      </c>
      <c r="B649" s="0" t="s">
        <v>1765</v>
      </c>
      <c r="C649" s="0" t="s">
        <v>12</v>
      </c>
      <c r="D649" s="0" t="s">
        <v>55</v>
      </c>
      <c r="E649" s="0" t="s">
        <v>1766</v>
      </c>
      <c r="F649" s="0" t="n">
        <f aca="false">HYPERLINK("http://clipc-services.ceda.ac.uk/dreq/u/b5bc9b1fa92a35cec5989eeac3d77d1a.html","web")</f>
        <v>0</v>
      </c>
      <c r="G649" s="0" t="s">
        <v>57</v>
      </c>
      <c r="H649" s="0" t="s">
        <v>58</v>
      </c>
      <c r="I649" s="0" t="s">
        <v>1767</v>
      </c>
      <c r="J649" s="0" t="s">
        <v>1722</v>
      </c>
    </row>
    <row r="650" customFormat="false" ht="13.8" hidden="false" customHeight="false" outlineLevel="0" collapsed="false">
      <c r="A650" s="0" t="s">
        <v>1458</v>
      </c>
      <c r="B650" s="0" t="s">
        <v>1768</v>
      </c>
      <c r="C650" s="0" t="s">
        <v>12</v>
      </c>
      <c r="D650" s="0" t="s">
        <v>1008</v>
      </c>
      <c r="E650" s="0" t="s">
        <v>1769</v>
      </c>
      <c r="F650" s="0" t="n">
        <f aca="false">HYPERLINK("http://clipc-services.ceda.ac.uk/dreq/u/591720a0-9e49-11e5-803c-0d0b866b59f3.html","web")</f>
        <v>0</v>
      </c>
      <c r="G650" s="0" t="s">
        <v>1770</v>
      </c>
      <c r="H650" s="0" t="s">
        <v>614</v>
      </c>
      <c r="I650" s="0" t="s">
        <v>1771</v>
      </c>
      <c r="J650" s="0" t="s">
        <v>1772</v>
      </c>
    </row>
    <row r="651" customFormat="false" ht="13.8" hidden="false" customHeight="false" outlineLevel="0" collapsed="false">
      <c r="A651" s="0" t="s">
        <v>1458</v>
      </c>
      <c r="B651" s="0" t="s">
        <v>1152</v>
      </c>
      <c r="C651" s="0" t="s">
        <v>12</v>
      </c>
      <c r="D651" s="0" t="s">
        <v>55</v>
      </c>
      <c r="E651" s="0" t="s">
        <v>1153</v>
      </c>
      <c r="F651" s="0" t="n">
        <f aca="false">HYPERLINK("http://clipc-services.ceda.ac.uk/dreq/u/11619ca70c37ffd25d5b234c03ca4d4f.html","web")</f>
        <v>0</v>
      </c>
      <c r="G651" s="0" t="s">
        <v>74</v>
      </c>
      <c r="H651" s="0" t="s">
        <v>75</v>
      </c>
      <c r="I651" s="0" t="s">
        <v>1154</v>
      </c>
      <c r="J651" s="0" t="s">
        <v>946</v>
      </c>
    </row>
    <row r="652" customFormat="false" ht="13.8" hidden="false" customHeight="false" outlineLevel="0" collapsed="false">
      <c r="A652" s="0" t="s">
        <v>1458</v>
      </c>
      <c r="B652" s="0" t="s">
        <v>1773</v>
      </c>
      <c r="C652" s="0" t="s">
        <v>12</v>
      </c>
      <c r="D652" s="0" t="s">
        <v>55</v>
      </c>
      <c r="E652" s="0" t="s">
        <v>1774</v>
      </c>
      <c r="F652" s="0" t="n">
        <f aca="false">HYPERLINK("http://clipc-services.ceda.ac.uk/dreq/u/59131910-9e49-11e5-803c-0d0b866b59f3.html","web")</f>
        <v>0</v>
      </c>
      <c r="G652" s="0" t="s">
        <v>1398</v>
      </c>
      <c r="H652" s="0" t="s">
        <v>614</v>
      </c>
      <c r="I652" s="0" t="s">
        <v>1775</v>
      </c>
      <c r="J652" s="0" t="s">
        <v>946</v>
      </c>
    </row>
    <row r="653" customFormat="false" ht="13.8" hidden="false" customHeight="false" outlineLevel="0" collapsed="false">
      <c r="A653" s="0" t="s">
        <v>1458</v>
      </c>
      <c r="B653" s="0" t="s">
        <v>1776</v>
      </c>
      <c r="C653" s="0" t="s">
        <v>12</v>
      </c>
      <c r="D653" s="0" t="s">
        <v>55</v>
      </c>
      <c r="E653" s="0" t="s">
        <v>1777</v>
      </c>
      <c r="F653" s="0" t="n">
        <f aca="false">HYPERLINK("http://clipc-services.ceda.ac.uk/dreq/u/5917c046-9e49-11e5-803c-0d0b866b59f3.html","web")</f>
        <v>0</v>
      </c>
      <c r="G653" s="0" t="s">
        <v>1128</v>
      </c>
      <c r="H653" s="0" t="s">
        <v>614</v>
      </c>
      <c r="I653" s="0" t="s">
        <v>1775</v>
      </c>
      <c r="J653" s="0" t="s">
        <v>946</v>
      </c>
    </row>
    <row r="654" customFormat="false" ht="13.8" hidden="false" customHeight="false" outlineLevel="0" collapsed="false">
      <c r="A654" s="0" t="s">
        <v>1458</v>
      </c>
      <c r="B654" s="0" t="s">
        <v>1778</v>
      </c>
      <c r="C654" s="0" t="s">
        <v>12</v>
      </c>
      <c r="D654" s="0" t="s">
        <v>603</v>
      </c>
      <c r="E654" s="0" t="s">
        <v>1779</v>
      </c>
      <c r="F654" s="0" t="n">
        <f aca="false">HYPERLINK("http://clipc-services.ceda.ac.uk/dreq/u/590e4674-9e49-11e5-803c-0d0b866b59f3.html","web")</f>
        <v>0</v>
      </c>
      <c r="G654" s="0" t="s">
        <v>1398</v>
      </c>
      <c r="H654" s="0" t="s">
        <v>614</v>
      </c>
      <c r="I654" s="0" t="s">
        <v>1775</v>
      </c>
      <c r="J654" s="0" t="s">
        <v>946</v>
      </c>
    </row>
    <row r="655" customFormat="false" ht="13.8" hidden="false" customHeight="false" outlineLevel="0" collapsed="false">
      <c r="A655" s="0" t="s">
        <v>1458</v>
      </c>
      <c r="B655" s="0" t="s">
        <v>1396</v>
      </c>
      <c r="C655" s="0" t="s">
        <v>12</v>
      </c>
      <c r="D655" s="0" t="s">
        <v>55</v>
      </c>
      <c r="E655" s="0" t="s">
        <v>1397</v>
      </c>
      <c r="F655" s="0" t="n">
        <f aca="false">HYPERLINK("http://clipc-services.ceda.ac.uk/dreq/u/c23a39645d860d5a2d7f34ea91d1fd82.html","web")</f>
        <v>0</v>
      </c>
      <c r="G655" s="0" t="s">
        <v>1398</v>
      </c>
      <c r="H655" s="0" t="s">
        <v>614</v>
      </c>
      <c r="J655" s="0" t="s">
        <v>946</v>
      </c>
    </row>
    <row r="656" customFormat="false" ht="13.8" hidden="false" customHeight="false" outlineLevel="0" collapsed="false">
      <c r="A656" s="0" t="s">
        <v>1458</v>
      </c>
      <c r="B656" s="0" t="s">
        <v>1780</v>
      </c>
      <c r="C656" s="0" t="s">
        <v>12</v>
      </c>
      <c r="D656" s="0" t="s">
        <v>603</v>
      </c>
      <c r="E656" s="0" t="s">
        <v>1781</v>
      </c>
      <c r="F656" s="0" t="n">
        <f aca="false">HYPERLINK("http://clipc-services.ceda.ac.uk/dreq/u/a9e338f20a1b85e4758c5b3cb0ad961c.html","web")</f>
        <v>0</v>
      </c>
      <c r="G656" s="0" t="s">
        <v>1398</v>
      </c>
      <c r="H656" s="0" t="s">
        <v>614</v>
      </c>
      <c r="J656" s="0" t="s">
        <v>946</v>
      </c>
    </row>
    <row r="657" customFormat="false" ht="13.8" hidden="false" customHeight="false" outlineLevel="0" collapsed="false">
      <c r="A657" s="0" t="s">
        <v>1458</v>
      </c>
      <c r="B657" s="0" t="s">
        <v>1423</v>
      </c>
      <c r="C657" s="0" t="s">
        <v>12</v>
      </c>
      <c r="D657" s="0" t="s">
        <v>55</v>
      </c>
      <c r="E657" s="0" t="s">
        <v>1424</v>
      </c>
      <c r="F657" s="0" t="n">
        <f aca="false">HYPERLINK("http://clipc-services.ceda.ac.uk/dreq/u/81f029ba-b63d-11e6-98cb-ac72891c3257.html","web")</f>
        <v>0</v>
      </c>
      <c r="G657" s="0" t="s">
        <v>1425</v>
      </c>
      <c r="H657" s="0" t="s">
        <v>251</v>
      </c>
      <c r="I657" s="0" t="s">
        <v>1426</v>
      </c>
      <c r="J657" s="0" t="s">
        <v>997</v>
      </c>
    </row>
    <row r="659" customFormat="false" ht="13.8" hidden="false" customHeight="false" outlineLevel="0" collapsed="false">
      <c r="A659" s="0" t="s">
        <v>1782</v>
      </c>
      <c r="B659" s="0" t="s">
        <v>1783</v>
      </c>
      <c r="C659" s="0" t="s">
        <v>80</v>
      </c>
      <c r="D659" s="0" t="s">
        <v>55</v>
      </c>
      <c r="E659" s="0" t="s">
        <v>1784</v>
      </c>
      <c r="F659" s="0" t="n">
        <f aca="false">HYPERLINK("http://clipc-services.ceda.ac.uk/dreq/u/e54a3eda3d5fc42a9cd1354038ad45ed.html","web")</f>
        <v>0</v>
      </c>
      <c r="G659" s="0" t="s">
        <v>250</v>
      </c>
      <c r="H659" s="0" t="s">
        <v>251</v>
      </c>
      <c r="I659" s="0" t="s">
        <v>1785</v>
      </c>
      <c r="J659" s="0" t="s">
        <v>1786</v>
      </c>
    </row>
    <row r="660" customFormat="false" ht="13.8" hidden="false" customHeight="false" outlineLevel="0" collapsed="false">
      <c r="A660" s="0" t="s">
        <v>1782</v>
      </c>
      <c r="B660" s="0" t="s">
        <v>1787</v>
      </c>
      <c r="C660" s="0" t="s">
        <v>12</v>
      </c>
      <c r="D660" s="0" t="s">
        <v>55</v>
      </c>
      <c r="E660" s="0" t="s">
        <v>1788</v>
      </c>
      <c r="F660" s="0" t="n">
        <f aca="false">HYPERLINK("http://clipc-services.ceda.ac.uk/dreq/u/32ed0e80b1ae2adc7d4fb4b71bce9285.html","web")</f>
        <v>0</v>
      </c>
      <c r="G660" s="0" t="s">
        <v>250</v>
      </c>
      <c r="H660" s="0" t="s">
        <v>251</v>
      </c>
      <c r="I660" s="0" t="s">
        <v>1789</v>
      </c>
      <c r="J660" s="0" t="s">
        <v>1460</v>
      </c>
    </row>
    <row r="661" customFormat="false" ht="13.8" hidden="false" customHeight="false" outlineLevel="0" collapsed="false">
      <c r="A661" s="0" t="s">
        <v>1782</v>
      </c>
      <c r="B661" s="0" t="s">
        <v>1434</v>
      </c>
      <c r="C661" s="0" t="s">
        <v>12</v>
      </c>
      <c r="D661" s="0" t="s">
        <v>55</v>
      </c>
      <c r="E661" s="0" t="s">
        <v>1435</v>
      </c>
      <c r="F661" s="0" t="n">
        <f aca="false">HYPERLINK("http://clipc-services.ceda.ac.uk/dreq/u/19e117c2298a016c96c496ee22f39976.html","web")</f>
        <v>0</v>
      </c>
      <c r="G661" s="0" t="s">
        <v>1436</v>
      </c>
      <c r="H661" s="0" t="s">
        <v>251</v>
      </c>
      <c r="I661" s="0" t="s">
        <v>1437</v>
      </c>
      <c r="J661" s="0" t="s">
        <v>1460</v>
      </c>
    </row>
    <row r="662" customFormat="false" ht="13.8" hidden="false" customHeight="false" outlineLevel="0" collapsed="false">
      <c r="A662" s="0" t="s">
        <v>1782</v>
      </c>
      <c r="B662" s="0" t="s">
        <v>247</v>
      </c>
      <c r="C662" s="0" t="s">
        <v>12</v>
      </c>
      <c r="D662" s="0" t="s">
        <v>248</v>
      </c>
      <c r="E662" s="0" t="s">
        <v>249</v>
      </c>
      <c r="F662" s="0" t="n">
        <f aca="false">HYPERLINK("http://clipc-services.ceda.ac.uk/dreq/u/d3eb8c36759afa5ef2c8363e0c16db88.html","web")</f>
        <v>0</v>
      </c>
      <c r="G662" s="0" t="s">
        <v>250</v>
      </c>
      <c r="H662" s="0" t="s">
        <v>251</v>
      </c>
      <c r="I662" s="0" t="s">
        <v>252</v>
      </c>
      <c r="J662" s="0" t="s">
        <v>1460</v>
      </c>
    </row>
    <row r="663" customFormat="false" ht="13.8" hidden="false" customHeight="false" outlineLevel="0" collapsed="false">
      <c r="A663" s="0" t="s">
        <v>1782</v>
      </c>
      <c r="B663" s="0" t="s">
        <v>254</v>
      </c>
      <c r="C663" s="0" t="s">
        <v>12</v>
      </c>
      <c r="D663" s="0" t="s">
        <v>255</v>
      </c>
      <c r="E663" s="0" t="s">
        <v>256</v>
      </c>
      <c r="F663" s="0" t="n">
        <f aca="false">HYPERLINK("http://clipc-services.ceda.ac.uk/dreq/u/f972af18f1817a7bb5f961b534641394.html","web")</f>
        <v>0</v>
      </c>
      <c r="G663" s="0" t="s">
        <v>250</v>
      </c>
      <c r="H663" s="0" t="s">
        <v>251</v>
      </c>
      <c r="I663" s="0" t="s">
        <v>257</v>
      </c>
      <c r="J663" s="0" t="s">
        <v>1460</v>
      </c>
    </row>
    <row r="664" customFormat="false" ht="13.8" hidden="false" customHeight="false" outlineLevel="0" collapsed="false">
      <c r="A664" s="0" t="s">
        <v>1782</v>
      </c>
      <c r="B664" s="0" t="s">
        <v>258</v>
      </c>
      <c r="C664" s="0" t="s">
        <v>12</v>
      </c>
      <c r="D664" s="0" t="s">
        <v>259</v>
      </c>
      <c r="E664" s="0" t="s">
        <v>260</v>
      </c>
      <c r="F664" s="0" t="n">
        <f aca="false">HYPERLINK("http://clipc-services.ceda.ac.uk/dreq/u/bdb1045bec7f58e9e6221cd39bb34c2f.html","web")</f>
        <v>0</v>
      </c>
      <c r="G664" s="0" t="s">
        <v>261</v>
      </c>
      <c r="H664" s="0" t="s">
        <v>251</v>
      </c>
      <c r="I664" s="0" t="s">
        <v>262</v>
      </c>
      <c r="J664" s="0" t="s">
        <v>1460</v>
      </c>
    </row>
    <row r="665" customFormat="false" ht="13.8" hidden="false" customHeight="false" outlineLevel="0" collapsed="false">
      <c r="A665" s="0" t="s">
        <v>1782</v>
      </c>
      <c r="B665" s="0" t="s">
        <v>263</v>
      </c>
      <c r="C665" s="0" t="s">
        <v>12</v>
      </c>
      <c r="D665" s="0" t="s">
        <v>264</v>
      </c>
      <c r="E665" s="0" t="s">
        <v>265</v>
      </c>
      <c r="F665" s="0" t="n">
        <f aca="false">HYPERLINK("http://clipc-services.ceda.ac.uk/dreq/u/f730de87987b0357d3954c93c4a0c7f7.html","web")</f>
        <v>0</v>
      </c>
      <c r="G665" s="0" t="s">
        <v>250</v>
      </c>
      <c r="H665" s="0" t="s">
        <v>251</v>
      </c>
      <c r="I665" s="0" t="s">
        <v>266</v>
      </c>
      <c r="J665" s="0" t="s">
        <v>1460</v>
      </c>
    </row>
    <row r="666" customFormat="false" ht="13.8" hidden="false" customHeight="false" outlineLevel="0" collapsed="false">
      <c r="A666" s="0" t="s">
        <v>1782</v>
      </c>
      <c r="B666" s="0" t="s">
        <v>1790</v>
      </c>
      <c r="C666" s="0" t="s">
        <v>12</v>
      </c>
      <c r="D666" s="0" t="s">
        <v>1791</v>
      </c>
      <c r="E666" s="0" t="s">
        <v>1792</v>
      </c>
      <c r="F666" s="0" t="n">
        <f aca="false">HYPERLINK("http://clipc-services.ceda.ac.uk/dreq/u/64c3bc72c46203646eb28fee17f6a5f7.html","web")</f>
        <v>0</v>
      </c>
      <c r="G666" s="0" t="s">
        <v>250</v>
      </c>
      <c r="H666" s="0" t="s">
        <v>251</v>
      </c>
      <c r="I666" s="0" t="s">
        <v>1793</v>
      </c>
      <c r="J666" s="0" t="s">
        <v>1460</v>
      </c>
    </row>
    <row r="667" customFormat="false" ht="13.8" hidden="false" customHeight="false" outlineLevel="0" collapsed="false">
      <c r="A667" s="0" t="s">
        <v>1782</v>
      </c>
      <c r="B667" s="0" t="s">
        <v>271</v>
      </c>
      <c r="C667" s="0" t="s">
        <v>12</v>
      </c>
      <c r="D667" s="0" t="s">
        <v>272</v>
      </c>
      <c r="E667" s="0" t="s">
        <v>273</v>
      </c>
      <c r="F667" s="0" t="n">
        <f aca="false">HYPERLINK("http://clipc-services.ceda.ac.uk/dreq/u/9cdb8d54d49e98acadd87e2a1139225e.html","web")</f>
        <v>0</v>
      </c>
      <c r="G667" s="0" t="s">
        <v>250</v>
      </c>
      <c r="H667" s="0" t="s">
        <v>251</v>
      </c>
      <c r="I667" s="0" t="s">
        <v>274</v>
      </c>
      <c r="J667" s="0" t="s">
        <v>1460</v>
      </c>
    </row>
    <row r="668" customFormat="false" ht="13.8" hidden="false" customHeight="false" outlineLevel="0" collapsed="false">
      <c r="A668" s="0" t="s">
        <v>1782</v>
      </c>
      <c r="B668" s="0" t="s">
        <v>275</v>
      </c>
      <c r="C668" s="0" t="s">
        <v>12</v>
      </c>
      <c r="D668" s="0" t="s">
        <v>276</v>
      </c>
      <c r="E668" s="0" t="s">
        <v>277</v>
      </c>
      <c r="F668" s="0" t="n">
        <f aca="false">HYPERLINK("http://clipc-services.ceda.ac.uk/dreq/u/e1ca31ce340d507b1dce7a537bbef951.html","web")</f>
        <v>0</v>
      </c>
      <c r="G668" s="0" t="s">
        <v>250</v>
      </c>
      <c r="H668" s="0" t="s">
        <v>251</v>
      </c>
      <c r="I668" s="0" t="s">
        <v>278</v>
      </c>
      <c r="J668" s="0" t="s">
        <v>1460</v>
      </c>
    </row>
    <row r="669" customFormat="false" ht="13.8" hidden="false" customHeight="false" outlineLevel="0" collapsed="false">
      <c r="A669" s="0" t="s">
        <v>1782</v>
      </c>
      <c r="B669" s="0" t="s">
        <v>295</v>
      </c>
      <c r="C669" s="0" t="s">
        <v>12</v>
      </c>
      <c r="D669" s="0" t="s">
        <v>55</v>
      </c>
      <c r="E669" s="0" t="s">
        <v>296</v>
      </c>
      <c r="F669" s="0" t="n">
        <f aca="false">HYPERLINK("http://clipc-services.ceda.ac.uk/dreq/u/3434c274f8ad8754f594d2b23c2d37db.html","web")</f>
        <v>0</v>
      </c>
      <c r="G669" s="0" t="s">
        <v>250</v>
      </c>
      <c r="H669" s="0" t="s">
        <v>251</v>
      </c>
      <c r="I669" s="0" t="s">
        <v>297</v>
      </c>
      <c r="J669" s="0" t="s">
        <v>1794</v>
      </c>
    </row>
    <row r="670" customFormat="false" ht="13.8" hidden="false" customHeight="false" outlineLevel="0" collapsed="false">
      <c r="A670" s="0" t="s">
        <v>1782</v>
      </c>
      <c r="B670" s="0" t="s">
        <v>298</v>
      </c>
      <c r="C670" s="0" t="s">
        <v>12</v>
      </c>
      <c r="D670" s="0" t="s">
        <v>55</v>
      </c>
      <c r="E670" s="0" t="s">
        <v>299</v>
      </c>
      <c r="F670" s="0" t="n">
        <f aca="false">HYPERLINK("http://clipc-services.ceda.ac.uk/dreq/u/ece03799edff3053efe82e9512d55ed9.html","web")</f>
        <v>0</v>
      </c>
      <c r="G670" s="0" t="s">
        <v>250</v>
      </c>
      <c r="H670" s="0" t="s">
        <v>251</v>
      </c>
      <c r="J670" s="0" t="s">
        <v>1794</v>
      </c>
    </row>
    <row r="671" customFormat="false" ht="13.8" hidden="false" customHeight="false" outlineLevel="0" collapsed="false">
      <c r="A671" s="0" t="s">
        <v>1782</v>
      </c>
      <c r="B671" s="0" t="s">
        <v>300</v>
      </c>
      <c r="C671" s="0" t="s">
        <v>12</v>
      </c>
      <c r="D671" s="0" t="s">
        <v>55</v>
      </c>
      <c r="E671" s="0" t="s">
        <v>301</v>
      </c>
      <c r="F671" s="0" t="n">
        <f aca="false">HYPERLINK("http://clipc-services.ceda.ac.uk/dreq/u/57c2e414bde585cc60a7b2f980e1f870.html","web")</f>
        <v>0</v>
      </c>
      <c r="G671" s="0" t="s">
        <v>250</v>
      </c>
      <c r="H671" s="0" t="s">
        <v>251</v>
      </c>
      <c r="I671" s="0" t="s">
        <v>302</v>
      </c>
      <c r="J671" s="0" t="s">
        <v>1794</v>
      </c>
    </row>
    <row r="672" customFormat="false" ht="13.8" hidden="false" customHeight="false" outlineLevel="0" collapsed="false">
      <c r="A672" s="0" t="s">
        <v>1782</v>
      </c>
      <c r="B672" s="0" t="s">
        <v>1385</v>
      </c>
      <c r="C672" s="0" t="s">
        <v>12</v>
      </c>
      <c r="D672" s="0" t="s">
        <v>55</v>
      </c>
      <c r="E672" s="0" t="s">
        <v>1386</v>
      </c>
      <c r="F672" s="0" t="n">
        <f aca="false">HYPERLINK("http://clipc-services.ceda.ac.uk/dreq/u/6c3e8db1b45a6ae7e80ca5a265c0fd50.html","web")</f>
        <v>0</v>
      </c>
      <c r="G672" s="0" t="s">
        <v>250</v>
      </c>
      <c r="H672" s="0" t="s">
        <v>251</v>
      </c>
      <c r="I672" s="0" t="s">
        <v>1387</v>
      </c>
      <c r="J672" s="0" t="s">
        <v>1795</v>
      </c>
    </row>
    <row r="673" customFormat="false" ht="13.8" hidden="false" customHeight="false" outlineLevel="0" collapsed="false">
      <c r="A673" s="0" t="s">
        <v>1782</v>
      </c>
      <c r="B673" s="0" t="s">
        <v>1796</v>
      </c>
      <c r="C673" s="0" t="s">
        <v>12</v>
      </c>
      <c r="D673" s="0" t="s">
        <v>55</v>
      </c>
      <c r="E673" s="0" t="s">
        <v>1797</v>
      </c>
      <c r="F673" s="0" t="n">
        <f aca="false">HYPERLINK("http://clipc-services.ceda.ac.uk/dreq/u/b3267e6a8cd7e4a5401e7fbca2c4bf5a.html","web")</f>
        <v>0</v>
      </c>
      <c r="G673" s="0" t="s">
        <v>250</v>
      </c>
      <c r="H673" s="0" t="s">
        <v>251</v>
      </c>
      <c r="J673" s="0" t="s">
        <v>1794</v>
      </c>
    </row>
    <row r="674" customFormat="false" ht="13.8" hidden="false" customHeight="false" outlineLevel="0" collapsed="false">
      <c r="A674" s="0" t="s">
        <v>1782</v>
      </c>
      <c r="B674" s="0" t="s">
        <v>1798</v>
      </c>
      <c r="C674" s="0" t="s">
        <v>12</v>
      </c>
      <c r="D674" s="0" t="s">
        <v>55</v>
      </c>
      <c r="E674" s="0" t="s">
        <v>1799</v>
      </c>
      <c r="F674" s="0" t="n">
        <f aca="false">HYPERLINK("http://clipc-services.ceda.ac.uk/dreq/u/be3bec2766baa15a7d57b8c2689fdf3d.html","web")</f>
        <v>0</v>
      </c>
      <c r="G674" s="0" t="s">
        <v>1800</v>
      </c>
      <c r="H674" s="0" t="s">
        <v>251</v>
      </c>
      <c r="I674" s="0" t="s">
        <v>1801</v>
      </c>
      <c r="J674" s="0" t="s">
        <v>1802</v>
      </c>
    </row>
    <row r="675" customFormat="false" ht="13.8" hidden="false" customHeight="false" outlineLevel="0" collapsed="false">
      <c r="A675" s="0" t="s">
        <v>1782</v>
      </c>
      <c r="B675" s="0" t="s">
        <v>1803</v>
      </c>
      <c r="C675" s="0" t="s">
        <v>12</v>
      </c>
      <c r="D675" s="0" t="s">
        <v>55</v>
      </c>
      <c r="E675" s="0" t="s">
        <v>1804</v>
      </c>
      <c r="F675" s="0" t="n">
        <f aca="false">HYPERLINK("http://clipc-services.ceda.ac.uk/dreq/u/b78f432cc8fbadf21b9a1fcf07d781a7.html","web")</f>
        <v>0</v>
      </c>
      <c r="G675" s="0" t="s">
        <v>250</v>
      </c>
      <c r="H675" s="0" t="s">
        <v>251</v>
      </c>
      <c r="I675" s="0" t="s">
        <v>1805</v>
      </c>
      <c r="J675" s="0" t="s">
        <v>1806</v>
      </c>
    </row>
    <row r="676" customFormat="false" ht="13.8" hidden="false" customHeight="false" outlineLevel="0" collapsed="false">
      <c r="A676" s="0" t="s">
        <v>1782</v>
      </c>
      <c r="B676" s="0" t="s">
        <v>1807</v>
      </c>
      <c r="C676" s="0" t="s">
        <v>12</v>
      </c>
      <c r="D676" s="0" t="s">
        <v>55</v>
      </c>
      <c r="E676" s="0" t="s">
        <v>1808</v>
      </c>
      <c r="F676" s="0" t="n">
        <f aca="false">HYPERLINK("http://clipc-services.ceda.ac.uk/dreq/u/f126552ec807a8280d6d43ed084f2fc9.html","web")</f>
        <v>0</v>
      </c>
      <c r="G676" s="0" t="s">
        <v>1809</v>
      </c>
      <c r="H676" s="0" t="s">
        <v>251</v>
      </c>
      <c r="I676" s="0" t="s">
        <v>1810</v>
      </c>
      <c r="J676" s="0" t="s">
        <v>1806</v>
      </c>
    </row>
    <row r="677" customFormat="false" ht="13.8" hidden="false" customHeight="false" outlineLevel="0" collapsed="false">
      <c r="A677" s="0" t="s">
        <v>1782</v>
      </c>
      <c r="B677" s="0" t="s">
        <v>1811</v>
      </c>
      <c r="C677" s="0" t="s">
        <v>12</v>
      </c>
      <c r="D677" s="0" t="s">
        <v>55</v>
      </c>
      <c r="E677" s="0" t="s">
        <v>1812</v>
      </c>
      <c r="F677" s="0" t="n">
        <f aca="false">HYPERLINK("http://clipc-services.ceda.ac.uk/dreq/u/337d362541c3e2a3f907abcaffa5c262.html","web")</f>
        <v>0</v>
      </c>
      <c r="G677" s="0" t="s">
        <v>250</v>
      </c>
      <c r="H677" s="0" t="s">
        <v>251</v>
      </c>
      <c r="I677" s="0" t="s">
        <v>1813</v>
      </c>
      <c r="J677" s="0" t="s">
        <v>1814</v>
      </c>
    </row>
    <row r="678" customFormat="false" ht="13.8" hidden="false" customHeight="false" outlineLevel="0" collapsed="false">
      <c r="A678" s="0" t="s">
        <v>1782</v>
      </c>
      <c r="B678" s="0" t="s">
        <v>1815</v>
      </c>
      <c r="C678" s="0" t="s">
        <v>12</v>
      </c>
      <c r="D678" s="0" t="s">
        <v>55</v>
      </c>
      <c r="E678" s="0" t="s">
        <v>1816</v>
      </c>
      <c r="F678" s="0" t="n">
        <f aca="false">HYPERLINK("http://clipc-services.ceda.ac.uk/dreq/u/43cf738374ffa1253a603ea54447203f.html","web")</f>
        <v>0</v>
      </c>
      <c r="G678" s="0" t="s">
        <v>250</v>
      </c>
      <c r="H678" s="0" t="s">
        <v>251</v>
      </c>
      <c r="J678" s="0" t="s">
        <v>1817</v>
      </c>
    </row>
    <row r="679" customFormat="false" ht="13.8" hidden="false" customHeight="false" outlineLevel="0" collapsed="false">
      <c r="A679" s="0" t="s">
        <v>1782</v>
      </c>
      <c r="B679" s="0" t="s">
        <v>1818</v>
      </c>
      <c r="C679" s="0" t="s">
        <v>12</v>
      </c>
      <c r="D679" s="0" t="s">
        <v>55</v>
      </c>
      <c r="E679" s="0" t="s">
        <v>1819</v>
      </c>
      <c r="F679" s="0" t="n">
        <f aca="false">HYPERLINK("http://clipc-services.ceda.ac.uk/dreq/u/45f5477848196383f1ac8039e0dcfcab.html","web")</f>
        <v>0</v>
      </c>
      <c r="G679" s="0" t="s">
        <v>250</v>
      </c>
      <c r="H679" s="0" t="s">
        <v>251</v>
      </c>
      <c r="I679" s="0" t="s">
        <v>1820</v>
      </c>
      <c r="J679" s="0" t="s">
        <v>1817</v>
      </c>
    </row>
    <row r="680" customFormat="false" ht="13.8" hidden="false" customHeight="false" outlineLevel="0" collapsed="false">
      <c r="A680" s="0" t="s">
        <v>1782</v>
      </c>
      <c r="B680" s="0" t="s">
        <v>1821</v>
      </c>
      <c r="C680" s="0" t="s">
        <v>80</v>
      </c>
      <c r="D680" s="0" t="s">
        <v>55</v>
      </c>
      <c r="E680" s="0" t="s">
        <v>1822</v>
      </c>
      <c r="F680" s="0" t="n">
        <f aca="false">HYPERLINK("http://clipc-services.ceda.ac.uk/dreq/u/50e31118c282faf3bfc90b25909433c1.html","web")</f>
        <v>0</v>
      </c>
      <c r="G680" s="0" t="s">
        <v>250</v>
      </c>
      <c r="H680" s="0" t="s">
        <v>251</v>
      </c>
      <c r="I680" s="0" t="s">
        <v>1823</v>
      </c>
      <c r="J680" s="0" t="s">
        <v>1824</v>
      </c>
    </row>
    <row r="681" customFormat="false" ht="13.8" hidden="false" customHeight="false" outlineLevel="0" collapsed="false">
      <c r="A681" s="0" t="s">
        <v>1782</v>
      </c>
      <c r="B681" s="0" t="s">
        <v>1825</v>
      </c>
      <c r="C681" s="0" t="s">
        <v>80</v>
      </c>
      <c r="D681" s="0" t="s">
        <v>55</v>
      </c>
      <c r="E681" s="0" t="s">
        <v>1826</v>
      </c>
      <c r="F681" s="0" t="n">
        <f aca="false">HYPERLINK("http://clipc-services.ceda.ac.uk/dreq/u/e897309433f283b8bf1a4c60dc310edd.html","web")</f>
        <v>0</v>
      </c>
      <c r="G681" s="0" t="s">
        <v>250</v>
      </c>
      <c r="H681" s="0" t="s">
        <v>251</v>
      </c>
      <c r="I681" s="0" t="s">
        <v>1827</v>
      </c>
      <c r="J681" s="0" t="s">
        <v>1824</v>
      </c>
    </row>
    <row r="682" customFormat="false" ht="13.8" hidden="false" customHeight="false" outlineLevel="0" collapsed="false">
      <c r="A682" s="0" t="s">
        <v>1782</v>
      </c>
      <c r="B682" s="0" t="s">
        <v>1828</v>
      </c>
      <c r="C682" s="0" t="s">
        <v>80</v>
      </c>
      <c r="D682" s="0" t="s">
        <v>55</v>
      </c>
      <c r="E682" s="0" t="s">
        <v>1551</v>
      </c>
      <c r="F682" s="0" t="n">
        <f aca="false">HYPERLINK("http://clipc-services.ceda.ac.uk/dreq/u/d6623215ad4c16c43b649e0c17ebad7e.html","web")</f>
        <v>0</v>
      </c>
      <c r="G682" s="0" t="s">
        <v>1829</v>
      </c>
      <c r="H682" s="0" t="s">
        <v>251</v>
      </c>
      <c r="I682" s="0" t="s">
        <v>1830</v>
      </c>
      <c r="J682" s="0" t="s">
        <v>1806</v>
      </c>
    </row>
    <row r="683" customFormat="false" ht="13.8" hidden="false" customHeight="false" outlineLevel="0" collapsed="false">
      <c r="A683" s="0" t="s">
        <v>1782</v>
      </c>
      <c r="B683" s="0" t="s">
        <v>1831</v>
      </c>
      <c r="C683" s="0" t="s">
        <v>80</v>
      </c>
      <c r="D683" s="0" t="s">
        <v>55</v>
      </c>
      <c r="E683" s="0" t="s">
        <v>1553</v>
      </c>
      <c r="F683" s="0" t="n">
        <f aca="false">HYPERLINK("http://clipc-services.ceda.ac.uk/dreq/u/edffed802a10e341650e8d25ed05581f.html","web")</f>
        <v>0</v>
      </c>
      <c r="G683" s="0" t="s">
        <v>250</v>
      </c>
      <c r="H683" s="0" t="s">
        <v>251</v>
      </c>
      <c r="J683" s="0" t="s">
        <v>1806</v>
      </c>
    </row>
    <row r="684" customFormat="false" ht="13.8" hidden="false" customHeight="false" outlineLevel="0" collapsed="false">
      <c r="A684" s="0" t="s">
        <v>1782</v>
      </c>
      <c r="B684" s="0" t="s">
        <v>1832</v>
      </c>
      <c r="C684" s="0" t="s">
        <v>80</v>
      </c>
      <c r="D684" s="0" t="s">
        <v>55</v>
      </c>
      <c r="E684" s="0" t="s">
        <v>1556</v>
      </c>
      <c r="F684" s="0" t="n">
        <f aca="false">HYPERLINK("http://clipc-services.ceda.ac.uk/dreq/u/226e0454adb91fa1d508255d66ed8daf.html","web")</f>
        <v>0</v>
      </c>
      <c r="G684" s="0" t="s">
        <v>250</v>
      </c>
      <c r="H684" s="0" t="s">
        <v>251</v>
      </c>
      <c r="J684" s="0" t="s">
        <v>1806</v>
      </c>
    </row>
    <row r="685" customFormat="false" ht="13.8" hidden="false" customHeight="false" outlineLevel="0" collapsed="false">
      <c r="A685" s="0" t="s">
        <v>1782</v>
      </c>
      <c r="B685" s="0" t="s">
        <v>1833</v>
      </c>
      <c r="C685" s="0" t="s">
        <v>80</v>
      </c>
      <c r="D685" s="0" t="s">
        <v>55</v>
      </c>
      <c r="E685" s="0" t="s">
        <v>1834</v>
      </c>
      <c r="F685" s="0" t="n">
        <f aca="false">HYPERLINK("http://clipc-services.ceda.ac.uk/dreq/u/e072c35c161c93f2320579511ed1849f.html","web")</f>
        <v>0</v>
      </c>
      <c r="G685" s="0" t="s">
        <v>250</v>
      </c>
      <c r="H685" s="0" t="s">
        <v>251</v>
      </c>
      <c r="I685" s="0" t="s">
        <v>1835</v>
      </c>
      <c r="J685" s="0" t="s">
        <v>1806</v>
      </c>
    </row>
    <row r="686" customFormat="false" ht="13.8" hidden="false" customHeight="false" outlineLevel="0" collapsed="false">
      <c r="A686" s="0" t="s">
        <v>1782</v>
      </c>
      <c r="B686" s="0" t="s">
        <v>1836</v>
      </c>
      <c r="C686" s="0" t="s">
        <v>80</v>
      </c>
      <c r="D686" s="0" t="s">
        <v>55</v>
      </c>
      <c r="E686" s="0" t="s">
        <v>1837</v>
      </c>
      <c r="F686" s="0" t="n">
        <f aca="false">HYPERLINK("http://clipc-services.ceda.ac.uk/dreq/u/da701000818e31103a9b7d9eedee14a2.html","web")</f>
        <v>0</v>
      </c>
      <c r="G686" s="0" t="s">
        <v>250</v>
      </c>
      <c r="H686" s="0" t="s">
        <v>251</v>
      </c>
      <c r="I686" s="0" t="s">
        <v>1838</v>
      </c>
      <c r="J686" s="0" t="s">
        <v>1806</v>
      </c>
    </row>
    <row r="687" customFormat="false" ht="13.8" hidden="false" customHeight="false" outlineLevel="0" collapsed="false">
      <c r="A687" s="0" t="s">
        <v>1782</v>
      </c>
      <c r="B687" s="0" t="s">
        <v>1839</v>
      </c>
      <c r="C687" s="0" t="s">
        <v>80</v>
      </c>
      <c r="D687" s="0" t="s">
        <v>55</v>
      </c>
      <c r="E687" s="0" t="s">
        <v>1840</v>
      </c>
      <c r="F687" s="0" t="n">
        <f aca="false">HYPERLINK("http://clipc-services.ceda.ac.uk/dreq/u/369a3a9e55ca8e6729a62a79bf701e5d.html","web")</f>
        <v>0</v>
      </c>
      <c r="G687" s="0" t="s">
        <v>250</v>
      </c>
      <c r="H687" s="0" t="s">
        <v>251</v>
      </c>
      <c r="I687" s="0" t="s">
        <v>1841</v>
      </c>
      <c r="J687" s="0" t="s">
        <v>1806</v>
      </c>
    </row>
    <row r="688" customFormat="false" ht="13.8" hidden="false" customHeight="false" outlineLevel="0" collapsed="false">
      <c r="A688" s="0" t="s">
        <v>1782</v>
      </c>
      <c r="B688" s="0" t="s">
        <v>1842</v>
      </c>
      <c r="C688" s="0" t="s">
        <v>80</v>
      </c>
      <c r="D688" s="0" t="s">
        <v>1843</v>
      </c>
      <c r="E688" s="0" t="s">
        <v>1844</v>
      </c>
      <c r="F688" s="0" t="n">
        <f aca="false">HYPERLINK("http://clipc-services.ceda.ac.uk/dreq/u/f3710647d155ec76d2c4cdfa866be579.html","web")</f>
        <v>0</v>
      </c>
      <c r="G688" s="0" t="s">
        <v>250</v>
      </c>
      <c r="H688" s="0" t="s">
        <v>251</v>
      </c>
      <c r="I688" s="0" t="s">
        <v>1845</v>
      </c>
      <c r="J688" s="0" t="s">
        <v>1802</v>
      </c>
    </row>
    <row r="689" customFormat="false" ht="13.8" hidden="false" customHeight="false" outlineLevel="0" collapsed="false">
      <c r="A689" s="0" t="s">
        <v>1782</v>
      </c>
      <c r="B689" s="0" t="s">
        <v>1846</v>
      </c>
      <c r="C689" s="0" t="s">
        <v>80</v>
      </c>
      <c r="D689" s="0" t="s">
        <v>55</v>
      </c>
      <c r="E689" s="0" t="s">
        <v>1847</v>
      </c>
      <c r="F689" s="0" t="n">
        <f aca="false">HYPERLINK("http://clipc-services.ceda.ac.uk/dreq/u/f7237f04672f809d49922d1b995f281f.html","web")</f>
        <v>0</v>
      </c>
      <c r="G689" s="0" t="s">
        <v>1848</v>
      </c>
      <c r="H689" s="0" t="s">
        <v>251</v>
      </c>
      <c r="J689" s="0" t="s">
        <v>1806</v>
      </c>
    </row>
    <row r="690" customFormat="false" ht="13.8" hidden="false" customHeight="false" outlineLevel="0" collapsed="false">
      <c r="A690" s="0" t="s">
        <v>1782</v>
      </c>
      <c r="B690" s="0" t="s">
        <v>1849</v>
      </c>
      <c r="C690" s="0" t="s">
        <v>80</v>
      </c>
      <c r="D690" s="0" t="s">
        <v>55</v>
      </c>
      <c r="E690" s="0" t="s">
        <v>1850</v>
      </c>
      <c r="F690" s="0" t="n">
        <f aca="false">HYPERLINK("http://clipc-services.ceda.ac.uk/dreq/u/640213ff812312e3ac8bf134f483ed0d.html","web")</f>
        <v>0</v>
      </c>
      <c r="G690" s="0" t="s">
        <v>1851</v>
      </c>
      <c r="H690" s="0" t="s">
        <v>251</v>
      </c>
      <c r="J690" s="0" t="s">
        <v>1806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2018-04-10T13:17:23Z</dcterms:created>
  <dc:creator/>
  <dc:description/>
  <dc:language>en-US</dc:language>
  <cp:lastModifiedBy/>
  <dcterms:modified xsi:type="dcterms:W3CDTF">2018-04-11T16:13:28Z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