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<sst xmlns="http://schemas.openxmlformats.org/spreadsheetml/2006/main" count="5968" uniqueCount="1861">
  <si>
    <t>Table</t>
  </si>
  <si>
    <t>variable</t>
  </si>
  <si>
    <t>prio</t>
  </si>
  <si>
    <t>Dimension format of variable</t>
  </si>
  <si>
    <t>variable long name</t>
  </si>
  <si>
    <t>link</t>
  </si>
  <si>
    <t>comment</t>
  </si>
  <si>
    <t>comment author</t>
  </si>
  <si>
    <t>extensive variable description</t>
  </si>
  <si>
    <t>list of MIPs which request this variable</t>
  </si>
  <si>
    <t>Efx</t>
  </si>
  <si>
    <t>sftgrf</t>
  </si>
  <si>
    <t>1</t>
  </si>
  <si>
    <t>longitude latitude typegis</t>
  </si>
  <si>
    <t>Grounded Ice Sheet  Area Fraction</t>
  </si>
  <si>
    <t>For Greenland this is the same as above sftgif. We do not have Antarctic ice sheet.</t>
  </si>
  <si>
    <t>Shuting</t>
  </si>
  <si>
    <t>Fraction of grid cell covered by grounded ice sheet</t>
  </si>
  <si>
    <t>ISMIP6</t>
  </si>
  <si>
    <t>wilt</t>
  </si>
  <si>
    <t>longitude latitude sdepth</t>
  </si>
  <si>
    <t>Wilting Point</t>
  </si>
  <si>
    <t>Wilting point is defined in HTESSEL as a fraction (different for each soil texture in HTESSEL; variable slt grib code 43 - Table 128) of field capacity. (Alessandri A.: an Effective Wilting Point can be defined ... same as below discussion for the field capacity)</t>
  </si>
  <si>
    <t>Andrea &amp; Thomas</t>
  </si>
  <si>
    <t>'Condensed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</si>
  <si>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LS3MIP</t>
  </si>
  <si>
    <t>fldcapacity</t>
  </si>
  <si>
    <t>Field Capacity</t>
  </si>
  <si>
    <t>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</si>
  <si>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'Condensed water' means liquid and ice. 'Volume fraction' is used in the construction volume_fraction_of_X_in_Y, where X is a material constituent of Y. The field capacity of soil is the maximum content of water it can retain against gravitational drainage.</t>
  </si>
  <si>
    <t>clayfrac</t>
  </si>
  <si>
    <t>Clay Fraction</t>
  </si>
  <si>
    <t>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</si>
  <si>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'Volume fraction' is used in the construction volume_fraction_of_X_in_Y, where X is a material constituent of Y.</t>
  </si>
  <si>
    <t>siltfrac</t>
  </si>
  <si>
    <t>Silt Fraction</t>
  </si>
  <si>
    <t>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</si>
  <si>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sandfrac</t>
  </si>
  <si>
    <t>Sand Fraction</t>
  </si>
  <si>
    <t>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</si>
  <si>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ksat</t>
  </si>
  <si>
    <t>Saturated Hydraulic Conductivity</t>
  </si>
  <si>
    <t>H-TESSEL parameters inside the model that is prescribed for each dominant soil texture  (not in the output; no grib code associated).</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</si>
  <si>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</si>
  <si>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</si>
  <si>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</si>
  <si>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H-TESSEL parameters inside the model that is prescribed for each dominant soil texture (not in the output, no grib code associated).</t>
  </si>
  <si>
    <t>slthick</t>
  </si>
  <si>
    <t>Thickness of Soil Layers</t>
  </si>
  <si>
    <t>Available in IFS: independent of lon, lat. Top soil layer: 0-7 cm, Soil layer 2: 7-28 cm, Soil layer 3: 28-100 cm, Soil layer 4: 100-289 cm, added as issue #126</t>
  </si>
  <si>
    <t>Gijs &amp; Thomas</t>
  </si>
  <si>
    <t>'Thickness' means the vertical extent of a layer. 'Cell' refers to a model grid-cell.</t>
  </si>
  <si>
    <t>Oday</t>
  </si>
  <si>
    <t>chlos</t>
  </si>
  <si>
    <t>3</t>
  </si>
  <si>
    <t>longitude latitude time</t>
  </si>
  <si>
    <t>Sea Surface Total Chlorophyll Mass Concentration</t>
  </si>
  <si>
    <t xml:space="preserve">Identified in one of the shaconemo (240) ping files. </t>
  </si>
  <si>
    <t>Thomas Reerink</t>
  </si>
  <si>
    <t>Sum of chlorophyll from all phytoplankton group concentrations at the sea surface.  In most models this is equal to chldiat+chlmisc, that is the sum of 'Diatom Chlorophyll Mass Concentration' plus 'Other Phytoplankton Chlorophyll Mass Concentration'</t>
  </si>
  <si>
    <t>C4MIP,OMIP</t>
  </si>
  <si>
    <t>phycos</t>
  </si>
  <si>
    <t>Sea Surface Phytoplankton Carbon Concentration</t>
  </si>
  <si>
    <t>sum of phytoplankton organic carbon component concentrations at the sea surface</t>
  </si>
  <si>
    <t>sossq</t>
  </si>
  <si>
    <t>Square of Sea Surface Salinity</t>
  </si>
  <si>
    <t>OMIP</t>
  </si>
  <si>
    <t>omldamax</t>
  </si>
  <si>
    <t>Daily Maximum Ocean Mixed Layer Thickness Defined by Mixing Scheme</t>
  </si>
  <si>
    <t>CFMIP,CMIP,DAMIP,GMMIP,HighResMIP,VolMIP</t>
  </si>
  <si>
    <t>6hrLev</t>
  </si>
  <si>
    <t>ec550aer</t>
  </si>
  <si>
    <t>longitude latitude alevel time1 lambda550nm</t>
  </si>
  <si>
    <t>Aerosol extinction coefficient</t>
  </si>
  <si>
    <t>This TM5  variable name equals the cmor name. Postprocessing in ece2cmor3 has to be added.</t>
  </si>
  <si>
    <t>Tommi Bergman</t>
  </si>
  <si>
    <t>Aerosol Extinction at 550nm</t>
  </si>
  <si>
    <t>AerChemMIP</t>
  </si>
  <si>
    <t>IfxAnt</t>
  </si>
  <si>
    <t>areacellg</t>
  </si>
  <si>
    <t>longitude latitude</t>
  </si>
  <si>
    <t>Grid-Cell Area for Ice Sheet Variables</t>
  </si>
  <si>
    <t>Available in PISM. This is the ice sheet mask (in fraction) defined in the ice sheet model grid</t>
  </si>
  <si>
    <t>Area of the target grid (not the interpolated area of the source grid).</t>
  </si>
  <si>
    <t>Oyr</t>
  </si>
  <si>
    <t>cfc11</t>
  </si>
  <si>
    <t>2</t>
  </si>
  <si>
    <t>longitude latitude olevel time</t>
  </si>
  <si>
    <t>Mole Concentration of CFC-11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</si>
  <si>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</si>
  <si>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AerChemMIP,CMIP,GeoMIP,LUMIP,OMIP</t>
  </si>
  <si>
    <t>cfc12</t>
  </si>
  <si>
    <t>Mole Concentration of CFC-12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</si>
  <si>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</si>
  <si>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somint</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</si>
  <si>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</si>
  <si>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</si>
  <si>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</si>
  <si>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</si>
  <si>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</si>
  <si>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AerChemMIP,CMIP,GeoMIP,LUMIP,OMIP,PMIP,VIACSAB</t>
  </si>
  <si>
    <t>ocontemptend</t>
  </si>
  <si>
    <t>tendency of sea water conservative temperature expressed as heat content</t>
  </si>
  <si>
    <t>Tendency of heat content for a grid cell from all processes. Reported only for models that use conservative temperature as prognostic field.</t>
  </si>
  <si>
    <t>AerChemMIP,CMIP,FAFMIP,GeoMIP,LUMIP,OMIP</t>
  </si>
  <si>
    <t>ocontemprmadvect</t>
  </si>
  <si>
    <t>tendency of sea water conservative temperature expressed as heat content due to residual mean (sum of Eulerian + parameterized) advection</t>
  </si>
  <si>
    <t>'tendency_of_X'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</si>
  <si>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</si>
  <si>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</si>
  <si>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</si>
  <si>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</si>
  <si>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</si>
  <si>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</si>
  <si>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</si>
  <si>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</si>
  <si>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</si>
  <si>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</si>
  <si>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</si>
  <si>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</si>
  <si>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</si>
  <si>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</si>
  <si>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</si>
  <si>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</si>
  <si>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</si>
  <si>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</si>
  <si>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</si>
  <si>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</si>
  <si>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</si>
  <si>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</si>
  <si>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</si>
  <si>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</si>
  <si>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</si>
  <si>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</si>
  <si>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</si>
  <si>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</si>
  <si>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</si>
  <si>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</si>
  <si>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</si>
  <si>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</si>
  <si>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</si>
  <si>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</si>
  <si>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</si>
  <si>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</si>
  <si>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no3</t>
  </si>
  <si>
    <t>Dissolved Nitrate Concentration</t>
  </si>
  <si>
    <t>Mole concentration means moles (amount of substance) per unit volume and is used in the construction mole_concentration_of_X_in_Y, where X is a material constituent of Y.</t>
  </si>
  <si>
    <t>dfe</t>
  </si>
  <si>
    <t>Mole Concentration of Dissolved Iron in sea water</t>
  </si>
  <si>
    <t>Dissolved iron in sea water,  including both Fe2+ and Fe3+ ions (but not particulate detrital iron)</t>
  </si>
  <si>
    <t>si</t>
  </si>
  <si>
    <t>Total Dissolved Inorganic Silicon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</si>
  <si>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</si>
  <si>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</si>
  <si>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</si>
  <si>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</si>
  <si>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</si>
  <si>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</si>
  <si>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</si>
  <si>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AerChemMIP,CMIP,GeoMIP,LUMIP,OMIP,VIACSAB</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</si>
  <si>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</si>
  <si>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</si>
  <si>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</si>
  <si>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</si>
  <si>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</si>
  <si>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</si>
  <si>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</si>
  <si>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</si>
  <si>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</si>
  <si>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</si>
  <si>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</si>
  <si>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</si>
  <si>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</si>
  <si>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</si>
  <si>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</si>
  <si>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</si>
  <si>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</si>
  <si>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</si>
  <si>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</si>
  <si>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</si>
  <si>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</si>
  <si>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</si>
  <si>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</si>
  <si>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</si>
  <si>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pbsi</t>
  </si>
  <si>
    <t>Biogenic Silica Production</t>
  </si>
  <si>
    <t>pcalc</t>
  </si>
  <si>
    <t>Calcite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</si>
  <si>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</si>
  <si>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expc</t>
  </si>
  <si>
    <t>Sinking Particulate Organic Carbon Flux</t>
  </si>
  <si>
    <t>Downward flux of particulate organic carbon</t>
  </si>
  <si>
    <t>remoc</t>
  </si>
  <si>
    <t>Remineralization of Organic Carbon</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</si>
  <si>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</si>
  <si>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AerChemMIP,C4MIP,CMIP,GeoMIP,LUMIP,OMIP</t>
  </si>
  <si>
    <t>dcalc</t>
  </si>
  <si>
    <t>Calcite Dissolution</t>
  </si>
  <si>
    <t>Rate of change of Calcite carbon mole concentration  due to dissolution</t>
  </si>
  <si>
    <t>graz</t>
  </si>
  <si>
    <t>Total Grazing of Phytoplankton by Zooplankton</t>
  </si>
  <si>
    <t>fgco2</t>
  </si>
  <si>
    <t>Surface Downward Flux of Total CO2</t>
  </si>
  <si>
    <t>Gas exchange flux of CO2 (positive into ocean)</t>
  </si>
  <si>
    <t>ImonGre</t>
  </si>
  <si>
    <t>prra</t>
  </si>
  <si>
    <t>xgre ygre time</t>
  </si>
  <si>
    <t>Rainfall Flux over Land Ice</t>
  </si>
  <si>
    <t>Large-scale precipitation (rain+snow) + Convective precipitation (rain+snow) - Snowfall: grib 128.142 + 128.143 - 128.144</t>
  </si>
  <si>
    <t>Shuting, Thomas</t>
  </si>
  <si>
    <t>In accordance with common usage in geophysical disciplines, 'flux' implies per unit area, called 'flux density' in physics.</t>
  </si>
  <si>
    <t>mrroLi</t>
  </si>
  <si>
    <t>Land Ice Runoff Flux</t>
  </si>
  <si>
    <t>IFS Surface runoff grib 128.8 but for EC_Earth-GrIs additional melt etc is included</t>
  </si>
  <si>
    <t>Runoff flux over land ice is the difference between any available liquid water in the snowpack less any refreezing. Computed as the sum of rainfall and melt of snow or ice less any refreezing or water retained in the snowpack</t>
  </si>
  <si>
    <t>CFday</t>
  </si>
  <si>
    <t>cltisccp</t>
  </si>
  <si>
    <t>ISCCP Total Total Cloud Fraction</t>
  </si>
  <si>
    <t>COSP: ISCCP total cloud area, CVEXTRA(5)='94 ISCCP_TOTALCLDAREA'</t>
  </si>
  <si>
    <t>Klaus</t>
  </si>
  <si>
    <t>Percentage total cloud cover, simulating ISCCP observations.</t>
  </si>
  <si>
    <t>CFMIP,HighResMIP</t>
  </si>
  <si>
    <t>albisccp</t>
  </si>
  <si>
    <t>ISCCP Mean Cloud Albedo</t>
  </si>
  <si>
    <t>COSP: ISCCP cloud albedo, CVEXTRA(7)='96 ISCCP_MEANALBEDOCLD'</t>
  </si>
  <si>
    <t>ISCCP Mean Cloud Albedo. Time-means are weighted by the ISCCP Total Cloud Fraction {:cltisccp} - see  http://cfmip.metoffice.com/COSP.html</t>
  </si>
  <si>
    <t>pctisccp</t>
  </si>
  <si>
    <t>ISCCP Mean Cloud Top Pressure</t>
  </si>
  <si>
    <t>COSP: ISCCP cloud top pressure, CVEXTRA(6)='95 ISCCP_MEANPTOP'</t>
  </si>
  <si>
    <t>ISCCP Mean Cloud Top Pressure. Time-means are weighted by the ISCCP Total Cloud Fraction {:cltisccp} - see  http://cfmip.metoffice.com/COSP.html</t>
  </si>
  <si>
    <t>cltcalipso</t>
  </si>
  <si>
    <t>CALIPSO Total Cloud Fraction</t>
  </si>
  <si>
    <t>COSP: CALIPSO total cloud cover, CVEXTRA(4)='93 CALIPSO_CLDLAYER TOTAL'</t>
  </si>
  <si>
    <t>cllcalipso</t>
  </si>
  <si>
    <t>longitude latitude time p840</t>
  </si>
  <si>
    <t>CALIPSO Low Level Cloud Fraction</t>
  </si>
  <si>
    <t>COSP: CALIPSO low cloud cover, CVEXTRA(1)='90 CALIPSO_CLDLAYER LOW'</t>
  </si>
  <si>
    <t>Percentage cloud cover in layer centred on 840hPa</t>
  </si>
  <si>
    <t>clmcalipso</t>
  </si>
  <si>
    <t>longitude latitude time p560</t>
  </si>
  <si>
    <t>CALIPSO Mid Level Cloud Fraction</t>
  </si>
  <si>
    <t>COSP: CALIPSO mid cloud cover, CVEXTRA(2)='91 CALIPSO_CLDLAYER MID'</t>
  </si>
  <si>
    <t>Percentage cloud cover in layer centred on 560hPa</t>
  </si>
  <si>
    <t>clhcalipso</t>
  </si>
  <si>
    <t>longitude latitude time p220</t>
  </si>
  <si>
    <t>CALIPSO High Level Cloud Fraction</t>
  </si>
  <si>
    <t>COSP: CALIPSO high cloud cover, CVEXTRA(3)='92 CALIPSO_CLDLAYER HIGH'</t>
  </si>
  <si>
    <t>Percentage cloud cover in layer centred on 220hPa</t>
  </si>
  <si>
    <t>phalf</t>
  </si>
  <si>
    <t>longitude latitude alevhalf time</t>
  </si>
  <si>
    <t>Pressure on Model Half-Levels</t>
  </si>
  <si>
    <t>Air pressure on model half-levels</t>
  </si>
  <si>
    <t>Eyr</t>
  </si>
  <si>
    <t>treeFrac</t>
  </si>
  <si>
    <t>longitude latitude time typetree</t>
  </si>
  <si>
    <t>Tree Cover Fraction</t>
  </si>
  <si>
    <t>Available in LPJ-GUESS, will be cmorized by Peter Anthoni &amp; Lars Nieradzik</t>
  </si>
  <si>
    <t>David Warlind</t>
  </si>
  <si>
    <t>Percentage of entire grid cell  that is covered by trees.</t>
  </si>
  <si>
    <t>DCPP</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</si>
  <si>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</si>
  <si>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</si>
  <si>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</si>
  <si>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</si>
  <si>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</si>
  <si>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</si>
  <si>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</si>
  <si>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</si>
  <si>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</si>
  <si>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</si>
  <si>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</si>
  <si>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</si>
  <si>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</si>
  <si>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vegFrac</t>
  </si>
  <si>
    <t>longitude latitude time typeveg</t>
  </si>
  <si>
    <t>Total vegetated fraction</t>
  </si>
  <si>
    <t>fraction of grid cell that is covered by vegetation.This SHOULD be the sum of tree, grass, crop and shrub fractions.</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</si>
  <si>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</si>
  <si>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</si>
  <si>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</si>
  <si>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</si>
  <si>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</si>
  <si>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</si>
  <si>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</si>
  <si>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</si>
  <si>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cSoilLut</t>
  </si>
  <si>
    <t>longitude latitude landUse time1</t>
  </si>
  <si>
    <t>carbon  in soil pool on land use tiles</t>
  </si>
  <si>
    <t>end of year values (not annual mean)</t>
  </si>
  <si>
    <t>LUMIP</t>
  </si>
  <si>
    <t>cVegLut</t>
  </si>
  <si>
    <t>carbon in vegetation on land use tiles</t>
  </si>
  <si>
    <t>cLitterLut</t>
  </si>
  <si>
    <t>carbon  in above and belowground litter pools on land use tiles</t>
  </si>
  <si>
    <t>cProductLut</t>
  </si>
  <si>
    <t>wood and agricultural product pool carbon associated with land use tiles; examples of products include paper, cardboard, timber for construction, and crop harvest for food or fuel.</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</si>
  <si>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</si>
  <si>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cSoil</t>
  </si>
  <si>
    <t>longitude latitude time1</t>
  </si>
  <si>
    <t>Carbon Mass in Soil Pool</t>
  </si>
  <si>
    <t>Carbon mass in the full depth of the soil model.</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</si>
  <si>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</si>
  <si>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</si>
  <si>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</si>
  <si>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</si>
  <si>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</si>
  <si>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</si>
  <si>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</si>
  <si>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</si>
  <si>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</si>
  <si>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longitude latitude landUse time</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</si>
  <si>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</si>
  <si>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</si>
  <si>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</si>
  <si>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</si>
  <si>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</si>
  <si>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</si>
  <si>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</si>
  <si>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LImon</t>
  </si>
  <si>
    <t>tasIs</t>
  </si>
  <si>
    <t>Ice Sheet Near-Surface Air Temperature</t>
  </si>
  <si>
    <t>T2M as in IFS (grib code 128.167)</t>
  </si>
  <si>
    <t>near-surface (usually, 2 meter) air temperature</t>
  </si>
  <si>
    <t>tsIs</t>
  </si>
  <si>
    <t>Ice Sheet Surface Temperature</t>
  </si>
  <si>
    <t>We use soil layer 1 temeperature as the proxy (grib 128.139)</t>
  </si>
  <si>
    <t>Temperature of the lower boundary of the atmosphere</t>
  </si>
  <si>
    <t>tsnIs</t>
  </si>
  <si>
    <t>Ice Sheet Snow Internal Temperature</t>
  </si>
  <si>
    <t>This is Grib 128.238. But we never test it</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</si>
  <si>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</si>
  <si>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prsnIs</t>
  </si>
  <si>
    <t>Ice Sheet Snowfall Flux</t>
  </si>
  <si>
    <t>grib 128.144</t>
  </si>
  <si>
    <t>at surface; includes precipitation of all forms of water in the solid phase</t>
  </si>
  <si>
    <t>prraIs</t>
  </si>
  <si>
    <t>Ice Sheet Rainfall rate</t>
  </si>
  <si>
    <t>grib 128.(142+143-144)</t>
  </si>
  <si>
    <t>Rainfall rate over the ice sheet</t>
  </si>
  <si>
    <t>sblIs</t>
  </si>
  <si>
    <t>Ice Sheet Surface Snow and Ice Sublimation Flux</t>
  </si>
  <si>
    <t>grib 128.182</t>
  </si>
  <si>
    <t>The snow and ice sublimation flux is the loss of snow and ice mass per unit area from the surface resulting from their direct conversion to water vapor that enters the atmosphere.</t>
  </si>
  <si>
    <t>snmIs</t>
  </si>
  <si>
    <t>Ice Sheet Surface Snow Melt</t>
  </si>
  <si>
    <t xml:space="preserve">grib 128.45 </t>
  </si>
  <si>
    <t>The total surface snow melt rate on the land portion of the grid cell divided by the land area in the grid cell; report as zero for snow-free land regions and missing where there is no land.</t>
  </si>
  <si>
    <t>mrroIs</t>
  </si>
  <si>
    <t>Ice Sheet Total Run-off</t>
  </si>
  <si>
    <t>grib 128.205</t>
  </si>
  <si>
    <t>The total run-off (including drainage through the base of the soil model) per unit area leaving the land portion of the grid cell.</t>
  </si>
  <si>
    <t>sncIs</t>
  </si>
  <si>
    <t>Ice Sheet Snow Cover Percentage</t>
  </si>
  <si>
    <t>Not available in IFS. Although it could be calculated from tile fractions and written out as extra output</t>
  </si>
  <si>
    <t>Percentage of each grid cell that is occupied by snow that rests on land portion of cell.</t>
  </si>
  <si>
    <t>sftgif</t>
  </si>
  <si>
    <t>longitude latitude time typeli</t>
  </si>
  <si>
    <t>Fraction of Grid Cell Covered with Glacier</t>
  </si>
  <si>
    <t>This is the land ice mask and will be an extra variable in IFS (thomas: via PEXTRA?)</t>
  </si>
  <si>
    <t>Fraction of grid cell covered by land ice (ice sheet, ice shelf, ice cap, glacier)</t>
  </si>
  <si>
    <t>longitude latitude time typegis</t>
  </si>
  <si>
    <t>orogIs</t>
  </si>
  <si>
    <t>Ice Sheet Surface Altitude</t>
  </si>
  <si>
    <t>This is grib 128.129 at surface. But be aware not missing up with the grib 128.129 for free atmospehre.</t>
  </si>
  <si>
    <t>The surface called 'surface' means the lower boundary of the atmosphere. Altitude is the (geometric) height above the geoid, which is the reference geopotential surface. The geoid is similar to mean sea level.</t>
  </si>
  <si>
    <t>hflsIs</t>
  </si>
  <si>
    <t>Ice Sheet Surface Upward Latent Heat Flux</t>
  </si>
  <si>
    <t>grib 128.147</t>
  </si>
  <si>
    <t>Upward latent heat flux from the ice sheet surface</t>
  </si>
  <si>
    <t>hfssIs</t>
  </si>
  <si>
    <t>Ice Sheet Surface Upward Sensible Heat Flux</t>
  </si>
  <si>
    <t>grib 128.146</t>
  </si>
  <si>
    <t>Upward sensible heat flux from the ice sheet surface</t>
  </si>
  <si>
    <t>rsdsIs</t>
  </si>
  <si>
    <t>Ice Sheet Surface Downwelling Shortwave Radiation</t>
  </si>
  <si>
    <t>grib 128.169</t>
  </si>
  <si>
    <t>Surface solar irradiance for UV calculations</t>
  </si>
  <si>
    <t>rsusIs</t>
  </si>
  <si>
    <t>Ice Sheet Surface Upwelling Shortwave Radiation</t>
  </si>
  <si>
    <t>grib 128.(169-176)</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</si>
  <si>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</si>
  <si>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rldsIs</t>
  </si>
  <si>
    <t>Ice Sheet Surface Downwelling Longwave Radiation</t>
  </si>
  <si>
    <t>grib 128.175</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</si>
  <si>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</si>
  <si>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rlusIs</t>
  </si>
  <si>
    <t>Ice Sheet Surface Upwelling Longwave Radiation</t>
  </si>
  <si>
    <t>grib 128.(175-177)</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</si>
  <si>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</si>
  <si>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CFsubhr</t>
  </si>
  <si>
    <t>tnt</t>
  </si>
  <si>
    <t>alevel site time1</t>
  </si>
  <si>
    <t>Tendency of Air Temperature</t>
  </si>
  <si>
    <t>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</si>
  <si>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Twan, Thomas &amp; Gijs</t>
  </si>
  <si>
    <t>AerChemMIP,CFMIP</t>
  </si>
  <si>
    <t>tntr</t>
  </si>
  <si>
    <t>Tendency of Air Temperature due to Radiative Heating</t>
  </si>
  <si>
    <t>Available in IFS: T-tendency from radiation: grib 128.95</t>
  </si>
  <si>
    <t>tntc</t>
  </si>
  <si>
    <t>Tendency of Air Temperature due to Convection</t>
  </si>
  <si>
    <t>Available in IFS: T-tendency from convection : grib 128.105</t>
  </si>
  <si>
    <t>Twan &amp; Thomas</t>
  </si>
  <si>
    <t>Tendencies from cumulus convection scheme.</t>
  </si>
  <si>
    <t>tnhus</t>
  </si>
  <si>
    <t>Tendency of Specific Humidity</t>
  </si>
  <si>
    <t>Adding all the q-tendencies, thus: grib 128.94 + 128.99 + 128.106 + 128.110.  Alternatively, in IFS: just estimating the delta q per month. So far no direct grib code for the totoal q-tendency found</t>
  </si>
  <si>
    <t>tnhusc</t>
  </si>
  <si>
    <t>Tendency of Specific Humidity due to Convection</t>
  </si>
  <si>
    <t>Available in IFS: q-tendency from convection: grib 128.106</t>
  </si>
  <si>
    <t>tnhusmp</t>
  </si>
  <si>
    <t>Tendency of Specific Humidity due to Model Physics</t>
  </si>
  <si>
    <t>Adding all the q-tendencies without advection, thus: grib 128.99 + 128.106 + 128.110.</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</si>
  <si>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</si>
  <si>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alevhalf site time1</t>
  </si>
  <si>
    <t>longitude</t>
  </si>
  <si>
    <t>site</t>
  </si>
  <si>
    <t>Longitude</t>
  </si>
  <si>
    <t>This site lon,lat is specifed by the experiment we guess, and should be available in the netcdf file. So far it doesn't seem to be specified in the data request: in the CMIP6_coordinate.json table file the requested": "" is empty for site.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</si>
  <si>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</si>
  <si>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</si>
  <si>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</si>
  <si>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</si>
  <si>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fco2antt</t>
  </si>
  <si>
    <t>site time1</t>
  </si>
  <si>
    <t>Carbon Mass Flux into Atmosphere Due to All Anthropogenic Emissions of CO2</t>
  </si>
  <si>
    <t>Not available in the AOGCM, neither in TM5. TM5 can only provide total fluxes. Maybe sum the land use in LPJ-GUESS + fossil fuel from CEDS? This means it then has to be added in an additional post processing step.</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</si>
  <si>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</si>
  <si>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</si>
  <si>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</si>
  <si>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Not available in the AOGCM, neither in TM5. TM5 can only provide total fluxes. Fossil fuel emissions are based on CEDS, and can therefore be constructed from the forcing data.</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</si>
  <si>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</si>
  <si>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</si>
  <si>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</si>
  <si>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</si>
  <si>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This is what the atmosphere sees (on its own grid).  This field should be equivalent to the combined natural fluxes of carbon  that account for natural exchanges between the atmosphere and land (nep) or ocean (fgco2) reservoirs.</t>
  </si>
  <si>
    <t>Odec</t>
  </si>
  <si>
    <t>bigthetao</t>
  </si>
  <si>
    <t>Sea Water Convervative Temperature</t>
  </si>
  <si>
    <t>Sea water conservative temperature (this should be contributed only for models using conservative temperature as prognostic field)</t>
  </si>
  <si>
    <t>CMIP,OMIP</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</si>
  <si>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</si>
  <si>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</si>
  <si>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</si>
  <si>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</si>
  <si>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</si>
  <si>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</si>
  <si>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</si>
  <si>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</si>
  <si>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</si>
  <si>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</si>
  <si>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</si>
  <si>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</si>
  <si>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</si>
  <si>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</si>
  <si>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</si>
  <si>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</si>
  <si>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</si>
  <si>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</si>
  <si>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</si>
  <si>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</si>
  <si>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</si>
  <si>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C4MIP,CMIP,DAMIP,FAFMIP,GMMIP,GeoMIP,HighResMIP,LS3MIP,RFMIP,SIMIP</t>
  </si>
  <si>
    <t>simass</t>
  </si>
  <si>
    <t>Sea-ice mass per area</t>
  </si>
  <si>
    <t>Total mass of sea ice divided by grid-cell area</t>
  </si>
  <si>
    <t>C4MIP,CMIP,DAMIP,FAFMIP,GMMIP,GeoMIP,HighResMIP,LS3MIP,PMIP,RFMIP,SIMIP</t>
  </si>
  <si>
    <t>sivol</t>
  </si>
  <si>
    <t>Sea-ice volume per area</t>
  </si>
  <si>
    <t>Total volume of sea ice divided by grid-cell area (this used to be called ice thickness in CMIP5)</t>
  </si>
  <si>
    <t>sisnmass</t>
  </si>
  <si>
    <t>Snow mass per area</t>
  </si>
  <si>
    <t>Total mass of snow on sea ice divided by grid-cell area</t>
  </si>
  <si>
    <t>C4MIP,CFMIP,CMIP,DAMIP,FAFMIP,GMMIP,GeoMIP,HighResMIP,LS3MIP,RFMIP,SIMIP</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</si>
  <si>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</si>
  <si>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</si>
  <si>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</si>
  <si>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</si>
  <si>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C4MIP,CMIP,FAFMIP,GMMIP,GeoMIP,HighResMIP,LS3MIP,RFMIP,SIMIP</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</si>
  <si>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</si>
  <si>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</si>
  <si>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</si>
  <si>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</si>
  <si>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</si>
  <si>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</si>
  <si>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</si>
  <si>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</si>
  <si>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</si>
  <si>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C4MIP,CFMIP,CMIP,DAMIP,DCPP,FAFMIP,GMMIP,GeoMIP,HighResMIP,LS3MIP,PMIP,RFMIP,SIMIP</t>
  </si>
  <si>
    <t>sitempsnic</t>
  </si>
  <si>
    <t>Temperature at snow-ice interface</t>
  </si>
  <si>
    <t>Report surface temperature of ice where snow thickness is zero</t>
  </si>
  <si>
    <t>C4MIP,CFMIP,CMIP,FAFMIP,GMMIP,GeoMIP,HighResMIP,LS3MIP,RFMIP,SIMIP</t>
  </si>
  <si>
    <t>sitempbot</t>
  </si>
  <si>
    <t>Temperature at ice-ocean interface</t>
  </si>
  <si>
    <t>Report temperature at interface, NOT temperature within lowermost model layer</t>
  </si>
  <si>
    <t>siage</t>
  </si>
  <si>
    <t>Age of sea ice</t>
  </si>
  <si>
    <t>C4MIP,CMIP,FAFMIP,GMMIP,GeoMIP,HighResMIP,LS3MIP,PMIP,RFMIP,SIMIP</t>
  </si>
  <si>
    <t>sisaltmass</t>
  </si>
  <si>
    <t>Mass of salt in sea ice per area</t>
  </si>
  <si>
    <t>Total mass of all salt in sea ice divided by grid-cell area</t>
  </si>
  <si>
    <t>sisali</t>
  </si>
  <si>
    <t>Sea ice salinity</t>
  </si>
  <si>
    <t>Mean sea-ice salinity of all sea ice in grid cell</t>
  </si>
  <si>
    <t>C4MIP,CFMIP,CMIP,FAFMIP,GMMIP,GeoMIP,HighResMIP,LS3MIP,PMIP,RFMIP,SIMIP</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</si>
  <si>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</si>
  <si>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</si>
  <si>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</si>
  <si>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</si>
  <si>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</si>
  <si>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</si>
  <si>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</si>
  <si>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</si>
  <si>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</si>
  <si>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siflfwdrain</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</si>
  <si>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</si>
  <si>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</si>
  <si>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</si>
  <si>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</si>
  <si>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</si>
  <si>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</si>
  <si>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</si>
  <si>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</si>
  <si>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</si>
  <si>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</si>
  <si>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</si>
  <si>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</si>
  <si>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</si>
  <si>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</si>
  <si>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</si>
  <si>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</si>
  <si>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</si>
  <si>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</si>
  <si>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</si>
  <si>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</si>
  <si>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</si>
  <si>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</si>
  <si>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</si>
  <si>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</si>
  <si>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</si>
  <si>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</si>
  <si>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</si>
  <si>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</si>
  <si>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</si>
  <si>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</si>
  <si>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</si>
  <si>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</si>
  <si>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</si>
  <si>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</si>
  <si>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</si>
  <si>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</si>
  <si>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</si>
  <si>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</si>
  <si>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</si>
  <si>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</si>
  <si>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</si>
  <si>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</si>
  <si>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</si>
  <si>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</si>
  <si>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</si>
  <si>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</si>
  <si>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</si>
  <si>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siflswdtop</t>
  </si>
  <si>
    <t>Downwelling shortwave flux over sea ice</t>
  </si>
  <si>
    <t xml:space="preserve">Variable qsr_ice (solar heat flux at ice surface, W/m2),     &lt;field id="qsr_ice"   long_name="solar heat flux at ice surface: sum over categories"    standard_name="surface_downwelling_shortwave_flux_in_air"    unit="W/m2" </t>
  </si>
  <si>
    <t>David Docquier, Torben</t>
  </si>
  <si>
    <t>The downwelling shortwave flux over sea ice (always positive by sign convention)</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</si>
  <si>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</si>
  <si>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</si>
  <si>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</si>
  <si>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</si>
  <si>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</si>
  <si>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</si>
  <si>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</si>
  <si>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</si>
  <si>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</si>
  <si>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</si>
  <si>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</si>
  <si>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</si>
  <si>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</si>
  <si>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</si>
  <si>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</si>
  <si>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</si>
  <si>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</si>
  <si>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</si>
  <si>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</si>
  <si>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</si>
  <si>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</si>
  <si>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C4MIP,CMIP,DCPP,FAFMIP,GMMIP,GeoMIP,HighResMIP,LS3MIP,RFMIP,SIMIP</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</si>
  <si>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</si>
  <si>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</si>
  <si>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</si>
  <si>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</si>
  <si>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</si>
  <si>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</si>
  <si>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</si>
  <si>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</si>
  <si>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</si>
  <si>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</si>
  <si>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</si>
  <si>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</si>
  <si>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</si>
  <si>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</si>
  <si>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</si>
  <si>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</si>
  <si>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</si>
  <si>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</si>
  <si>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</si>
  <si>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</si>
  <si>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</si>
  <si>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</si>
  <si>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</si>
  <si>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</si>
  <si>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</si>
  <si>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</si>
  <si>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</si>
  <si>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</si>
  <si>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</si>
  <si>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</si>
  <si>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</si>
  <si>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</si>
  <si>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</si>
  <si>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</si>
  <si>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</si>
  <si>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</si>
  <si>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</si>
  <si>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</si>
  <si>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</si>
  <si>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</si>
  <si>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</si>
  <si>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</si>
  <si>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</si>
  <si>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</si>
  <si>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</si>
  <si>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</si>
  <si>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</si>
  <si>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</si>
  <si>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</si>
  <si>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</si>
  <si>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</si>
  <si>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</si>
  <si>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</si>
  <si>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</si>
  <si>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</si>
  <si>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</si>
  <si>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</si>
  <si>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siareaacrossline</t>
  </si>
  <si>
    <t>siline time</t>
  </si>
  <si>
    <t>Sea ice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</si>
  <si>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</si>
  <si>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snmassacrossline</t>
  </si>
  <si>
    <t>Snow mass flux through straits</t>
  </si>
  <si>
    <t>net (sum of transport in all directions) snow mass transport through the following four passages, positive into the Arctic Ocean 1. Fram Strait = (11.5W,81.3N to (10.5E,79.6N) 2. Canadian Archipela</t>
  </si>
  <si>
    <t>CFmon</t>
  </si>
  <si>
    <t>longitude latitude alevel time</t>
  </si>
  <si>
    <t>AerChemMIP,CFMIP,DAMIP,GeoMIP,HighResMIP,PMIP</t>
  </si>
  <si>
    <t>ISCCP Total Cloud Fraction</t>
  </si>
  <si>
    <t>AerChemMIP,CFMIP,DAMIP,HighResMIP,PMIP,RFMIP</t>
  </si>
  <si>
    <t>AerChemMIP,CFMIP,DAMIP,HighResMIP,RFMIP</t>
  </si>
  <si>
    <t>CALIPSO Percentage Total Cloud</t>
  </si>
  <si>
    <t>CALIPSO Percentage Low Level Cloud</t>
  </si>
  <si>
    <t>CALIPSO Percentage Mid Level Cloud</t>
  </si>
  <si>
    <t>CALIPSO Percentage High Level Cloud</t>
  </si>
  <si>
    <t>Omon</t>
  </si>
  <si>
    <t>Moles Per Unit Mass of CFC-11 in sea water</t>
  </si>
  <si>
    <t>AerChemMIP,C4MIP,CFMIP,CMIP,DAMIP,GMMIP,GeoMIP,HighResMIP,LS3MIP,OMIP</t>
  </si>
  <si>
    <t>Moles Per Unit Mass of CFC-12 in sea water</t>
  </si>
  <si>
    <t>AerChemMIP,C4MIP,CMIP,GMMIP,GeoMIP,HighResMIP,LS3MIP,LUMIP,OMIP</t>
  </si>
  <si>
    <t>dissicnatos</t>
  </si>
  <si>
    <t>Surface Natural Dissolved Inorganic Carbon Concentration</t>
  </si>
  <si>
    <t>Available in PISCES: DIC in upper layer (DIC in simulation where ocean biogeochemistry sees preindustrial atmospheric pCO2 but radiative forcing sees historical+future atmospheric CO2)</t>
  </si>
  <si>
    <t>Raffaele Bernardello</t>
  </si>
  <si>
    <t>Dissolved inorganic carbon (CO3+HCO3+H2CO3) concentration at preindustrial atmospheric xCO2</t>
  </si>
  <si>
    <t>AerChemMIP,C4MIP,CMIP,GMMIP,GeoMIP,HighResMIP,LS3MIP,OMIP</t>
  </si>
  <si>
    <t>fgsf6</t>
  </si>
  <si>
    <t>Surface Downward SF6 flux</t>
  </si>
  <si>
    <t>gas exchange flux of SF6</t>
  </si>
  <si>
    <t>fgcfc11</t>
  </si>
  <si>
    <t>Surface Downward CFC11 flux</t>
  </si>
  <si>
    <t>gas exchange flux of CFC11</t>
  </si>
  <si>
    <t>AerChemMIP,C4MIP,CMIP,DAMIP,GMMIP,GeoMIP,HighResMIP,LS3MIP,OMIP</t>
  </si>
  <si>
    <t>fgcfc12</t>
  </si>
  <si>
    <t>Surface Downward CFC12 flux</t>
  </si>
  <si>
    <t>gas exchange flux of CFC12</t>
  </si>
  <si>
    <t>zostoga</t>
  </si>
  <si>
    <t>Global Average Thermosteric Sea Level Change</t>
  </si>
  <si>
    <t>There is no CMIP6 request for zosga nor zossga.</t>
  </si>
  <si>
    <t>AerChemMIP,C4MIP,CMIP,DAMIP,DCPP,GMMIP,GeoMIP,HighResMIP,ISMIP6,LS3MIP,OMIP,VIACSAB</t>
  </si>
  <si>
    <t>masscello</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</si>
  <si>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</si>
  <si>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</si>
  <si>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</si>
  <si>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Surface Phytoplankton Carbon Concentration</t>
  </si>
  <si>
    <t>tob</t>
  </si>
  <si>
    <t>Sea Water Potential Temperature at Sea Floor</t>
  </si>
  <si>
    <t>Potential temperature at the ocean bottom-most grid cell.</t>
  </si>
  <si>
    <t>sob</t>
  </si>
  <si>
    <t>sea water salinity at sea floor</t>
  </si>
  <si>
    <t>Model prognostic salinity at bottom-most model grid cell</t>
  </si>
  <si>
    <t>AerChemMIP,C4MIP,CFMIP,CMIP,DAMIP,GMMIP,GeoMIP,HighResMIP,LS3MIP,OMIP,VIACSAB</t>
  </si>
  <si>
    <t>talknatos</t>
  </si>
  <si>
    <t>Surface Natural Total Alkalinity</t>
  </si>
  <si>
    <t>Available in PISCES: Alkalini in upper layer (Alkalini in simulation where ocean biogeochemistry sees preindustrial atmospheric pCO2 but radiative forcing sees historical+future atmospheric CO2)</t>
  </si>
  <si>
    <t>total alkalinity equivalent concentration (including carbonate, borate, phosphorus, silicon, and nitrogen components) at preindustrial atmospheric xCO2</t>
  </si>
  <si>
    <t>msftbarot</t>
  </si>
  <si>
    <t>Ocean Barotropic Mass Streamfunction</t>
  </si>
  <si>
    <t>Streamfunction or its approximation for free surface models. See OMDP document for details.</t>
  </si>
  <si>
    <t>AerChemMIP,C4MIP,CMIP,DAMIP,GMMIP,GeoMIP,HighResMIP,LS3MIP,OMIP,VIACSAB,VolMIP</t>
  </si>
  <si>
    <t>mlotstsq</t>
  </si>
  <si>
    <t>Square of Ocean Mixed Layer Thickness Defined by Sigma T</t>
  </si>
  <si>
    <t>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</si>
  <si>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AerChemMIP,C4MIP,CMIP,GMMIP,GeoMIP,HighResMIP,LS3MIP,OMIP,VIACSAB</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</si>
  <si>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</si>
  <si>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</si>
  <si>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</si>
  <si>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</si>
  <si>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</si>
  <si>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</si>
  <si>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</si>
  <si>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</si>
  <si>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</si>
  <si>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</si>
  <si>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</si>
  <si>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The phrase 'square_of_X' means X*X. Frequency is the number of oscillations of a wave per unit time. Brunt-Vaisala frequency is also sometimes called 'buoyancy frequency' and is a measure of the vertical stratification of the medium.</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</si>
  <si>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</si>
  <si>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</si>
  <si>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</si>
  <si>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</si>
  <si>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</si>
  <si>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</si>
  <si>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</si>
  <si>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</si>
  <si>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</si>
  <si>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msftyz</t>
  </si>
  <si>
    <t>latitude olevel basin time</t>
  </si>
  <si>
    <t>Ocean Y Overturning Mass Streamfunction</t>
  </si>
  <si>
    <t>Overturning mass streamfunction arising from all advective mass transport processes, resolved and parameterized.</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</si>
  <si>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</si>
  <si>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</si>
  <si>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</si>
  <si>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</si>
  <si>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</si>
  <si>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</si>
  <si>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</si>
  <si>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</si>
  <si>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</si>
  <si>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AerChemMIP,C4MIP,CMIP,DAMIP,DCPP,GMMIP,GeoMIP,HighResMIP,LS3MIP,OMIP,VolMIP</t>
  </si>
  <si>
    <t>phyfeos</t>
  </si>
  <si>
    <t>Surface Mole Concentration of Total Phytoplankton expressed as Iron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</si>
  <si>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</si>
  <si>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</si>
  <si>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</si>
  <si>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</si>
  <si>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</si>
  <si>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</si>
  <si>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</si>
  <si>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</si>
  <si>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</si>
  <si>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</si>
  <si>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</si>
  <si>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</si>
  <si>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</si>
  <si>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</si>
  <si>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AerChemMIP,C4MIP,CMIP,GMMIP,GeoMIP,HighResMIP,LS3MIP,OMIP,VIACSAB,VolMIP</t>
  </si>
  <si>
    <t>htovovrt</t>
  </si>
  <si>
    <t>Northward Ocean Heat Transport due to Overturning</t>
  </si>
  <si>
    <t>sltovgyre</t>
  </si>
  <si>
    <t>Northward Ocean Salt Transport due to Gyre</t>
  </si>
  <si>
    <t>sltovovrt</t>
  </si>
  <si>
    <t>Northward Ocean Salt Transport due to Overturning</t>
  </si>
  <si>
    <t>Rainfall Flux where Ice Free Ocean over Sea</t>
  </si>
  <si>
    <t>AerChemMIP,C4MIP,CMIP,GMMIP,GeoMIP,HighResMIP,LS3MIP,OMIP,VolMIP</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</si>
  <si>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</si>
  <si>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</si>
  <si>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</si>
  <si>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</si>
  <si>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</si>
  <si>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</si>
  <si>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</si>
  <si>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</si>
  <si>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</si>
  <si>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AerChemMIP,C4MIP,CMIP,DAMIP,GMMIP,GeoMIP,HighResMIP,LS3MIP,OMIP,VIACSAB</t>
  </si>
  <si>
    <t>wfcorr</t>
  </si>
  <si>
    <t>Water Flux Correction</t>
  </si>
  <si>
    <t xml:space="preserve">(Not available in NEMO-OPA.)  Torben: &lt;field field_ref="erp"    name="wfcorr"   long_name="water_flux_correction" </t>
  </si>
  <si>
    <t>Raffaele, Torben</t>
  </si>
  <si>
    <t>Positive flux implies correction adds water to ocean.</t>
  </si>
  <si>
    <t>hfgeou</t>
  </si>
  <si>
    <t>Upward Geothermal Heat Flux at Sea Floor</t>
  </si>
  <si>
    <t>'Upward' indicates a vector component which is positive when directed upward (negative downward).  In accordance with common usage in geophysical disciplines, 'flux' implies per unit area, called 'flux density' in physics.</t>
  </si>
  <si>
    <t>AerChemMIP,C4MIP,CMIP,GMMIP,GeoMIP,HighResMIP,ISMIP6,LS3MIP,OMIP,VIACSAB,VolMIP</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</si>
  <si>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</si>
  <si>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</si>
  <si>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</si>
  <si>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</si>
  <si>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</si>
  <si>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</si>
  <si>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</si>
  <si>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</si>
  <si>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</si>
  <si>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hfsnthermds2d</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</si>
  <si>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</si>
  <si>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</si>
  <si>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hfibthermds</t>
  </si>
  <si>
    <t>Heat Flux into Sea Water due to Iceberg Thermodynamics</t>
  </si>
  <si>
    <t>Available in OPA: &lt;field id="hflx_cal_cea"  long_name="heat flux due to calving"   standard_name="heat_flux_into_sea_water_due_to_iceberg_thermodynamics   &lt;!-- available if key_oasis3 + conservative method --&gt;</t>
  </si>
  <si>
    <t>Torben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</si>
  <si>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</si>
  <si>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hfibthermds2d</t>
  </si>
  <si>
    <t>rlntds</t>
  </si>
  <si>
    <t>Surface Net Downward Longwave Radiation</t>
  </si>
  <si>
    <t>Available in OPA: &lt;field id="qlw_oce"   long_name="Longwave Downward Heat Flux over open ocean"  standard_name="surface_net_downward_longwave_flux"   unit="W/m2"  /&gt;</t>
  </si>
  <si>
    <t>hflso</t>
  </si>
  <si>
    <t>Surface Downward Latent Heat Flux</t>
  </si>
  <si>
    <t>Available in OPA: &lt;field id="qla_oce" long_name="Latent Downward Heat Flux over open ocean" standard_name="surface_downward_latent_heat_flux" unit="W/m2" /&gt;</t>
  </si>
  <si>
    <t>This is defined as with the cell methods string: where ice_free_sea over sea</t>
  </si>
  <si>
    <t>hfsso</t>
  </si>
  <si>
    <t>Surface Downward Sensible Heat Flux</t>
  </si>
  <si>
    <t>Available in OPA: &lt;field id="qsb_oce" long_name="Sensible Downward Heat Flux over open ocean" standard_name="surface_downward_sensible_heat_flux" unit="W/m2" /&gt;</t>
  </si>
  <si>
    <t>hfcorr</t>
  </si>
  <si>
    <t>Heat Flux Correction</t>
  </si>
  <si>
    <t>(Not available in NEMO-OPA.)  Torben: &lt;field field_ref="qrp"     name="hfcorr"      long_name="heat_flux_correction"</t>
  </si>
  <si>
    <t>Flux correction is also called 'flux adjustment'. A positive flux correction is downward i.e. added to the ocean. In accordance with common usage in geophysical disciplines, 'flux' implies per unit area, called 'flux density' in physics.</t>
  </si>
  <si>
    <t>AerChemMIP,C4MIP,CMIP,DCPP,GMMIP,GeoMIP,HighResMIP,LS3MIP,LUMIP,OMIP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</si>
  <si>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</si>
  <si>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</si>
  <si>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</si>
  <si>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AerChemMIP,C4MIP,CMIP,GMMIP,GeoMIP,HighResMIP,LS3MIP,OMIP,PMIP</t>
  </si>
  <si>
    <t>limnmisc</t>
  </si>
  <si>
    <t>Nitrogen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</si>
  <si>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</si>
  <si>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limirrdiat</t>
  </si>
  <si>
    <t>Irradiance limitation of Diatoms</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</si>
  <si>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</si>
  <si>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limirrmisc</t>
  </si>
  <si>
    <t>Irradiance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</si>
  <si>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</si>
  <si>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limfediat</t>
  </si>
  <si>
    <t>Iron limitation of 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</si>
  <si>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</si>
  <si>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limfemisc</t>
  </si>
  <si>
    <t>Iron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</si>
  <si>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</si>
  <si>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</si>
  <si>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</si>
  <si>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</si>
  <si>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AerChemMIP,C4MIP,CMIP,DAMIP,DCPP,GMMIP,GeoMIP,HighResMIP,LS3MIP,OMIP,VIACSAB</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</si>
  <si>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</si>
  <si>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</si>
  <si>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</si>
  <si>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</si>
  <si>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</si>
  <si>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</si>
  <si>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</si>
  <si>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</si>
  <si>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</si>
  <si>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</si>
  <si>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</si>
  <si>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</si>
  <si>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</si>
  <si>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</si>
  <si>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</si>
  <si>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</si>
  <si>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</si>
  <si>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</si>
  <si>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</si>
  <si>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</si>
  <si>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</si>
  <si>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AerChemMIP,C4MIP,CMIP,DAMIP,DCPP,GMMIP,GeoMIP,HighResMIP,LS3MIP,OMIP,VIACSAB,VolMIP</t>
  </si>
  <si>
    <t>epfe100</t>
  </si>
  <si>
    <t>Downward Flux of Particulate Iron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</si>
  <si>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</si>
  <si>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epsi100</t>
  </si>
  <si>
    <t>Downward Flux of Particulate Silica</t>
  </si>
  <si>
    <t>AerChemMIP,C4MIP,CMIP,DCPP,GMMIP,GeoMIP,HighResMIP,LS3MIP,OMIP,VIACSAB,VolMIP</t>
  </si>
  <si>
    <t>epcalc100</t>
  </si>
  <si>
    <t>Downward Flux of Calcite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</si>
  <si>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</si>
  <si>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intdic</t>
  </si>
  <si>
    <t>Dissolved Inorganic Carbon Content</t>
  </si>
  <si>
    <t>Vertically integrated DIC</t>
  </si>
  <si>
    <t>spco2</t>
  </si>
  <si>
    <t>longitude latitude time depth0m</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</si>
  <si>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</si>
  <si>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</si>
  <si>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dpco2</t>
  </si>
  <si>
    <t>Delta PCO2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</si>
  <si>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</si>
  <si>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AerChemMIP,C4MIP,CMIP,GMMIP,GeoMIP,HighResMIP,LS3MIP,LUMIP,OMIP,VolMIP</t>
  </si>
  <si>
    <t>dpo2</t>
  </si>
  <si>
    <t>Delta 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</si>
  <si>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</si>
  <si>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AerChemMIP,C4MIP,CMIP,DAMIP,DCPP,GMMIP,GeoMIP,HighResMIP,LS3MIP,LUMIP,OMIP,VIACSAB,VolMIP</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</si>
  <si>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</si>
  <si>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</si>
  <si>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</si>
  <si>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</si>
  <si>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</si>
  <si>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</si>
  <si>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</si>
  <si>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</si>
  <si>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</si>
  <si>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AerChemMIP,C4MIP,CMIP,GMMIP,GeoMIP,HighResMIP,LS3MIP,OMIP,PMIP,VolMIP</t>
  </si>
  <si>
    <t>intpn2</t>
  </si>
  <si>
    <t>Nitrogen Fixation Rate in Ocean</t>
  </si>
  <si>
    <t>Vertically integrated nitrogen fixation</t>
  </si>
  <si>
    <t>fsn</t>
  </si>
  <si>
    <t>Surface Downward Net Flux of Nitrogen</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</si>
  <si>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</si>
  <si>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fsfe</t>
  </si>
  <si>
    <t>Surface Downward Net Flux of Iron</t>
  </si>
  <si>
    <t>Iron supply through deposition flux onto sea surface, runoff, coasts, sediments, etc</t>
  </si>
  <si>
    <t>o2min</t>
  </si>
  <si>
    <t>Oxygen Minimum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</si>
  <si>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</si>
  <si>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</si>
  <si>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</si>
  <si>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</si>
  <si>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</si>
  <si>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</si>
  <si>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</si>
  <si>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AerChemMIP,C4MIP,CMIP,DAMIP,DCPP,GMMIP,GeoMIP,HighResMIP,LS3MIP,LUMIP,OMIP</t>
  </si>
  <si>
    <t>dissoc</t>
  </si>
  <si>
    <t>Dissolved Organic Carbon Concentration</t>
  </si>
  <si>
    <t>Sum of dissolved carbon component concentrations explicitly represented (i.e. not ~40 uM refractory unless explicit)</t>
  </si>
  <si>
    <t>AerChemMIP,C4MIP,CMIP,DCPP,GMMIP,GeoMIP,HighResMIP,LS3MIP,LUMIP,OMIP,VIACSAB</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</si>
  <si>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</si>
  <si>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</si>
  <si>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</si>
  <si>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</si>
  <si>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</si>
  <si>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</si>
  <si>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</si>
  <si>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</si>
  <si>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</si>
  <si>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</si>
  <si>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</si>
  <si>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</si>
  <si>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</si>
  <si>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</si>
  <si>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</si>
  <si>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</si>
  <si>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</si>
  <si>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</si>
  <si>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</si>
  <si>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</si>
  <si>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</si>
  <si>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</si>
  <si>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</si>
  <si>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</si>
  <si>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</si>
  <si>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</si>
  <si>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</si>
  <si>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AerChemMIP,C4MIP,CMIP,DCPP,GMMIP,GeoMIP,HighResMIP,LS3MIP,LUMIP,OMIP,PMIP,VIACSAB</t>
  </si>
  <si>
    <t>AerChemMIP,C4MIP,CMIP,DAMIP,DCPP,GMMIP,GeoMIP,HighResMIP,LS3MIP,LUMIP,OMIP,VIACSAB</t>
  </si>
  <si>
    <t>nh4</t>
  </si>
  <si>
    <t>Dissolved Ammonium Concentration</t>
  </si>
  <si>
    <t>po4</t>
  </si>
  <si>
    <t>Total Dissolved Inorganic Phosphorus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</si>
  <si>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</si>
  <si>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co3</t>
  </si>
  <si>
    <t>Carbonate ion Concentration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</si>
  <si>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</si>
  <si>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co3satcalc</t>
  </si>
  <si>
    <t>Carbonate ion Concentration for sea water in equilibrium with pure Calcite</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</si>
  <si>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</si>
  <si>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IfxGre</t>
  </si>
  <si>
    <t>EmonZ</t>
  </si>
  <si>
    <t>sltbasin</t>
  </si>
  <si>
    <t>Northward Ocean Salt Transport</t>
  </si>
  <si>
    <t>function of latitude, basin</t>
  </si>
  <si>
    <t>PMIP</t>
  </si>
  <si>
    <t>latitude plev39 time</t>
  </si>
  <si>
    <t>DynVar,VolMIP</t>
  </si>
  <si>
    <t>sltnortha</t>
  </si>
  <si>
    <t>Atlantic Northward Ocean Salt Transport</t>
  </si>
  <si>
    <t>Amon</t>
  </si>
  <si>
    <t>AerChemMIP,C4MIP,CMIP,DAMIP,FAFMIP,GMMIP,GeoMIP,HighResMIP,LS3MIP,LUMIP,RFMIP,VIACSAB,VolMIP</t>
  </si>
  <si>
    <t>o3</t>
  </si>
  <si>
    <t>longitude latitude plev19 time</t>
  </si>
  <si>
    <t>Mole Fraction of O3</t>
  </si>
  <si>
    <t>Mole fraction is used in the construction mole_fraction_of_X_in_Y, where X is a material constituent of Y.</t>
  </si>
  <si>
    <t>AerChemMIP,C4MIP,CFMIP,CMIP,DAMIP,FAFMIP,GMMIP,GeoMIP,HighResMIP,LS3MIP,LUMIP,RFMIP,VolMIP</t>
  </si>
  <si>
    <t>o3Clim</t>
  </si>
  <si>
    <t>longitude latitude plev19 time2</t>
  </si>
  <si>
    <t>Not available in the AOGCM, but will be added by Tommi  in the ESM in TM5 with its cmor name.</t>
  </si>
  <si>
    <t>co2</t>
  </si>
  <si>
    <t>Mole Fraction of CO2</t>
  </si>
  <si>
    <t>AerChemMIP,C4MIP,CFMIP,CMIP,DAMIP,FAFMIP,GMMIP,GeoMIP,HighResMIP,LS3MIP,LUMIP,PMIP,RFMIP,VolMIP</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</si>
  <si>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</si>
  <si>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</si>
  <si>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</si>
  <si>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</si>
  <si>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</si>
  <si>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</si>
  <si>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</si>
  <si>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</si>
  <si>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</si>
  <si>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</si>
  <si>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</si>
  <si>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</si>
  <si>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longitude latitude alevhalf time2</t>
  </si>
  <si>
    <t>AerChemMIP,C4MIP,CFMIP,CMIP,DAMIP,FAFMIP,GMMIP,GeoMIP,HighResMIP,LS3MIP,LUMIP,RFMIP,VIACSAB,VolMIP</t>
  </si>
  <si>
    <t>SIday</t>
  </si>
  <si>
    <t>SIMIP</t>
  </si>
  <si>
    <t>DCPP,SIMIP</t>
  </si>
  <si>
    <t>6hrPlev</t>
  </si>
  <si>
    <t>bldep</t>
  </si>
  <si>
    <t>Boundary Layer Depth</t>
  </si>
  <si>
    <t>Boundary layer depth</t>
  </si>
  <si>
    <t>VIACSAB</t>
  </si>
  <si>
    <t>AERhr</t>
  </si>
  <si>
    <t>sfno2</t>
  </si>
  <si>
    <t>NO2 volume mixing ratio in lowest model layer</t>
  </si>
  <si>
    <t>sfo3</t>
  </si>
  <si>
    <t>O3 volume mixing ratio in lowest model layer</t>
  </si>
  <si>
    <t>sfpm25</t>
  </si>
  <si>
    <t>PM2.5 mass mixing ratio in lowest model layer</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</si>
  <si>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</si>
  <si>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AERmon</t>
  </si>
  <si>
    <t>abs550aer</t>
  </si>
  <si>
    <t>longitude latitude time lambda550nm</t>
  </si>
  <si>
    <t>ambient aerosol absorption optical thickness at 550 nm</t>
  </si>
  <si>
    <t>alias::atmosphere_absorption_optical_thickness_due_to_ambient_aerosol</t>
  </si>
  <si>
    <t>AerChemMIP,CFMIP,DAMIP,GeoMIP,HighResMIP,PMIP,RFMIP</t>
  </si>
  <si>
    <t>airmass</t>
  </si>
  <si>
    <t>Vertically integrated mass content of air in layer</t>
  </si>
  <si>
    <t>'Mass_of_air' means the mass due solely to the gaseous constituents of the atmosphere.  The standard name for the mass including precipitation and aerosol particles is atmosphere_mass_per_unit_area.</t>
  </si>
  <si>
    <t>AerChemMIP,DAMIP</t>
  </si>
  <si>
    <t>AerChemMIP,DAMIP,HighResMIP</t>
  </si>
  <si>
    <t>c2h6</t>
  </si>
  <si>
    <t>C2H6 volume mixing ratio</t>
  </si>
  <si>
    <t>c3h6</t>
  </si>
  <si>
    <t>C3H6  volume mixing ratio</t>
  </si>
  <si>
    <t>c3h8</t>
  </si>
  <si>
    <t>C3H8  volume mixing ratio</t>
  </si>
  <si>
    <t>cdnc</t>
  </si>
  <si>
    <t>Cloud Liquid Droplet Number Concentration</t>
  </si>
  <si>
    <t>In runtime/classic/ctrl/namelist.ifs.cloudact+diag.sh CVEXTRA(1)='CDNC' which is a PEXTRA variable.</t>
  </si>
  <si>
    <t>Cloud Droplet Number Concentration in liquid water clouds.</t>
  </si>
  <si>
    <t>AerChemMIP,CFMIP,DAMIP</t>
  </si>
  <si>
    <t>ch3coch3</t>
  </si>
  <si>
    <t>CH3COCH3  volume mixing ratio</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</si>
  <si>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</si>
  <si>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</si>
  <si>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</si>
  <si>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</si>
  <si>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</si>
  <si>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</si>
  <si>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</si>
  <si>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</si>
  <si>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</si>
  <si>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</si>
  <si>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</si>
  <si>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cltc</t>
  </si>
  <si>
    <t>Convective Cloud Area Fraction</t>
  </si>
  <si>
    <t>Available in IFS: convective cloud cover ccc: grib 128.185</t>
  </si>
  <si>
    <t>Convective cloud area fraction for the whole atmospheric column, as seen from the surface or the top of the atmosphere. Includes only convective cloud.</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</si>
  <si>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</si>
  <si>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</si>
  <si>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</si>
  <si>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</si>
  <si>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</si>
  <si>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</si>
  <si>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</si>
  <si>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</si>
  <si>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</si>
  <si>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</si>
  <si>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AerChemMIP,DAMIP,GeoMIP,HighResMIP,PMIP</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</si>
  <si>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</si>
  <si>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</si>
  <si>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</si>
  <si>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</si>
  <si>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</si>
  <si>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</si>
  <si>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</si>
  <si>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</si>
  <si>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</si>
  <si>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</si>
  <si>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</si>
  <si>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</si>
  <si>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</si>
  <si>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</si>
  <si>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</si>
  <si>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</si>
  <si>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AerChemMIP,DAMIP,GeoMIP,HighResMIP</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</si>
  <si>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</si>
  <si>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</si>
  <si>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</si>
  <si>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</si>
  <si>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</si>
  <si>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</si>
  <si>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</si>
  <si>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</si>
  <si>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</si>
  <si>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</si>
  <si>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</si>
  <si>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</si>
  <si>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</si>
  <si>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</si>
  <si>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</si>
  <si>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</si>
  <si>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</si>
  <si>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</si>
  <si>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</si>
  <si>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</si>
  <si>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</si>
  <si>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</si>
  <si>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</si>
  <si>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</si>
  <si>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</si>
  <si>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</si>
  <si>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</si>
  <si>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</si>
  <si>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</si>
  <si>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</si>
  <si>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</si>
  <si>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</si>
  <si>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</si>
  <si>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</si>
  <si>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</si>
  <si>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</si>
  <si>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</si>
  <si>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</si>
  <si>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</si>
  <si>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</si>
  <si>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</si>
  <si>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</si>
  <si>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</si>
  <si>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hcho</t>
  </si>
  <si>
    <t>Formaldehyde volume mixing ratio</t>
  </si>
  <si>
    <t>Twan, Tommi Bergman</t>
  </si>
  <si>
    <t>hno3</t>
  </si>
  <si>
    <t>HNO3 volume mixing ratio</t>
  </si>
  <si>
    <t>isop</t>
  </si>
  <si>
    <t>Isoprene volume mixing ratio</t>
  </si>
  <si>
    <t>jno2</t>
  </si>
  <si>
    <t>photolysis rate of NO2</t>
  </si>
  <si>
    <t>'Photolysis' is a chemical reaction in which a chemical compound is broken down by photons. The 'reaction rate' is the rate at which the reactants of a chemical reaction form the products. The chemical formula for nitrogen dioxide is NO2.</t>
  </si>
  <si>
    <t>lossch4</t>
  </si>
  <si>
    <t>Monthly Loss of atmospheric Methane</t>
  </si>
  <si>
    <t>Available in TM5.</t>
  </si>
  <si>
    <t>monthly averaged atmospheric loss</t>
  </si>
  <si>
    <t>lossco</t>
  </si>
  <si>
    <t>Monthly Loss of atmospheric Carbon Monoxide</t>
  </si>
  <si>
    <t>lwp</t>
  </si>
  <si>
    <t>liquid water path</t>
  </si>
  <si>
    <t>Available in IFS: Total column liquid water: grib 128.78</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</si>
  <si>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</si>
  <si>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AerChemMIP,DAMIP,HighResMIP,PMIP</t>
  </si>
  <si>
    <t>mmraerh2o</t>
  </si>
  <si>
    <t>Aerosol water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</si>
  <si>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</si>
  <si>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AerChemMIP,DAMIP,GeoMIP,RFMIP</t>
  </si>
  <si>
    <t>mmrbc</t>
  </si>
  <si>
    <t>Elemental carbon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</si>
  <si>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</si>
  <si>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AerChemMIP,CFMIP,DAMIP,PMIP,RFMIP</t>
  </si>
  <si>
    <t>mmrdust</t>
  </si>
  <si>
    <t>Dust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</si>
  <si>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</si>
  <si>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AerChemMIP,CFMIP,DAMIP,GeoMIP,PMIP,RFMIP</t>
  </si>
  <si>
    <t>mmrnh4</t>
  </si>
  <si>
    <t>NH4 mass mixing ratio</t>
  </si>
  <si>
    <t>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</si>
  <si>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mmrno3</t>
  </si>
  <si>
    <t>NO3 aerosol mass mixing ratio</t>
  </si>
  <si>
    <t>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</si>
  <si>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AerChemMIP,CFMIP,DAMIP,RFMIP</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</si>
  <si>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</si>
  <si>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</si>
  <si>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</si>
  <si>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</si>
  <si>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</si>
  <si>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</si>
  <si>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</si>
  <si>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</si>
  <si>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</si>
  <si>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</si>
  <si>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</si>
  <si>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</si>
  <si>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</si>
  <si>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</si>
  <si>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</si>
  <si>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mmrsoa</t>
  </si>
  <si>
    <t>Secondary organic aerosol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</si>
  <si>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</si>
  <si>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mmrss</t>
  </si>
  <si>
    <t>Sea Salt mass mixing ratio</t>
  </si>
  <si>
    <t>alias::mass_fraction_of_seasalt_dry_aerosol_particles_in_air</t>
  </si>
  <si>
    <t>nh50</t>
  </si>
  <si>
    <t>Artificial tracer with 50 day lifetime</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</si>
  <si>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</si>
  <si>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no</t>
  </si>
  <si>
    <t>NO volume mixing ratio</t>
  </si>
  <si>
    <t>no2</t>
  </si>
  <si>
    <t>NO2 volume mixing ratio</t>
  </si>
  <si>
    <t>Ozone volume mixing ratio</t>
  </si>
  <si>
    <t>o3loss</t>
  </si>
  <si>
    <t>O3 destruction rate</t>
  </si>
  <si>
    <t>ONLY provide the sum of the following reactions: (i) O(1D)+H2O; (ii) O3+HO2; (iii) O3+OH; (iv) O3+alkenes (isoprene, ethene,...)</t>
  </si>
  <si>
    <t>o3prod</t>
  </si>
  <si>
    <t>O3 production rate</t>
  </si>
  <si>
    <t>ONLY provide the sum of all the HO2/RO2 + NO reactions (as k*[HO2]*[NO])</t>
  </si>
  <si>
    <t>o3ste</t>
  </si>
  <si>
    <t>Ozone tracer intended to map out strat-trop exchange (STE) of ozone.</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</si>
  <si>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</si>
  <si>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</si>
  <si>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</si>
  <si>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AerChemMIP,DAMIP,HighResMIP,RFMIP</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</si>
  <si>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</si>
  <si>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</si>
  <si>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</si>
  <si>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</si>
  <si>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</si>
  <si>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</si>
  <si>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</si>
  <si>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</si>
  <si>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</si>
  <si>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</si>
  <si>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</si>
  <si>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</si>
  <si>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</si>
  <si>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alias::atmosphere_optical_thickness_due_to_dust_ambient_aerosol</t>
  </si>
  <si>
    <t>AerChemMIP,DAMIP,HighResMIP,PMIP,RFMIP</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</si>
  <si>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</si>
  <si>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</si>
  <si>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</si>
  <si>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AerChemMIP,CFMIP,DAMIP,GeoMIP,HighResMIP,RFMIP</t>
  </si>
  <si>
    <t>od550no3</t>
  </si>
  <si>
    <t>nitrate aod@550nm</t>
  </si>
  <si>
    <t>proposed name: atmosphere_optical_thickness_due_to_nitrate_ambient_aerosol</t>
  </si>
  <si>
    <t>od550oa</t>
  </si>
  <si>
    <t>total organic aerosol aod@550nm</t>
  </si>
  <si>
    <t>alias::atmosphere_optical_thickness_due_to_particulate_organic_matter_ambient_aerosol</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</si>
  <si>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</si>
  <si>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</si>
  <si>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</si>
  <si>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</si>
  <si>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</si>
  <si>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</si>
  <si>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</si>
  <si>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</si>
  <si>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alias::atmosphere_optical_thickness_due_to_seasalt_ambient_aerosol</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</si>
  <si>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</si>
  <si>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</si>
  <si>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</si>
  <si>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</si>
  <si>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</si>
  <si>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</si>
  <si>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</si>
  <si>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AerChemMIP,DAMIP,PMIP</t>
  </si>
  <si>
    <t>ptp</t>
  </si>
  <si>
    <t>Tropopause Air Pressure</t>
  </si>
  <si>
    <t>2D monthly mean thermal tropopause calculated using WMO tropopause definition on 3d temperature</t>
  </si>
  <si>
    <t>rlutaf</t>
  </si>
  <si>
    <t>TOA Outgoing Aerosol-Free Longwave Radiation</t>
  </si>
  <si>
    <t>Available from double radiation call in IFS. See also PEXTRA issue #403</t>
  </si>
  <si>
    <t>Flux corresponding to rlut resulting from aerosol-free call to radiation, following Ghan (ACP, 2013)</t>
  </si>
  <si>
    <t>rlutcsaf</t>
  </si>
  <si>
    <t>TOA Outgoing Clear-Sky, Aerosol-Free Longwave Radiation</t>
  </si>
  <si>
    <t>Available from double radiation call in IFS. See also PEXTRA issue #404</t>
  </si>
  <si>
    <t>Flux corresponding to rlutcs resulting from aerosol-free call to radiation, following Ghan (ACP, 2013)</t>
  </si>
  <si>
    <t>rsutaf</t>
  </si>
  <si>
    <t>toa outgoing shortwave radiation</t>
  </si>
  <si>
    <t>Available from double radiation call in IFS. See also PEXTRA issue #403   aerosol free</t>
  </si>
  <si>
    <t>Flux corresponding to rsut resulting from aerosol-free call to radiation, following Ghan (ACP, 2013)</t>
  </si>
  <si>
    <t>rsutcsaf</t>
  </si>
  <si>
    <t>toa outgoing clear-sky shortwave radiation</t>
  </si>
  <si>
    <t>Flux corresponding to rsutcs resulting from aerosol-free call to radiation, following Ghan (ACP, 2013)</t>
  </si>
  <si>
    <t>so2</t>
  </si>
  <si>
    <t>SO2 volume mixing ratio</t>
  </si>
  <si>
    <t>AerChemMIP,CFMIP,DAMIP,GeoMIP</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</si>
  <si>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</si>
  <si>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</si>
  <si>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</si>
  <si>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</si>
  <si>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</si>
  <si>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</si>
  <si>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</si>
  <si>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</si>
  <si>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wa</t>
  </si>
  <si>
    <t>Upward Air Velocity</t>
  </si>
  <si>
    <t>Available in IFS:Vertical velocity:w: grib 128.135 requires unit conversion from Pa.s-1 to m/s</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</si>
  <si>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</si>
  <si>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wetbc</t>
  </si>
  <si>
    <t>wet deposition rate of black carbon aerosol mass</t>
  </si>
  <si>
    <t>'tendency_of_X'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</si>
  <si>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wetdust</t>
  </si>
  <si>
    <t>wet deposition rate of dust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</si>
  <si>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</si>
  <si>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wetnh3</t>
  </si>
  <si>
    <t>wet deposition rate of nh3</t>
  </si>
  <si>
    <t>'tendency_of_X' means derivative of X with respect to time.  'Content' indicates a quantity per unit area.  'Wet deposition' means deposition by precipitation.</t>
  </si>
  <si>
    <t>wetnh4</t>
  </si>
  <si>
    <t>wet deposition rate of nh4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</si>
  <si>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</si>
  <si>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</si>
  <si>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</si>
  <si>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</si>
  <si>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</si>
  <si>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</si>
  <si>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</si>
  <si>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</si>
  <si>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</si>
  <si>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</si>
  <si>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</si>
  <si>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</si>
  <si>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</si>
  <si>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</si>
  <si>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alias::tendency_of_atmosphere_mass_content_of_seasalt_dry_aerosol_particles_due_to_wet_deposition</t>
  </si>
  <si>
    <t>ztp</t>
  </si>
  <si>
    <t>Tropopause Altitude above Geoid</t>
  </si>
  <si>
    <t>E3hrPt</t>
  </si>
  <si>
    <t>CFMIP</t>
  </si>
  <si>
    <t>longitude latitude time1 p840</t>
  </si>
  <si>
    <t>longitude latitude time1 p560</t>
  </si>
  <si>
    <t>longitude latitude time1 p220</t>
  </si>
  <si>
    <t>RFMIP</t>
  </si>
  <si>
    <t>rsdscsaf</t>
  </si>
  <si>
    <t>Surface Downwelling Clear-Sky, Aerosol-Free Shortwave Radiation</t>
  </si>
  <si>
    <t>Calculated in the absence of aerosols and clouds.</t>
  </si>
  <si>
    <t>rsuscsaf</t>
  </si>
  <si>
    <t>Surface Upwelling Clean Clear-Sky Shortwave Radiation</t>
  </si>
  <si>
    <t>Available from double radiation call in IFS. See also PEXTRA issue #405</t>
  </si>
  <si>
    <t>Surface Upwelling Clear-sky, Aerosol Free Shortwave Radiation</t>
  </si>
  <si>
    <t>sza</t>
  </si>
  <si>
    <t>Solar Zenith Angle</t>
  </si>
  <si>
    <t>In the IFS code we found: A CALL TO SUBROUTINE *SOLANG* GIVES FIELDS OF SOLAR ZENITH. Best would be to copy the IFS routine/formula to ece2cmor3 and produce this field off-line.</t>
  </si>
  <si>
    <t>The angle between the line of sight to the sun and the local vertical</t>
  </si>
  <si>
    <t>longitude latitude alevel time1</t>
  </si>
  <si>
    <t>Esubhr</t>
  </si>
  <si>
    <t>HighResMIP</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</si>
  <si>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</si>
  <si>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</si>
  <si>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</si>
  <si>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</si>
  <si>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</si>
  <si>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</si>
  <si>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</si>
  <si>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</si>
  <si>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</si>
  <si>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</si>
  <si>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</si>
  <si>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</si>
  <si>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</si>
  <si>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CMIP,FAFMIP,GeoMIP,HighResMIP,LUMIP,RFMIP,VIACSAB</t>
  </si>
  <si>
    <t>Ocean Vertical Salt Diffusivity</t>
  </si>
  <si>
    <t>difvtrto</t>
  </si>
  <si>
    <t>Ocean Vertical Tracer Diffusivity due to Tides</t>
  </si>
  <si>
    <t>CMIP,FAFMIP,HighResMIP,LUMIP,RFMIP,VIACSAB</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</si>
  <si>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</si>
  <si>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</si>
  <si>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</si>
  <si>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</si>
  <si>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</si>
  <si>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</si>
  <si>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</si>
  <si>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</si>
  <si>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</si>
  <si>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</si>
  <si>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</si>
  <si>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</si>
  <si>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</si>
  <si>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</si>
  <si>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</si>
  <si>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</si>
  <si>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</si>
  <si>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</si>
  <si>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</si>
  <si>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</si>
  <si>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</si>
  <si>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</si>
  <si>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</si>
  <si>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</si>
  <si>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</si>
  <si>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Sea Floor Depth Below Geoid</t>
  </si>
  <si>
    <t>Ocean bathymetry.   Reported here is the sea floor depth for present day relative to z=0 geoid. Reported as missing for land grid cells.</t>
  </si>
  <si>
    <t>CMIP,DCPP,OMIP,PMIP</t>
  </si>
  <si>
    <t>longitude latitude olevel</t>
  </si>
  <si>
    <t>Ocean Grid-Cell Mass per area</t>
  </si>
  <si>
    <t>areacello</t>
  </si>
  <si>
    <t>Grid-Cell Area</t>
  </si>
  <si>
    <t>Horizontal area of ocean grid cells</t>
  </si>
  <si>
    <t>sftof</t>
  </si>
  <si>
    <t>longitude latitude typesea</t>
  </si>
  <si>
    <t>Sea Area Fraction</t>
  </si>
  <si>
    <t>This is the area fraction at the ocean surface.</t>
  </si>
  <si>
    <t>basin</t>
  </si>
  <si>
    <t>Region Selection Index</t>
  </si>
  <si>
    <t>A variable with the standard name of region contains strings which indicate geographical regions. These strings must be chosen from the standard region list.</t>
  </si>
  <si>
    <t>CFMIP,CMIP,DCPP,OMIP,PMIP</t>
  </si>
  <si>
    <t>6hrPlevPt</t>
  </si>
  <si>
    <t>mrsol</t>
  </si>
  <si>
    <t>longitude latitude time1 sdepth1</t>
  </si>
  <si>
    <t>Water Content of Soil Layer</t>
  </si>
  <si>
    <t>in each soil layer, the mass of water in all phases, including ice.  Reported as 'missing' for grid cells occupied entirely by 'sea'</t>
  </si>
  <si>
    <t>Eday</t>
  </si>
  <si>
    <t>lai</t>
  </si>
  <si>
    <t>Leaf Area Index</t>
  </si>
  <si>
    <t>'X_area' means the horizontal area occupied by X within the grid cell.</t>
  </si>
  <si>
    <t>C4MIP</t>
  </si>
  <si>
    <t>longitude latitude sdepth time</t>
  </si>
  <si>
    <t>Total water content of soil layer</t>
  </si>
  <si>
    <t>C4MIP,LS3MIP</t>
  </si>
  <si>
    <t>mrsll</t>
  </si>
  <si>
    <t>Liquid water content of soil layer</t>
  </si>
  <si>
    <t>Available in LPJ-GUESS, but the field will be the same as mrsol because: No frozen fraction of water</t>
  </si>
  <si>
    <t>in each soil layer, the mass of water in liquid phase.  Reported as 'missing' for grid cells occupied entirely by 'sea'</t>
  </si>
  <si>
    <t>loaddust</t>
  </si>
  <si>
    <t>Load of Dust</t>
  </si>
  <si>
    <t>Available in TM5</t>
  </si>
  <si>
    <t>t20d</t>
  </si>
  <si>
    <t>20C isotherm depth</t>
  </si>
  <si>
    <t>tauupbl</t>
  </si>
  <si>
    <t>eastward surface stress from planetary boundary layer scheme</t>
  </si>
  <si>
    <t>Available in IFS: Eastward turbulent surface stress (grib 128.180) plus the Eastward gravity wave surface stress (grib 128.195).  Check with data request or DynVar people if this is indeed what is asked here.</t>
  </si>
  <si>
    <t>The  downward eastward stress associated with the models parameterization of the planetary boundary layer. (This request is related to a WGNE effort to understand how models parameterize the surface stresses.)</t>
  </si>
  <si>
    <t>DynVar</t>
  </si>
  <si>
    <t>tauvpbl</t>
  </si>
  <si>
    <t>northward surface stress from planetary boundary layer scheme</t>
  </si>
  <si>
    <t>Available in IFS: Northward turbulent surface stress (grib 128.181) plus the Northward gravity wave surface stress (grib 128.196).  Check with data request or DynVar people if this is indeed what is asked here.</t>
  </si>
  <si>
    <t>The  downward northward stress associated with the models parameterization of the planetary boundary layer. (This request is related to a WGNE effort to understand how models parameterize the surface stresses.)</t>
  </si>
  <si>
    <t>rss</t>
  </si>
  <si>
    <t>Net Shortwave Surface Radiation</t>
  </si>
  <si>
    <t>Available in IFS: Surface net solar radiation: grib 128.176</t>
  </si>
  <si>
    <t>Net downward shortwave radiation at the surface</t>
  </si>
  <si>
    <t>DCPP,LS3MIP</t>
  </si>
  <si>
    <t>rls</t>
  </si>
  <si>
    <t>Net Longwave Surface Radiation</t>
  </si>
  <si>
    <t>Available in IFS: Surface net thermal radiation: grib 128.177</t>
  </si>
  <si>
    <t>Net longwave surface radiation</t>
  </si>
  <si>
    <t>zmla</t>
  </si>
  <si>
    <t>Height of Boundary Layer</t>
  </si>
  <si>
    <t>Available in IFS: Boundary layer height: grib 128.159</t>
  </si>
  <si>
    <t>The atmosphere boundary layer thickness is the 'depth' or 'height' of the (atmosphere) planetary boundary layer.</t>
  </si>
  <si>
    <t>prCrop</t>
  </si>
  <si>
    <t>Precipitation over Crop Tile</t>
  </si>
  <si>
    <t>Available in LPJ-GUESS, but the field will be the same precipitation over crops as for the rest of the gridcell. Available in LPJ-GUESS, but the field will be the same precipitation over crops as for the rest of the gridcell.</t>
  </si>
  <si>
    <t>includes both liquid and solid phases</t>
  </si>
  <si>
    <t>AERmonZ</t>
  </si>
  <si>
    <t>ho2</t>
  </si>
  <si>
    <t>HO2 volume mixing ratio</t>
  </si>
  <si>
    <t>Mole fraction is used in the construction mole_fraction_of_X_in_Y, where X is a material constituent of Y.  The chemical formula of hydroperoxyl radical is HO2.</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</si>
  <si>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</si>
  <si>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</si>
  <si>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</si>
  <si>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</si>
  <si>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Convective Cloud Fraction</t>
  </si>
  <si>
    <t>longitude latitude alevhalf time1</t>
  </si>
  <si>
    <t>CFMIP,RFMIP</t>
  </si>
  <si>
    <t>E3hr</t>
  </si>
  <si>
    <t>Rainfall Flux</t>
  </si>
  <si>
    <t>prrc</t>
  </si>
  <si>
    <t>Convective Rainfall rate</t>
  </si>
  <si>
    <t>Availlable in IFS: Precip. flux from convection liquid grib 128.107, this is a 3D field so the surface field has to be extracted from this. So only level 91 needs to be outputted.</t>
  </si>
  <si>
    <t>Emon</t>
  </si>
  <si>
    <t>AerChemMIP,C4MIP,CMIP,DCPP,FAFMIP,GMMIP,GeoMIP,HighResMIP,LS3MIP,LUMIP,PMIP,RFMIP,VolMIP</t>
  </si>
  <si>
    <t>AerChemMIP,C4MIP,CFMIP,CMIP,FAFMIP,GMMIP,GeoMIP,HighResMIP,LS3MIP,LUMIP,PMIP,RFMIP,VIACSAB,VolMIP</t>
  </si>
  <si>
    <t>fCLandToOcean</t>
  </si>
  <si>
    <t>Lateral transfer of carbon out of gridcell that eventually goes into ocean</t>
  </si>
  <si>
    <t>leached carbon etc that goes into run off or river routing and finds its way into ocean should be reported here.</t>
  </si>
  <si>
    <t>C4MIP,LUMIP</t>
  </si>
  <si>
    <t>fFireNat</t>
  </si>
  <si>
    <t>Carbon Mass Flux into Atmosphere due to CO2 Emission from natural Fire</t>
  </si>
  <si>
    <t>CO2 emissions from natural fires</t>
  </si>
  <si>
    <t>fProductDecomp</t>
  </si>
  <si>
    <t>decomposition out of product pools to CO2 in atmos</t>
  </si>
  <si>
    <t>fAnthDisturb</t>
  </si>
  <si>
    <t>Carbon Mass Flux from Vegetation, Litter or Soil Pools into the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</si>
  <si>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</si>
  <si>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</si>
  <si>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</si>
  <si>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</si>
  <si>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</si>
  <si>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</si>
  <si>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</si>
  <si>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</si>
  <si>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</si>
  <si>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</si>
  <si>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C4MIP,LUMIP,PMIP</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</si>
  <si>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</si>
  <si>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</si>
  <si>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</si>
  <si>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</si>
  <si>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</si>
  <si>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</si>
  <si>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</si>
  <si>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</si>
  <si>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</si>
  <si>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</si>
  <si>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</si>
  <si>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</si>
  <si>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</si>
  <si>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</si>
  <si>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</si>
  <si>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</si>
  <si>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</si>
  <si>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</si>
  <si>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</si>
  <si>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</si>
  <si>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</si>
  <si>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</si>
  <si>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</si>
  <si>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</si>
  <si>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</si>
  <si>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</si>
  <si>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</si>
  <si>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</si>
  <si>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</si>
  <si>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</si>
  <si>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</si>
  <si>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</si>
  <si>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</si>
  <si>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</si>
  <si>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</si>
  <si>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</si>
  <si>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</si>
  <si>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</si>
  <si>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</si>
  <si>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</si>
  <si>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</si>
  <si>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</si>
  <si>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</si>
  <si>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</si>
  <si>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</si>
  <si>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</si>
  <si>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</si>
  <si>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</si>
  <si>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</si>
  <si>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</si>
  <si>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</si>
  <si>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</si>
  <si>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</si>
  <si>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</si>
  <si>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</si>
  <si>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</si>
  <si>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</si>
  <si>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</si>
  <si>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</si>
  <si>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</si>
  <si>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</si>
  <si>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</si>
  <si>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</si>
  <si>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</si>
  <si>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</si>
  <si>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</si>
  <si>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</si>
  <si>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</si>
  <si>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</si>
  <si>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</si>
  <si>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</si>
  <si>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</si>
  <si>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</si>
  <si>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</si>
  <si>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</si>
  <si>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</si>
  <si>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</si>
  <si>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</si>
  <si>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</si>
  <si>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</si>
  <si>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</si>
  <si>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</si>
  <si>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</si>
  <si>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</si>
  <si>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</si>
  <si>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</si>
  <si>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</si>
  <si>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</si>
  <si>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</si>
  <si>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</si>
  <si>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</si>
  <si>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</si>
  <si>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</si>
  <si>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</si>
  <si>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</si>
  <si>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</si>
  <si>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</si>
  <si>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</si>
  <si>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</si>
  <si>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</si>
  <si>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</si>
  <si>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</si>
  <si>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</si>
  <si>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</si>
  <si>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</si>
  <si>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</si>
  <si>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</si>
  <si>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</si>
  <si>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</si>
  <si>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</si>
  <si>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</si>
  <si>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</si>
  <si>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</si>
  <si>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</si>
  <si>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</si>
  <si>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</si>
  <si>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</si>
  <si>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</si>
  <si>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</si>
  <si>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</si>
  <si>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</si>
  <si>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</si>
  <si>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</si>
  <si>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</si>
  <si>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</si>
  <si>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</si>
  <si>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</si>
  <si>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</si>
  <si>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</si>
  <si>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</si>
  <si>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</si>
  <si>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</si>
  <si>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</si>
  <si>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</si>
  <si>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</si>
  <si>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</si>
  <si>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</si>
  <si>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</si>
  <si>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</si>
  <si>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</si>
  <si>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</si>
  <si>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</si>
  <si>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</si>
  <si>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</si>
  <si>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</si>
  <si>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</si>
  <si>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</si>
  <si>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</si>
  <si>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</si>
  <si>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DAMIP,FAFMIP</t>
  </si>
  <si>
    <t>netAtmosLandCO2Flux</t>
  </si>
  <si>
    <t>Net flux of CO2 between atmosphere and land (positive into land) as a result of all processes.</t>
  </si>
  <si>
    <t>Available in LPJ-GUESS, but the field will be the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</si>
  <si>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</si>
  <si>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C4MIP,DCPP,LUMIP,PMIP</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</si>
  <si>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</si>
  <si>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</si>
  <si>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</si>
  <si>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</si>
  <si>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</si>
  <si>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</si>
  <si>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</si>
  <si>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</si>
  <si>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</si>
  <si>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</si>
  <si>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</si>
  <si>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</si>
  <si>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FAFMIP</t>
  </si>
  <si>
    <t>GeoMIP</t>
  </si>
  <si>
    <t>uqint</t>
  </si>
  <si>
    <t>integrated_eastward_wind_times_humidity</t>
  </si>
  <si>
    <t>Available in IFS, via postprocessing the vertical integral can be taken of the following grib 128.131 * 128.133</t>
  </si>
  <si>
    <t>Column integrated eastward wind times specific humidity</t>
  </si>
  <si>
    <t>vqint</t>
  </si>
  <si>
    <t>integrated_northward_wind_times_humidity</t>
  </si>
  <si>
    <t>Available in IFS, via postprocessing the vertical integral can be taken of the following grib 128.132 * 128.133</t>
  </si>
  <si>
    <t>Column integrated northward wind times specific humidity</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</si>
  <si>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</si>
  <si>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</si>
  <si>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</si>
  <si>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</si>
  <si>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</si>
  <si>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</si>
  <si>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AerChemMIP,CMIP,FAFMIP,GMMIP,GeoMIP,HighResMIP,LS3MIP,RFMIP,VolMIP</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</si>
  <si>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</si>
  <si>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</si>
  <si>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</si>
  <si>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</si>
  <si>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</si>
  <si>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</si>
  <si>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</si>
  <si>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gross primary productivity on land use tile</t>
  </si>
  <si>
    <t>'Production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</si>
  <si>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raLut</t>
  </si>
  <si>
    <t>plant respiration on land use tile</t>
  </si>
  <si>
    <t>'Respiration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</si>
  <si>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nppLut</t>
  </si>
  <si>
    <t>net primary productivity on land use tile</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</si>
  <si>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</si>
  <si>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</si>
  <si>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</si>
  <si>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</si>
  <si>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</si>
  <si>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</si>
  <si>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</si>
  <si>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</si>
  <si>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</si>
  <si>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</si>
  <si>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</si>
  <si>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</si>
  <si>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</si>
  <si>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</si>
  <si>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</si>
  <si>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</si>
  <si>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</si>
  <si>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</si>
  <si>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</si>
  <si>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</si>
  <si>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</si>
  <si>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</si>
  <si>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</si>
  <si>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</si>
  <si>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</si>
  <si>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</si>
  <si>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alias::soil_moisture_content</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</si>
  <si>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</si>
  <si>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</si>
  <si>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</si>
  <si>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</si>
  <si>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</si>
  <si>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</si>
  <si>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</si>
  <si>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</si>
  <si>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</si>
  <si>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</si>
  <si>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</si>
  <si>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</si>
  <si>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</si>
  <si>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</si>
  <si>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evspsblpot</t>
  </si>
  <si>
    <t>Potential Evapotranspiration</t>
  </si>
  <si>
    <t>Available in LPJ-GUESS, is now implemented as a monthly output from LPJ-GUESS. Not availablein IFS, the "potential" evaporation is not in the standard output of IFS</t>
  </si>
  <si>
    <t>David Warlind, Gijs &amp; Thomas</t>
  </si>
  <si>
    <t>at surface; potential flux of water into the atmosphere due to conversion of both liquid and solid phases to vapor (from underlying surface and vegetation)</t>
  </si>
  <si>
    <t>DCPP,PMIP</t>
  </si>
  <si>
    <t>intuaw</t>
  </si>
  <si>
    <t>Vertically integrated Eastward moisture transport (Mass_weighted_vertical integral of the product of eastward wind by total water mass per unit mass)</t>
  </si>
  <si>
    <t>Not available in the standard IFS output. However, per layer the Specific humidity (grib 128.133 + unit conversion) can be multiplied by the U component of wind (grib 128.131) and this needs to be vertically integrated.</t>
  </si>
  <si>
    <t>Used in PMIP2</t>
  </si>
  <si>
    <t>intvaw</t>
  </si>
  <si>
    <t>Vertically integrated Northward moisture transport (Mass_weighted_vertical integral of the product of northward wind by total water mass per unit mass)</t>
  </si>
  <si>
    <t>Not available in the standard IFS output. However, per layer the Specific humidity (grib 128.133 + unit conversion) can be multiplied by the V component of wind (grib 128.132) and this needs to be vertically integrated.</t>
  </si>
  <si>
    <t>intuadse</t>
  </si>
  <si>
    <t>Vertically integrated Eastward dry transport (cp.T +zg).u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</si>
  <si>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</si>
  <si>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Mass weighted vertical integral of the product of northward wind by dry static energy per unit mass: (cp.T +zg).u</t>
  </si>
  <si>
    <t>intvadse</t>
  </si>
  <si>
    <t>Vertically integrated Northward dry transport (cp.T +zg).v (Mass_weighted_vertical integral of the product of northward wind by dry static_energy per mass unit)</t>
  </si>
  <si>
    <t>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</si>
  <si>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flashrate</t>
  </si>
  <si>
    <t>Lightning Flash Rate</t>
  </si>
  <si>
    <t>proposed name: lightning_flash_rate (units to be interpreted as 'counts km-2 s-1)</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</si>
  <si>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</si>
  <si>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</si>
  <si>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</si>
  <si>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</si>
  <si>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</si>
  <si>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</si>
  <si>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</si>
  <si>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</si>
  <si>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</si>
  <si>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</si>
  <si>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</si>
  <si>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</si>
  <si>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</si>
  <si>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</si>
  <si>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</si>
  <si>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</si>
  <si>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Height is the vertical distance above the surface. 'Canopy' means the plant or vegetation canopy.</t>
  </si>
  <si>
    <t>nVeg</t>
  </si>
  <si>
    <t>Nitrogen Mass in Vegetation</t>
  </si>
  <si>
    <t>nSoil</t>
  </si>
  <si>
    <t>Nitrogen Mass in Soil Pool</t>
  </si>
  <si>
    <t>fNgas</t>
  </si>
  <si>
    <t>Total Nitrogen lost to the atmosphere (sum of NHx, NOx, N2O, N2)</t>
  </si>
  <si>
    <t>hcont300</t>
  </si>
  <si>
    <t>Heat content of upper 300 meters</t>
  </si>
  <si>
    <t>thetaot</t>
  </si>
  <si>
    <t>Vertically Averaged Sea Water Potential Temperature</t>
  </si>
  <si>
    <t>Vertical average of the sea water potential temperature through the whole ocean depth</t>
  </si>
  <si>
    <t>od550aerso</t>
  </si>
  <si>
    <t>Stratospheric Optical depth at 550 nm (all aerosols) 2D-field (here we limit the computation of OD to the stratosphere only)</t>
  </si>
  <si>
    <t>Determined by CMIP6 stratospheric aerosol forcing data set</t>
  </si>
  <si>
    <t>From tropopause to stratopause as defined by the model</t>
  </si>
  <si>
    <t>GeoMIP,PMIP</t>
  </si>
  <si>
    <t>depdust</t>
  </si>
  <si>
    <t>Total Deposition Rate of Dust</t>
  </si>
  <si>
    <t>Balkanski - LSCE</t>
  </si>
  <si>
    <t>sedustCI</t>
  </si>
  <si>
    <t>Sedimentation Flux of dust mode coarse insoluble</t>
  </si>
  <si>
    <t>md</t>
  </si>
  <si>
    <t>Wet diameter mode coarse insoluble</t>
  </si>
  <si>
    <t>concdust</t>
  </si>
  <si>
    <t>Concentration of Dust</t>
  </si>
  <si>
    <t>ImonAnt</t>
  </si>
  <si>
    <t>xant yant time</t>
  </si>
  <si>
    <t>Lmon</t>
  </si>
  <si>
    <t>prveg</t>
  </si>
  <si>
    <t>Precipitation onto Canopy</t>
  </si>
  <si>
    <t>The precipitation flux that is intercepted by the vegetation canopy (if present in model) before reaching the ground.</t>
  </si>
  <si>
    <t>AerChemMIP,C4MIP,CFMIP,CMIP,FAFMIP,GMMIP,GeoMIP,HighResMIP,LS3MIP,LUMIP,RFMIP,VIACSAB,VolMIP</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</si>
  <si>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</si>
  <si>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</si>
  <si>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</si>
  <si>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</si>
  <si>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</si>
  <si>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</si>
  <si>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</si>
  <si>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</si>
  <si>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</si>
  <si>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</si>
  <si>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AerChemMIP,C4MIP,CMIP,DCPP,FAFMIP,GMMIP,GeoMIP,HighResMIP,LS3MIP,LUMIP,PMIP,RFMIP,VIACSAB,VolMIP</t>
  </si>
  <si>
    <t>AerChemMIP,C4MIP,CMIP,DAMIP,DCPP,FAFMIP,GMMIP,GeoMIP,HighResMIP,LS3MIP,LUMIP,PMIP,RFMIP,VIACSAB,VolMIP</t>
  </si>
  <si>
    <t>npp</t>
  </si>
  <si>
    <t>Carbon Mass Flux out of Atmosphere due to Net Primary Production on Land</t>
  </si>
  <si>
    <t>fFire</t>
  </si>
  <si>
    <t>Carbon Mass Flux into Atmosphere due to CO2 Emission from Fire</t>
  </si>
  <si>
    <t>Available in LPJ-GUESS, but the field will be the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</si>
  <si>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</si>
  <si>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AerChemMIP,CMIP,FAFMIP,GMMIP,GeoMIP,HighResMIP,LS3MIP,PMIP,RFMIP,VIACSAB,VolMIP</t>
  </si>
  <si>
    <t>fGrazing</t>
  </si>
  <si>
    <t>Carbon Mass Flux into Atmosphere due to Grazing on Land</t>
  </si>
  <si>
    <t>Carbon mass flux per unit area due to grazing on land</t>
  </si>
  <si>
    <t>AerChemMIP,CMIP,FAFMIP,GMMIP,GeoMIP,HighResMIP,LS3MIP,RFMIP,VIACSAB,VolMIP</t>
  </si>
  <si>
    <t>fHarvest</t>
  </si>
  <si>
    <t>Carbon Mass Flux into Atmosphere due to Crop Harvesting</t>
  </si>
  <si>
    <t>Available in LPJ-GUESS, but the field will be the same as fHarvestToAtmos</t>
  </si>
  <si>
    <t>Carbon mass flux per unit area due to crop harvesting</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</si>
  <si>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</si>
  <si>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</si>
  <si>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</si>
  <si>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AerChemMIP,CMIP,DCPP,FAFMIP,GMMIP,GeoMIP,HighResMIP,LS3MIP,PMIP,RFMIP,VIACSAB,VolMIP</t>
  </si>
  <si>
    <t>fVegLitter</t>
  </si>
  <si>
    <t>Total Carbon Mass Flux from Vegetation to Litter</t>
  </si>
  <si>
    <t>AerChemMIP,C4MIP,CMIP,FAFMIP,GMMIP,GeoMIP,HighResMIP,LS3MIP,LUMIP,PMIP,RFMIP,VIACSAB,VolMIP</t>
  </si>
  <si>
    <t>fLitterSoil</t>
  </si>
  <si>
    <t>Total Carbon Mass Flux from Litter to Soil</t>
  </si>
  <si>
    <t>Carbon mass flux per unit area into soil from litter (dead plant material in or above the soil).</t>
  </si>
  <si>
    <t>cLeaf</t>
  </si>
  <si>
    <t>Carbon Mass in Leaves</t>
  </si>
  <si>
    <t>Carbon mass per unit area in leaves.</t>
  </si>
  <si>
    <t>AerChemMIP,C4MIP,CMIP,FAFMIP,GMMIP,GeoMIP,HighResMIP,LS3MIP,LUMIP,RFMIP,VIACSAB,VolMIP</t>
  </si>
  <si>
    <t>cRoot</t>
  </si>
  <si>
    <t>Carbon Mass in Roots</t>
  </si>
  <si>
    <t>Carbon mass per unit area in roots, including fine and coarse roots.</t>
  </si>
  <si>
    <t>cCwd</t>
  </si>
  <si>
    <t>Available in LPJ-GUESS, but the field will be the same as cLitterCwd</t>
  </si>
  <si>
    <t>Carbon mass per unit area in woody debris (dead organic matter composed of coarse wood.  It is distinct from litter)</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</si>
  <si>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</si>
  <si>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</si>
  <si>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</si>
  <si>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</si>
  <si>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</si>
  <si>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</si>
  <si>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</si>
  <si>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</si>
  <si>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</si>
  <si>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</si>
  <si>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</si>
  <si>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</si>
  <si>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</si>
  <si>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</si>
  <si>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</si>
  <si>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rGrowth</t>
  </si>
  <si>
    <t>Carbon Mass Flux into Atmosphere due to Growth Autotrophic Respiration on Land</t>
  </si>
  <si>
    <t>Available in LPJ-GUESS, but the field will be the same as raOther</t>
  </si>
  <si>
    <t>rMaint</t>
  </si>
  <si>
    <t>Carbon Mass Flux into Atmosphere due to Maintenance Autotrophic Respiration on Land</t>
  </si>
  <si>
    <t>Available in LPJ-GUESS, but the field will be the same as 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</si>
</sst>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702"/>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HYPERLINK("http://clipc-services.ceda.ac.uk/dreq/u/590e5de4-9e49-11e5-803c-0d0b866b59f3.html","web")</f>
        <v>0</v>
      </c>
      <c r="G3" t="s">
        <v>15</v>
      </c>
      <c r="H3" t="s">
        <v>16</v>
      </c>
      <c r="I3" t="s">
        <v>17</v>
      </c>
      <c r="J3" t="s">
        <v>18</v>
      </c>
    </row>
    <row r="4" spans="1:10">
      <c r="A4" t="s">
        <v>10</v>
      </c>
      <c r="B4" t="s">
        <v>19</v>
      </c>
      <c r="C4" t="s">
        <v>12</v>
      </c>
      <c r="D4" t="s">
        <v>20</v>
      </c>
      <c r="E4" t="s">
        <v>21</v>
      </c>
      <c r="F4">
        <f>HYPERLINK("http://clipc-services.ceda.ac.uk/dreq/u/7124926c-c7b6-11e6-bb2a-ac72891c3257.html","web")</f>
        <v>0</v>
      </c>
      <c r="G4" t="s">
        <v>22</v>
      </c>
      <c r="H4" t="s">
        <v>23</v>
      </c>
      <c r="I4" t="s">
        <v>24</v>
      </c>
      <c r="J4" t="s">
        <v>25</v>
      </c>
    </row>
    <row r="5" spans="1:10">
      <c r="A5" t="s">
        <v>10</v>
      </c>
      <c r="B5" t="s">
        <v>26</v>
      </c>
      <c r="C5" t="s">
        <v>12</v>
      </c>
      <c r="D5" t="s">
        <v>20</v>
      </c>
      <c r="E5" t="s">
        <v>27</v>
      </c>
      <c r="F5">
        <f>HYPERLINK("http://clipc-services.ceda.ac.uk/dreq/u/7124a0cc-c7b6-11e6-bb2a-ac72891c3257.html","web")</f>
        <v>0</v>
      </c>
      <c r="G5" t="s">
        <v>28</v>
      </c>
      <c r="H5" t="s">
        <v>23</v>
      </c>
      <c r="I5" t="s">
        <v>29</v>
      </c>
      <c r="J5" t="s">
        <v>25</v>
      </c>
    </row>
    <row r="6" spans="1:10">
      <c r="A6" t="s">
        <v>10</v>
      </c>
      <c r="B6" t="s">
        <v>30</v>
      </c>
      <c r="C6" t="s">
        <v>12</v>
      </c>
      <c r="D6" t="s">
        <v>20</v>
      </c>
      <c r="E6" t="s">
        <v>31</v>
      </c>
      <c r="F6">
        <f>HYPERLINK("http://clipc-services.ceda.ac.uk/dreq/u/f8dde114-11ed-11e7-bf88-ac72891c3257.html","web")</f>
        <v>0</v>
      </c>
      <c r="G6" t="s">
        <v>32</v>
      </c>
      <c r="H6" t="s">
        <v>23</v>
      </c>
      <c r="I6" t="s">
        <v>33</v>
      </c>
      <c r="J6" t="s">
        <v>25</v>
      </c>
    </row>
    <row r="7" spans="1:10">
      <c r="A7" t="s">
        <v>10</v>
      </c>
      <c r="B7" t="s">
        <v>34</v>
      </c>
      <c r="C7" t="s">
        <v>12</v>
      </c>
      <c r="D7" t="s">
        <v>20</v>
      </c>
      <c r="E7" t="s">
        <v>35</v>
      </c>
      <c r="F7">
        <f>HYPERLINK("http://clipc-services.ceda.ac.uk/dreq/u/71248dd0-c7b6-11e6-bb2a-ac72891c3257.html","web")</f>
        <v>0</v>
      </c>
      <c r="G7" t="s">
        <v>36</v>
      </c>
      <c r="H7" t="s">
        <v>23</v>
      </c>
      <c r="I7" t="s">
        <v>33</v>
      </c>
      <c r="J7" t="s">
        <v>25</v>
      </c>
    </row>
    <row r="8" spans="1:10">
      <c r="A8" t="s">
        <v>10</v>
      </c>
      <c r="B8" t="s">
        <v>37</v>
      </c>
      <c r="C8" t="s">
        <v>12</v>
      </c>
      <c r="D8" t="s">
        <v>20</v>
      </c>
      <c r="E8" t="s">
        <v>38</v>
      </c>
      <c r="F8">
        <f>HYPERLINK("http://clipc-services.ceda.ac.uk/dreq/u/7124a324-c7b6-11e6-bb2a-ac72891c3257.html","web")</f>
        <v>0</v>
      </c>
      <c r="G8" t="s">
        <v>39</v>
      </c>
      <c r="H8" t="s">
        <v>23</v>
      </c>
      <c r="I8" t="s">
        <v>33</v>
      </c>
      <c r="J8" t="s">
        <v>25</v>
      </c>
    </row>
    <row r="9" spans="1:10">
      <c r="A9" t="s">
        <v>10</v>
      </c>
      <c r="B9" t="s">
        <v>40</v>
      </c>
      <c r="C9" t="s">
        <v>12</v>
      </c>
      <c r="D9" t="s">
        <v>20</v>
      </c>
      <c r="E9" t="s">
        <v>41</v>
      </c>
      <c r="F9">
        <f>HYPERLINK("http://clipc-services.ceda.ac.uk/dreq/u/7124996a-c7b6-11e6-bb2a-ac72891c3257.html","web")</f>
        <v>0</v>
      </c>
      <c r="G9" t="s">
        <v>42</v>
      </c>
      <c r="H9" t="s">
        <v>23</v>
      </c>
      <c r="I9" t="s">
        <v>43</v>
      </c>
      <c r="J9" t="s">
        <v>25</v>
      </c>
    </row>
    <row r="10" spans="1:10">
      <c r="A10" t="s">
        <v>10</v>
      </c>
      <c r="B10" t="s">
        <v>44</v>
      </c>
      <c r="C10" t="s">
        <v>12</v>
      </c>
      <c r="D10" t="s">
        <v>20</v>
      </c>
      <c r="E10" t="s">
        <v>45</v>
      </c>
      <c r="F10">
        <f>HYPERLINK("http://clipc-services.ceda.ac.uk/dreq/u/71249bb8-c7b6-11e6-bb2a-ac72891c3257.html","web")</f>
        <v>0</v>
      </c>
      <c r="G10" t="s">
        <v>46</v>
      </c>
      <c r="H10" t="s">
        <v>23</v>
      </c>
      <c r="J10" t="s">
        <v>25</v>
      </c>
    </row>
    <row r="11" spans="1:10">
      <c r="A11" t="s">
        <v>10</v>
      </c>
      <c r="B11" t="s">
        <v>47</v>
      </c>
      <c r="C11" t="s">
        <v>12</v>
      </c>
      <c r="D11" t="s">
        <v>20</v>
      </c>
      <c r="E11" t="s">
        <v>48</v>
      </c>
      <c r="F11">
        <f>HYPERLINK("http://clipc-services.ceda.ac.uk/dreq/u/7124901e-c7b6-11e6-bb2a-ac72891c3257.html","web")</f>
        <v>0</v>
      </c>
      <c r="G11" t="s">
        <v>49</v>
      </c>
      <c r="H11" t="s">
        <v>50</v>
      </c>
      <c r="I11" t="s">
        <v>51</v>
      </c>
      <c r="J11" t="s">
        <v>25</v>
      </c>
    </row>
    <row r="13" spans="1:10">
      <c r="A13" t="s">
        <v>52</v>
      </c>
      <c r="B13" t="s">
        <v>53</v>
      </c>
      <c r="C13" t="s">
        <v>54</v>
      </c>
      <c r="D13" t="s">
        <v>55</v>
      </c>
      <c r="E13" t="s">
        <v>56</v>
      </c>
      <c r="F13">
        <f>HYPERLINK("http://clipc-services.ceda.ac.uk/dreq/u/1c757370cf83e5619efc0de4d1241f47.html","web")</f>
        <v>0</v>
      </c>
      <c r="G13" t="s">
        <v>57</v>
      </c>
      <c r="H13" t="s">
        <v>58</v>
      </c>
      <c r="I13" t="s">
        <v>59</v>
      </c>
      <c r="J13" t="s">
        <v>60</v>
      </c>
    </row>
    <row r="14" spans="1:10">
      <c r="A14" t="s">
        <v>52</v>
      </c>
      <c r="B14" t="s">
        <v>61</v>
      </c>
      <c r="C14" t="s">
        <v>54</v>
      </c>
      <c r="D14" t="s">
        <v>55</v>
      </c>
      <c r="E14" t="s">
        <v>62</v>
      </c>
      <c r="F14">
        <f>HYPERLINK("http://clipc-services.ceda.ac.uk/dreq/u/314e3eb73c9ccbdd132899317d87d856.html","web")</f>
        <v>0</v>
      </c>
      <c r="G14" t="s">
        <v>57</v>
      </c>
      <c r="H14" t="s">
        <v>58</v>
      </c>
      <c r="I14" t="s">
        <v>63</v>
      </c>
      <c r="J14" t="s">
        <v>60</v>
      </c>
    </row>
    <row r="15" spans="1:10">
      <c r="A15" t="s">
        <v>52</v>
      </c>
      <c r="B15" t="s">
        <v>64</v>
      </c>
      <c r="C15" t="s">
        <v>54</v>
      </c>
      <c r="D15" t="s">
        <v>55</v>
      </c>
      <c r="E15" t="s">
        <v>65</v>
      </c>
      <c r="F15">
        <f>HYPERLINK("http://clipc-services.ceda.ac.uk/dreq/u/d4eb6956-b00f-11e6-a1f0-ac72891c3257.html","web")</f>
        <v>0</v>
      </c>
      <c r="G15" t="s">
        <v>57</v>
      </c>
      <c r="H15" t="s">
        <v>58</v>
      </c>
      <c r="J15" t="s">
        <v>66</v>
      </c>
    </row>
    <row r="16" spans="1:10">
      <c r="A16" t="s">
        <v>52</v>
      </c>
      <c r="B16" t="s">
        <v>67</v>
      </c>
      <c r="C16" t="s">
        <v>12</v>
      </c>
      <c r="D16" t="s">
        <v>55</v>
      </c>
      <c r="E16" t="s">
        <v>68</v>
      </c>
      <c r="F16">
        <f>HYPERLINK("http://clipc-services.ceda.ac.uk/dreq/u/5f8dc9362d17e2daa42dd6f0f38afb76.html","web")</f>
        <v>0</v>
      </c>
      <c r="G16" t="s">
        <v>57</v>
      </c>
      <c r="H16" t="s">
        <v>58</v>
      </c>
      <c r="J16" t="s">
        <v>69</v>
      </c>
    </row>
    <row r="18" spans="1:10">
      <c r="A18" t="s">
        <v>70</v>
      </c>
      <c r="B18" t="s">
        <v>71</v>
      </c>
      <c r="C18" t="s">
        <v>12</v>
      </c>
      <c r="D18" t="s">
        <v>72</v>
      </c>
      <c r="E18" t="s">
        <v>73</v>
      </c>
      <c r="F18">
        <f>HYPERLINK("http://clipc-services.ceda.ac.uk/dreq/u/be9cffbb781e32b0bc311b22fa5c0322.html","web")</f>
        <v>0</v>
      </c>
      <c r="G18" t="s">
        <v>74</v>
      </c>
      <c r="H18" t="s">
        <v>75</v>
      </c>
      <c r="I18" t="s">
        <v>76</v>
      </c>
      <c r="J18" t="s">
        <v>77</v>
      </c>
    </row>
    <row r="20" spans="1:10">
      <c r="A20" t="s">
        <v>78</v>
      </c>
      <c r="B20" t="s">
        <v>79</v>
      </c>
      <c r="C20" t="s">
        <v>12</v>
      </c>
      <c r="D20" t="s">
        <v>80</v>
      </c>
      <c r="E20" t="s">
        <v>81</v>
      </c>
      <c r="F20">
        <f>HYPERLINK("http://clipc-services.ceda.ac.uk/dreq/u/e9b495e2-5989-11e6-a4be-ac72891c3257.html","web")</f>
        <v>0</v>
      </c>
      <c r="G20" t="s">
        <v>82</v>
      </c>
      <c r="H20" t="s">
        <v>16</v>
      </c>
      <c r="I20" t="s">
        <v>83</v>
      </c>
      <c r="J20" t="s">
        <v>18</v>
      </c>
    </row>
    <row r="22" spans="1:10">
      <c r="A22" t="s">
        <v>84</v>
      </c>
      <c r="B22" t="s">
        <v>85</v>
      </c>
      <c r="C22" t="s">
        <v>86</v>
      </c>
      <c r="D22" t="s">
        <v>87</v>
      </c>
      <c r="E22" t="s">
        <v>88</v>
      </c>
      <c r="F22">
        <f>HYPERLINK("http://clipc-services.ceda.ac.uk/dreq/u/42625c97b8fe75124a345962c4430982.html","web")</f>
        <v>0</v>
      </c>
      <c r="G22" t="s">
        <v>57</v>
      </c>
      <c r="H22" t="s">
        <v>58</v>
      </c>
      <c r="I22" t="s">
        <v>89</v>
      </c>
      <c r="J22" t="s">
        <v>90</v>
      </c>
    </row>
    <row r="23" spans="1:10">
      <c r="A23" t="s">
        <v>84</v>
      </c>
      <c r="B23" t="s">
        <v>91</v>
      </c>
      <c r="C23" t="s">
        <v>12</v>
      </c>
      <c r="D23" t="s">
        <v>87</v>
      </c>
      <c r="E23" t="s">
        <v>92</v>
      </c>
      <c r="F23">
        <f>HYPERLINK("http://clipc-services.ceda.ac.uk/dreq/u/3ab8e10027d7014f18f9391890369235.html","web")</f>
        <v>0</v>
      </c>
      <c r="G23" t="s">
        <v>57</v>
      </c>
      <c r="H23" t="s">
        <v>58</v>
      </c>
      <c r="I23" t="s">
        <v>93</v>
      </c>
      <c r="J23" t="s">
        <v>90</v>
      </c>
    </row>
    <row r="24" spans="1:10">
      <c r="A24" t="s">
        <v>84</v>
      </c>
      <c r="B24" t="s">
        <v>94</v>
      </c>
      <c r="C24" t="s">
        <v>54</v>
      </c>
      <c r="D24" t="s">
        <v>55</v>
      </c>
      <c r="E24" t="s">
        <v>95</v>
      </c>
      <c r="F24">
        <f>HYPERLINK("http://clipc-services.ceda.ac.uk/dreq/u/180d4bd9a18a9d5ecf3d45690b8e9c75.html","web")</f>
        <v>0</v>
      </c>
      <c r="G24" t="s">
        <v>57</v>
      </c>
      <c r="H24" t="s">
        <v>58</v>
      </c>
      <c r="I24" t="s">
        <v>96</v>
      </c>
      <c r="J24" t="s">
        <v>90</v>
      </c>
    </row>
    <row r="25" spans="1:10">
      <c r="A25" t="s">
        <v>84</v>
      </c>
      <c r="B25" t="s">
        <v>97</v>
      </c>
      <c r="C25" t="s">
        <v>86</v>
      </c>
      <c r="D25" t="s">
        <v>87</v>
      </c>
      <c r="E25" t="s">
        <v>98</v>
      </c>
      <c r="F25">
        <f>HYPERLINK("http://clipc-services.ceda.ac.uk/dreq/u/54eb2f6651441ff52f9aea4d43a83024.html","web")</f>
        <v>0</v>
      </c>
      <c r="G25" t="s">
        <v>57</v>
      </c>
      <c r="H25" t="s">
        <v>58</v>
      </c>
      <c r="I25" t="s">
        <v>99</v>
      </c>
      <c r="J25" t="s">
        <v>100</v>
      </c>
    </row>
    <row r="26" spans="1:10">
      <c r="A26" t="s">
        <v>84</v>
      </c>
      <c r="B26" t="s">
        <v>101</v>
      </c>
      <c r="C26" t="s">
        <v>54</v>
      </c>
      <c r="D26" t="s">
        <v>87</v>
      </c>
      <c r="E26" t="s">
        <v>102</v>
      </c>
      <c r="F26">
        <f>HYPERLINK("http://clipc-services.ceda.ac.uk/dreq/u/c4c0cce59536f11df06a045fa8d0c091.html","web")</f>
        <v>0</v>
      </c>
      <c r="G26" t="s">
        <v>57</v>
      </c>
      <c r="H26" t="s">
        <v>58</v>
      </c>
      <c r="I26" t="s">
        <v>103</v>
      </c>
      <c r="J26" t="s">
        <v>104</v>
      </c>
    </row>
    <row r="27" spans="1:10">
      <c r="A27" t="s">
        <v>84</v>
      </c>
      <c r="B27" t="s">
        <v>105</v>
      </c>
      <c r="C27" t="s">
        <v>54</v>
      </c>
      <c r="D27" t="s">
        <v>87</v>
      </c>
      <c r="E27" t="s">
        <v>106</v>
      </c>
      <c r="F27">
        <f>HYPERLINK("http://clipc-services.ceda.ac.uk/dreq/u/479c5de8-12cc-11e6-b2bc-ac72891c3257.html","web")</f>
        <v>0</v>
      </c>
      <c r="G27" t="s">
        <v>57</v>
      </c>
      <c r="H27" t="s">
        <v>58</v>
      </c>
      <c r="I27" t="s">
        <v>107</v>
      </c>
      <c r="J27" t="s">
        <v>104</v>
      </c>
    </row>
    <row r="28" spans="1:10">
      <c r="A28" t="s">
        <v>84</v>
      </c>
      <c r="B28" t="s">
        <v>108</v>
      </c>
      <c r="C28" t="s">
        <v>54</v>
      </c>
      <c r="D28" t="s">
        <v>87</v>
      </c>
      <c r="E28" t="s">
        <v>109</v>
      </c>
      <c r="F28">
        <f>HYPERLINK("http://clipc-services.ceda.ac.uk/dreq/u/c172481027367670eaf1e53fb8d2e841.html","web")</f>
        <v>0</v>
      </c>
      <c r="G28" t="s">
        <v>57</v>
      </c>
      <c r="H28" t="s">
        <v>58</v>
      </c>
      <c r="I28" t="s">
        <v>110</v>
      </c>
      <c r="J28" t="s">
        <v>104</v>
      </c>
    </row>
    <row r="29" spans="1:10">
      <c r="A29" t="s">
        <v>84</v>
      </c>
      <c r="B29" t="s">
        <v>111</v>
      </c>
      <c r="C29" t="s">
        <v>54</v>
      </c>
      <c r="D29" t="s">
        <v>87</v>
      </c>
      <c r="E29" t="s">
        <v>112</v>
      </c>
      <c r="F29">
        <f>HYPERLINK("http://clipc-services.ceda.ac.uk/dreq/u/7c5c71f969a6318b3fa5ff2875272caf.html","web")</f>
        <v>0</v>
      </c>
      <c r="G29" t="s">
        <v>57</v>
      </c>
      <c r="H29" t="s">
        <v>58</v>
      </c>
      <c r="I29" t="s">
        <v>113</v>
      </c>
      <c r="J29" t="s">
        <v>104</v>
      </c>
    </row>
    <row r="30" spans="1:10">
      <c r="A30" t="s">
        <v>84</v>
      </c>
      <c r="B30" t="s">
        <v>114</v>
      </c>
      <c r="C30" t="s">
        <v>54</v>
      </c>
      <c r="D30" t="s">
        <v>87</v>
      </c>
      <c r="E30" t="s">
        <v>115</v>
      </c>
      <c r="F30">
        <f>HYPERLINK("http://clipc-services.ceda.ac.uk/dreq/u/c4b3f6005f73f2fc2d0e348fdff3c2bc.html","web")</f>
        <v>0</v>
      </c>
      <c r="G30" t="s">
        <v>57</v>
      </c>
      <c r="H30" t="s">
        <v>58</v>
      </c>
      <c r="I30" t="s">
        <v>116</v>
      </c>
      <c r="J30" t="s">
        <v>104</v>
      </c>
    </row>
    <row r="31" spans="1:10">
      <c r="A31" t="s">
        <v>84</v>
      </c>
      <c r="B31" t="s">
        <v>117</v>
      </c>
      <c r="C31" t="s">
        <v>54</v>
      </c>
      <c r="D31" t="s">
        <v>87</v>
      </c>
      <c r="E31" t="s">
        <v>118</v>
      </c>
      <c r="F31">
        <f>HYPERLINK("http://clipc-services.ceda.ac.uk/dreq/u/14d70240caeb3a95922af16eca2d497b.html","web")</f>
        <v>0</v>
      </c>
      <c r="G31" t="s">
        <v>57</v>
      </c>
      <c r="H31" t="s">
        <v>58</v>
      </c>
      <c r="I31" t="s">
        <v>119</v>
      </c>
      <c r="J31" t="s">
        <v>104</v>
      </c>
    </row>
    <row r="32" spans="1:10">
      <c r="A32" t="s">
        <v>84</v>
      </c>
      <c r="B32" t="s">
        <v>120</v>
      </c>
      <c r="C32" t="s">
        <v>54</v>
      </c>
      <c r="D32" t="s">
        <v>87</v>
      </c>
      <c r="E32" t="s">
        <v>121</v>
      </c>
      <c r="F32">
        <f>HYPERLINK("http://clipc-services.ceda.ac.uk/dreq/u/4f1bd1a2-12cc-11e6-b2bc-ac72891c3257.html","web")</f>
        <v>0</v>
      </c>
      <c r="G32" t="s">
        <v>57</v>
      </c>
      <c r="H32" t="s">
        <v>58</v>
      </c>
      <c r="I32" t="s">
        <v>122</v>
      </c>
      <c r="J32" t="s">
        <v>104</v>
      </c>
    </row>
    <row r="33" spans="1:10">
      <c r="A33" t="s">
        <v>84</v>
      </c>
      <c r="B33" t="s">
        <v>123</v>
      </c>
      <c r="C33" t="s">
        <v>54</v>
      </c>
      <c r="D33" t="s">
        <v>87</v>
      </c>
      <c r="E33" t="s">
        <v>124</v>
      </c>
      <c r="F33">
        <f>HYPERLINK("http://clipc-services.ceda.ac.uk/dreq/u/f507e49404f47a6255539751483d8bdc.html","web")</f>
        <v>0</v>
      </c>
      <c r="G33" t="s">
        <v>57</v>
      </c>
      <c r="H33" t="s">
        <v>58</v>
      </c>
      <c r="I33" t="s">
        <v>125</v>
      </c>
      <c r="J33" t="s">
        <v>104</v>
      </c>
    </row>
    <row r="34" spans="1:10">
      <c r="A34" t="s">
        <v>84</v>
      </c>
      <c r="B34" t="s">
        <v>126</v>
      </c>
      <c r="C34" t="s">
        <v>54</v>
      </c>
      <c r="D34" t="s">
        <v>87</v>
      </c>
      <c r="E34" t="s">
        <v>127</v>
      </c>
      <c r="F34">
        <f>HYPERLINK("http://clipc-services.ceda.ac.uk/dreq/u/02e08dbdee260db0debd5685cb62934f.html","web")</f>
        <v>0</v>
      </c>
      <c r="G34" t="s">
        <v>57</v>
      </c>
      <c r="H34" t="s">
        <v>58</v>
      </c>
      <c r="I34" t="s">
        <v>128</v>
      </c>
      <c r="J34" t="s">
        <v>104</v>
      </c>
    </row>
    <row r="35" spans="1:10">
      <c r="A35" t="s">
        <v>84</v>
      </c>
      <c r="B35" t="s">
        <v>129</v>
      </c>
      <c r="C35" t="s">
        <v>54</v>
      </c>
      <c r="D35" t="s">
        <v>87</v>
      </c>
      <c r="E35" t="s">
        <v>130</v>
      </c>
      <c r="F35">
        <f>HYPERLINK("http://clipc-services.ceda.ac.uk/dreq/u/a41ce7d71eb9622c88b8f18438cbe36c.html","web")</f>
        <v>0</v>
      </c>
      <c r="G35" t="s">
        <v>57</v>
      </c>
      <c r="H35" t="s">
        <v>58</v>
      </c>
      <c r="I35" t="s">
        <v>131</v>
      </c>
      <c r="J35" t="s">
        <v>104</v>
      </c>
    </row>
    <row r="36" spans="1:10">
      <c r="A36" t="s">
        <v>84</v>
      </c>
      <c r="B36" t="s">
        <v>132</v>
      </c>
      <c r="C36" t="s">
        <v>54</v>
      </c>
      <c r="D36" t="s">
        <v>87</v>
      </c>
      <c r="E36" t="s">
        <v>133</v>
      </c>
      <c r="F36">
        <f>HYPERLINK("http://clipc-services.ceda.ac.uk/dreq/u/120719dde7f96f9bc088acd33b97967f.html","web")</f>
        <v>0</v>
      </c>
      <c r="G36" t="s">
        <v>57</v>
      </c>
      <c r="H36" t="s">
        <v>58</v>
      </c>
      <c r="I36" t="s">
        <v>134</v>
      </c>
      <c r="J36" t="s">
        <v>104</v>
      </c>
    </row>
    <row r="37" spans="1:10">
      <c r="A37" t="s">
        <v>84</v>
      </c>
      <c r="B37" t="s">
        <v>135</v>
      </c>
      <c r="C37" t="s">
        <v>54</v>
      </c>
      <c r="D37" t="s">
        <v>87</v>
      </c>
      <c r="E37" t="s">
        <v>136</v>
      </c>
      <c r="F37">
        <f>HYPERLINK("http://clipc-services.ceda.ac.uk/dreq/u/52b1076476b074a18a91b9da1baa6bc3.html","web")</f>
        <v>0</v>
      </c>
      <c r="G37" t="s">
        <v>57</v>
      </c>
      <c r="H37" t="s">
        <v>58</v>
      </c>
      <c r="I37" t="s">
        <v>137</v>
      </c>
      <c r="J37" t="s">
        <v>104</v>
      </c>
    </row>
    <row r="38" spans="1:10">
      <c r="A38" t="s">
        <v>84</v>
      </c>
      <c r="B38" t="s">
        <v>138</v>
      </c>
      <c r="C38" t="s">
        <v>54</v>
      </c>
      <c r="D38" t="s">
        <v>55</v>
      </c>
      <c r="E38" t="s">
        <v>139</v>
      </c>
      <c r="F38">
        <f>HYPERLINK("http://clipc-services.ceda.ac.uk/dreq/u/dfd869cd3463de6a57b2a9e10605efe7.html","web")</f>
        <v>0</v>
      </c>
      <c r="G38" t="s">
        <v>57</v>
      </c>
      <c r="H38" t="s">
        <v>58</v>
      </c>
      <c r="I38" t="s">
        <v>140</v>
      </c>
      <c r="J38" t="s">
        <v>104</v>
      </c>
    </row>
    <row r="39" spans="1:10">
      <c r="A39" t="s">
        <v>84</v>
      </c>
      <c r="B39" t="s">
        <v>141</v>
      </c>
      <c r="C39" t="s">
        <v>12</v>
      </c>
      <c r="D39" t="s">
        <v>87</v>
      </c>
      <c r="E39" t="s">
        <v>142</v>
      </c>
      <c r="F39">
        <f>HYPERLINK("http://clipc-services.ceda.ac.uk/dreq/u/c2705ac5fb7561a3aa5744c1163bf2d7.html","web")</f>
        <v>0</v>
      </c>
      <c r="G39" t="s">
        <v>57</v>
      </c>
      <c r="H39" t="s">
        <v>58</v>
      </c>
      <c r="I39" t="s">
        <v>143</v>
      </c>
      <c r="J39" t="s">
        <v>100</v>
      </c>
    </row>
    <row r="40" spans="1:10">
      <c r="A40" t="s">
        <v>84</v>
      </c>
      <c r="B40" t="s">
        <v>144</v>
      </c>
      <c r="C40" t="s">
        <v>12</v>
      </c>
      <c r="D40" t="s">
        <v>87</v>
      </c>
      <c r="E40" t="s">
        <v>145</v>
      </c>
      <c r="F40">
        <f>HYPERLINK("http://clipc-services.ceda.ac.uk/dreq/u/96acc3ed79b2bd5e4dbd613a4c27720f.html","web")</f>
        <v>0</v>
      </c>
      <c r="G40" t="s">
        <v>57</v>
      </c>
      <c r="H40" t="s">
        <v>58</v>
      </c>
      <c r="I40" t="s">
        <v>146</v>
      </c>
      <c r="J40" t="s">
        <v>100</v>
      </c>
    </row>
    <row r="41" spans="1:10">
      <c r="A41" t="s">
        <v>84</v>
      </c>
      <c r="B41" t="s">
        <v>147</v>
      </c>
      <c r="C41" t="s">
        <v>12</v>
      </c>
      <c r="D41" t="s">
        <v>87</v>
      </c>
      <c r="E41" t="s">
        <v>148</v>
      </c>
      <c r="F41">
        <f>HYPERLINK("http://clipc-services.ceda.ac.uk/dreq/u/5250c73892803497448e18ba0310c423.html","web")</f>
        <v>0</v>
      </c>
      <c r="G41" t="s">
        <v>57</v>
      </c>
      <c r="H41" t="s">
        <v>58</v>
      </c>
      <c r="I41" t="s">
        <v>149</v>
      </c>
      <c r="J41" t="s">
        <v>100</v>
      </c>
    </row>
    <row r="42" spans="1:10">
      <c r="A42" t="s">
        <v>84</v>
      </c>
      <c r="B42" t="s">
        <v>150</v>
      </c>
      <c r="C42" t="s">
        <v>12</v>
      </c>
      <c r="D42" t="s">
        <v>87</v>
      </c>
      <c r="E42" t="s">
        <v>151</v>
      </c>
      <c r="F42">
        <f>HYPERLINK("http://clipc-services.ceda.ac.uk/dreq/u/56a5fa6dd6b7c4aa711f362d5d5414f6.html","web")</f>
        <v>0</v>
      </c>
      <c r="G42" t="s">
        <v>57</v>
      </c>
      <c r="H42" t="s">
        <v>58</v>
      </c>
      <c r="I42" t="s">
        <v>152</v>
      </c>
      <c r="J42" t="s">
        <v>100</v>
      </c>
    </row>
    <row r="43" spans="1:10">
      <c r="A43" t="s">
        <v>84</v>
      </c>
      <c r="B43" t="s">
        <v>153</v>
      </c>
      <c r="C43" t="s">
        <v>12</v>
      </c>
      <c r="D43" t="s">
        <v>87</v>
      </c>
      <c r="E43" t="s">
        <v>154</v>
      </c>
      <c r="F43">
        <f>HYPERLINK("http://clipc-services.ceda.ac.uk/dreq/u/ab60603d901dfa1c47f4d2fd7784f8ea.html","web")</f>
        <v>0</v>
      </c>
      <c r="G43" t="s">
        <v>57</v>
      </c>
      <c r="H43" t="s">
        <v>58</v>
      </c>
      <c r="I43" t="s">
        <v>155</v>
      </c>
      <c r="J43" t="s">
        <v>100</v>
      </c>
    </row>
    <row r="44" spans="1:10">
      <c r="A44" t="s">
        <v>84</v>
      </c>
      <c r="B44" t="s">
        <v>156</v>
      </c>
      <c r="C44" t="s">
        <v>86</v>
      </c>
      <c r="D44" t="s">
        <v>87</v>
      </c>
      <c r="E44" t="s">
        <v>157</v>
      </c>
      <c r="F44">
        <f>HYPERLINK("http://clipc-services.ceda.ac.uk/dreq/u/c947141b54f1ab48dba4a84cec99c5d3.html","web")</f>
        <v>0</v>
      </c>
      <c r="G44" t="s">
        <v>57</v>
      </c>
      <c r="H44" t="s">
        <v>58</v>
      </c>
      <c r="I44" t="s">
        <v>158</v>
      </c>
      <c r="J44" t="s">
        <v>159</v>
      </c>
    </row>
    <row r="45" spans="1:10">
      <c r="A45" t="s">
        <v>84</v>
      </c>
      <c r="B45" t="s">
        <v>160</v>
      </c>
      <c r="C45" t="s">
        <v>86</v>
      </c>
      <c r="D45" t="s">
        <v>87</v>
      </c>
      <c r="E45" t="s">
        <v>161</v>
      </c>
      <c r="F45">
        <f>HYPERLINK("http://clipc-services.ceda.ac.uk/dreq/u/98fab6148c36b25a158062a11c0c5965.html","web")</f>
        <v>0</v>
      </c>
      <c r="G45" t="s">
        <v>57</v>
      </c>
      <c r="H45" t="s">
        <v>58</v>
      </c>
      <c r="I45" t="s">
        <v>162</v>
      </c>
      <c r="J45" t="s">
        <v>159</v>
      </c>
    </row>
    <row r="46" spans="1:10">
      <c r="A46" t="s">
        <v>84</v>
      </c>
      <c r="B46" t="s">
        <v>163</v>
      </c>
      <c r="C46" t="s">
        <v>86</v>
      </c>
      <c r="D46" t="s">
        <v>87</v>
      </c>
      <c r="E46" t="s">
        <v>164</v>
      </c>
      <c r="F46">
        <f>HYPERLINK("http://clipc-services.ceda.ac.uk/dreq/u/f108633dc7e1585498ceccc06bdfd263.html","web")</f>
        <v>0</v>
      </c>
      <c r="G46" t="s">
        <v>57</v>
      </c>
      <c r="H46" t="s">
        <v>58</v>
      </c>
      <c r="I46" t="s">
        <v>165</v>
      </c>
      <c r="J46" t="s">
        <v>159</v>
      </c>
    </row>
    <row r="47" spans="1:10">
      <c r="A47" t="s">
        <v>84</v>
      </c>
      <c r="B47" t="s">
        <v>166</v>
      </c>
      <c r="C47" t="s">
        <v>86</v>
      </c>
      <c r="D47" t="s">
        <v>87</v>
      </c>
      <c r="E47" t="s">
        <v>167</v>
      </c>
      <c r="F47">
        <f>HYPERLINK("http://clipc-services.ceda.ac.uk/dreq/u/dcd2298237af35be0ed71c92ee9e7e79.html","web")</f>
        <v>0</v>
      </c>
      <c r="G47" t="s">
        <v>57</v>
      </c>
      <c r="H47" t="s">
        <v>58</v>
      </c>
      <c r="I47" t="s">
        <v>168</v>
      </c>
      <c r="J47" t="s">
        <v>159</v>
      </c>
    </row>
    <row r="48" spans="1:10">
      <c r="A48" t="s">
        <v>84</v>
      </c>
      <c r="B48" t="s">
        <v>169</v>
      </c>
      <c r="C48" t="s">
        <v>86</v>
      </c>
      <c r="D48" t="s">
        <v>87</v>
      </c>
      <c r="E48" t="s">
        <v>170</v>
      </c>
      <c r="F48">
        <f>HYPERLINK("http://clipc-services.ceda.ac.uk/dreq/u/87f531b94bd9ca68e33e89d7e3e81be4.html","web")</f>
        <v>0</v>
      </c>
      <c r="G48" t="s">
        <v>57</v>
      </c>
      <c r="H48" t="s">
        <v>58</v>
      </c>
      <c r="I48" t="s">
        <v>171</v>
      </c>
      <c r="J48" t="s">
        <v>159</v>
      </c>
    </row>
    <row r="49" spans="1:10">
      <c r="A49" t="s">
        <v>84</v>
      </c>
      <c r="B49" t="s">
        <v>172</v>
      </c>
      <c r="C49" t="s">
        <v>86</v>
      </c>
      <c r="D49" t="s">
        <v>87</v>
      </c>
      <c r="E49" t="s">
        <v>173</v>
      </c>
      <c r="F49">
        <f>HYPERLINK("http://clipc-services.ceda.ac.uk/dreq/u/6cde3055df67931d84608fc5b7694f65.html","web")</f>
        <v>0</v>
      </c>
      <c r="G49" t="s">
        <v>57</v>
      </c>
      <c r="H49" t="s">
        <v>58</v>
      </c>
      <c r="I49" t="s">
        <v>174</v>
      </c>
      <c r="J49" t="s">
        <v>159</v>
      </c>
    </row>
    <row r="50" spans="1:10">
      <c r="A50" t="s">
        <v>84</v>
      </c>
      <c r="B50" t="s">
        <v>175</v>
      </c>
      <c r="C50" t="s">
        <v>86</v>
      </c>
      <c r="D50" t="s">
        <v>87</v>
      </c>
      <c r="E50" t="s">
        <v>176</v>
      </c>
      <c r="F50">
        <f>HYPERLINK("http://clipc-services.ceda.ac.uk/dreq/u/41cef8aa37d1f0164ae061f293d4361c.html","web")</f>
        <v>0</v>
      </c>
      <c r="G50" t="s">
        <v>57</v>
      </c>
      <c r="H50" t="s">
        <v>58</v>
      </c>
      <c r="I50" t="s">
        <v>177</v>
      </c>
      <c r="J50" t="s">
        <v>100</v>
      </c>
    </row>
    <row r="51" spans="1:10">
      <c r="A51" t="s">
        <v>84</v>
      </c>
      <c r="B51" t="s">
        <v>178</v>
      </c>
      <c r="C51" t="s">
        <v>86</v>
      </c>
      <c r="D51" t="s">
        <v>87</v>
      </c>
      <c r="E51" t="s">
        <v>179</v>
      </c>
      <c r="F51">
        <f>HYPERLINK("http://clipc-services.ceda.ac.uk/dreq/u/a3dd8da8b39dde98682ad859d8f5f5c2.html","web")</f>
        <v>0</v>
      </c>
      <c r="G51" t="s">
        <v>57</v>
      </c>
      <c r="H51" t="s">
        <v>58</v>
      </c>
      <c r="I51" t="s">
        <v>180</v>
      </c>
      <c r="J51" t="s">
        <v>159</v>
      </c>
    </row>
    <row r="52" spans="1:10">
      <c r="A52" t="s">
        <v>84</v>
      </c>
      <c r="B52" t="s">
        <v>181</v>
      </c>
      <c r="C52" t="s">
        <v>86</v>
      </c>
      <c r="D52" t="s">
        <v>87</v>
      </c>
      <c r="E52" t="s">
        <v>182</v>
      </c>
      <c r="F52">
        <f>HYPERLINK("http://clipc-services.ceda.ac.uk/dreq/u/a336fa5c0a328636d04ea8f648dcd7c7.html","web")</f>
        <v>0</v>
      </c>
      <c r="G52" t="s">
        <v>57</v>
      </c>
      <c r="H52" t="s">
        <v>58</v>
      </c>
      <c r="I52" t="s">
        <v>183</v>
      </c>
      <c r="J52" t="s">
        <v>159</v>
      </c>
    </row>
    <row r="53" spans="1:10">
      <c r="A53" t="s">
        <v>84</v>
      </c>
      <c r="B53" t="s">
        <v>184</v>
      </c>
      <c r="C53" t="s">
        <v>86</v>
      </c>
      <c r="D53" t="s">
        <v>87</v>
      </c>
      <c r="E53" t="s">
        <v>185</v>
      </c>
      <c r="F53">
        <f>HYPERLINK("http://clipc-services.ceda.ac.uk/dreq/u/683b8f723c94f4a3b3e65569b975d648.html","web")</f>
        <v>0</v>
      </c>
      <c r="G53" t="s">
        <v>57</v>
      </c>
      <c r="H53" t="s">
        <v>58</v>
      </c>
      <c r="I53" t="s">
        <v>183</v>
      </c>
      <c r="J53" t="s">
        <v>159</v>
      </c>
    </row>
    <row r="54" spans="1:10">
      <c r="A54" t="s">
        <v>84</v>
      </c>
      <c r="B54" t="s">
        <v>186</v>
      </c>
      <c r="C54" t="s">
        <v>86</v>
      </c>
      <c r="D54" t="s">
        <v>87</v>
      </c>
      <c r="E54" t="s">
        <v>187</v>
      </c>
      <c r="F54">
        <f>HYPERLINK("http://clipc-services.ceda.ac.uk/dreq/u/57235dfe47c3e04ac63a3c850ef16458.html","web")</f>
        <v>0</v>
      </c>
      <c r="G54" t="s">
        <v>57</v>
      </c>
      <c r="H54" t="s">
        <v>58</v>
      </c>
      <c r="I54" t="s">
        <v>188</v>
      </c>
      <c r="J54" t="s">
        <v>159</v>
      </c>
    </row>
    <row r="55" spans="1:10">
      <c r="A55" t="s">
        <v>84</v>
      </c>
      <c r="B55" t="s">
        <v>189</v>
      </c>
      <c r="C55" t="s">
        <v>86</v>
      </c>
      <c r="D55" t="s">
        <v>87</v>
      </c>
      <c r="E55" t="s">
        <v>190</v>
      </c>
      <c r="F55">
        <f>HYPERLINK("http://clipc-services.ceda.ac.uk/dreq/u/4f309d6b2d689c19254dccc24c66e32d.html","web")</f>
        <v>0</v>
      </c>
      <c r="G55" t="s">
        <v>57</v>
      </c>
      <c r="H55" t="s">
        <v>58</v>
      </c>
      <c r="I55" t="s">
        <v>191</v>
      </c>
      <c r="J55" t="s">
        <v>100</v>
      </c>
    </row>
    <row r="56" spans="1:10">
      <c r="A56" t="s">
        <v>84</v>
      </c>
      <c r="B56" t="s">
        <v>192</v>
      </c>
      <c r="C56" t="s">
        <v>86</v>
      </c>
      <c r="D56" t="s">
        <v>87</v>
      </c>
      <c r="E56" t="s">
        <v>193</v>
      </c>
      <c r="F56">
        <f>HYPERLINK("http://clipc-services.ceda.ac.uk/dreq/u/6b8715466e3423119e9642776eacb693.html","web")</f>
        <v>0</v>
      </c>
      <c r="G56" t="s">
        <v>57</v>
      </c>
      <c r="H56" t="s">
        <v>58</v>
      </c>
      <c r="I56" t="s">
        <v>194</v>
      </c>
      <c r="J56" t="s">
        <v>195</v>
      </c>
    </row>
    <row r="57" spans="1:10">
      <c r="A57" t="s">
        <v>84</v>
      </c>
      <c r="B57" t="s">
        <v>196</v>
      </c>
      <c r="C57" t="s">
        <v>86</v>
      </c>
      <c r="D57" t="s">
        <v>87</v>
      </c>
      <c r="E57" t="s">
        <v>197</v>
      </c>
      <c r="F57">
        <f>HYPERLINK("http://clipc-services.ceda.ac.uk/dreq/u/d14c09e91e6240dd9097dfad0a1853c8.html","web")</f>
        <v>0</v>
      </c>
      <c r="G57" t="s">
        <v>57</v>
      </c>
      <c r="H57" t="s">
        <v>58</v>
      </c>
      <c r="I57" t="s">
        <v>198</v>
      </c>
      <c r="J57" t="s">
        <v>159</v>
      </c>
    </row>
    <row r="58" spans="1:10">
      <c r="A58" t="s">
        <v>84</v>
      </c>
      <c r="B58" t="s">
        <v>199</v>
      </c>
      <c r="C58" t="s">
        <v>54</v>
      </c>
      <c r="D58" t="s">
        <v>87</v>
      </c>
      <c r="E58" t="s">
        <v>200</v>
      </c>
      <c r="F58">
        <f>HYPERLINK("http://clipc-services.ceda.ac.uk/dreq/u/28a54e8b5b73c4ae915a82ed99c74459.html","web")</f>
        <v>0</v>
      </c>
      <c r="G58" t="s">
        <v>57</v>
      </c>
      <c r="H58" t="s">
        <v>58</v>
      </c>
      <c r="I58" t="s">
        <v>194</v>
      </c>
      <c r="J58" t="s">
        <v>159</v>
      </c>
    </row>
    <row r="59" spans="1:10">
      <c r="A59" t="s">
        <v>84</v>
      </c>
      <c r="B59" t="s">
        <v>201</v>
      </c>
      <c r="C59" t="s">
        <v>12</v>
      </c>
      <c r="D59" t="s">
        <v>55</v>
      </c>
      <c r="E59" t="s">
        <v>202</v>
      </c>
      <c r="F59">
        <f>HYPERLINK("http://clipc-services.ceda.ac.uk/dreq/u/f64c4ac230024801b1f140d806a00972.html","web")</f>
        <v>0</v>
      </c>
      <c r="G59" t="s">
        <v>57</v>
      </c>
      <c r="H59" t="s">
        <v>58</v>
      </c>
      <c r="I59" t="s">
        <v>203</v>
      </c>
      <c r="J59" t="s">
        <v>90</v>
      </c>
    </row>
    <row r="61" spans="1:10">
      <c r="A61" t="s">
        <v>204</v>
      </c>
      <c r="B61" t="s">
        <v>205</v>
      </c>
      <c r="C61" t="s">
        <v>12</v>
      </c>
      <c r="D61" t="s">
        <v>206</v>
      </c>
      <c r="E61" t="s">
        <v>207</v>
      </c>
      <c r="F61">
        <f>HYPERLINK("http://clipc-services.ceda.ac.uk/dreq/u/5912cab4-9e49-11e5-803c-0d0b866b59f3.html","web")</f>
        <v>0</v>
      </c>
      <c r="G61" t="s">
        <v>208</v>
      </c>
      <c r="H61" t="s">
        <v>209</v>
      </c>
      <c r="I61" t="s">
        <v>210</v>
      </c>
      <c r="J61" t="s">
        <v>18</v>
      </c>
    </row>
    <row r="62" spans="1:10">
      <c r="A62" t="s">
        <v>204</v>
      </c>
      <c r="B62" t="s">
        <v>211</v>
      </c>
      <c r="C62" t="s">
        <v>12</v>
      </c>
      <c r="D62" t="s">
        <v>206</v>
      </c>
      <c r="E62" t="s">
        <v>212</v>
      </c>
      <c r="F62">
        <f>HYPERLINK("http://clipc-services.ceda.ac.uk/dreq/u/41455e80-4f40-11e6-a814-ac72891c3257.html","web")</f>
        <v>0</v>
      </c>
      <c r="G62" t="s">
        <v>213</v>
      </c>
      <c r="H62" t="s">
        <v>209</v>
      </c>
      <c r="I62" t="s">
        <v>214</v>
      </c>
      <c r="J62" t="s">
        <v>18</v>
      </c>
    </row>
    <row r="64" spans="1:10">
      <c r="A64" t="s">
        <v>215</v>
      </c>
      <c r="B64" t="s">
        <v>216</v>
      </c>
      <c r="C64" t="s">
        <v>12</v>
      </c>
      <c r="D64" t="s">
        <v>55</v>
      </c>
      <c r="E64" t="s">
        <v>217</v>
      </c>
      <c r="F64">
        <f>HYPERLINK("http://clipc-services.ceda.ac.uk/dreq/u/b045cae1f65ba99831648f136b309e91.html","web")</f>
        <v>0</v>
      </c>
      <c r="G64" t="s">
        <v>218</v>
      </c>
      <c r="H64" t="s">
        <v>219</v>
      </c>
      <c r="I64" t="s">
        <v>220</v>
      </c>
      <c r="J64" t="s">
        <v>221</v>
      </c>
    </row>
    <row r="65" spans="1:10">
      <c r="A65" t="s">
        <v>215</v>
      </c>
      <c r="B65" t="s">
        <v>222</v>
      </c>
      <c r="C65" t="s">
        <v>12</v>
      </c>
      <c r="D65" t="s">
        <v>55</v>
      </c>
      <c r="E65" t="s">
        <v>223</v>
      </c>
      <c r="F65">
        <f>HYPERLINK("http://clipc-services.ceda.ac.uk/dreq/u/bb4d31072e09cd4935f1c20a2c533bbd.html","web")</f>
        <v>0</v>
      </c>
      <c r="G65" t="s">
        <v>224</v>
      </c>
      <c r="H65" t="s">
        <v>219</v>
      </c>
      <c r="I65" t="s">
        <v>225</v>
      </c>
      <c r="J65" t="s">
        <v>221</v>
      </c>
    </row>
    <row r="66" spans="1:10">
      <c r="A66" t="s">
        <v>215</v>
      </c>
      <c r="B66" t="s">
        <v>226</v>
      </c>
      <c r="C66" t="s">
        <v>12</v>
      </c>
      <c r="D66" t="s">
        <v>55</v>
      </c>
      <c r="E66" t="s">
        <v>227</v>
      </c>
      <c r="F66">
        <f>HYPERLINK("http://clipc-services.ceda.ac.uk/dreq/u/987be9b68c051baf4f0c5b6e8c26b4d8.html","web")</f>
        <v>0</v>
      </c>
      <c r="G66" t="s">
        <v>228</v>
      </c>
      <c r="H66" t="s">
        <v>219</v>
      </c>
      <c r="I66" t="s">
        <v>229</v>
      </c>
      <c r="J66" t="s">
        <v>221</v>
      </c>
    </row>
    <row r="67" spans="1:10">
      <c r="A67" t="s">
        <v>215</v>
      </c>
      <c r="B67" t="s">
        <v>230</v>
      </c>
      <c r="C67" t="s">
        <v>12</v>
      </c>
      <c r="D67" t="s">
        <v>55</v>
      </c>
      <c r="E67" t="s">
        <v>231</v>
      </c>
      <c r="F67">
        <f>HYPERLINK("http://clipc-services.ceda.ac.uk/dreq/u/ce9ab9b945fcc86013ad10431d8f252e.html","web")</f>
        <v>0</v>
      </c>
      <c r="G67" t="s">
        <v>232</v>
      </c>
      <c r="H67" t="s">
        <v>219</v>
      </c>
      <c r="J67" t="s">
        <v>221</v>
      </c>
    </row>
    <row r="68" spans="1:10">
      <c r="A68" t="s">
        <v>215</v>
      </c>
      <c r="B68" t="s">
        <v>233</v>
      </c>
      <c r="C68" t="s">
        <v>12</v>
      </c>
      <c r="D68" t="s">
        <v>234</v>
      </c>
      <c r="E68" t="s">
        <v>235</v>
      </c>
      <c r="F68">
        <f>HYPERLINK("http://clipc-services.ceda.ac.uk/dreq/u/0bbbf303ac691061a69938846f32b23b.html","web")</f>
        <v>0</v>
      </c>
      <c r="G68" t="s">
        <v>236</v>
      </c>
      <c r="H68" t="s">
        <v>219</v>
      </c>
      <c r="I68" t="s">
        <v>237</v>
      </c>
      <c r="J68" t="s">
        <v>221</v>
      </c>
    </row>
    <row r="69" spans="1:10">
      <c r="A69" t="s">
        <v>215</v>
      </c>
      <c r="B69" t="s">
        <v>238</v>
      </c>
      <c r="C69" t="s">
        <v>12</v>
      </c>
      <c r="D69" t="s">
        <v>239</v>
      </c>
      <c r="E69" t="s">
        <v>240</v>
      </c>
      <c r="F69">
        <f>HYPERLINK("http://clipc-services.ceda.ac.uk/dreq/u/fe9d4b45792f7d6430fe2a9c9b7234b1.html","web")</f>
        <v>0</v>
      </c>
      <c r="G69" t="s">
        <v>241</v>
      </c>
      <c r="H69" t="s">
        <v>219</v>
      </c>
      <c r="I69" t="s">
        <v>242</v>
      </c>
      <c r="J69" t="s">
        <v>221</v>
      </c>
    </row>
    <row r="70" spans="1:10">
      <c r="A70" t="s">
        <v>215</v>
      </c>
      <c r="B70" t="s">
        <v>243</v>
      </c>
      <c r="C70" t="s">
        <v>12</v>
      </c>
      <c r="D70" t="s">
        <v>244</v>
      </c>
      <c r="E70" t="s">
        <v>245</v>
      </c>
      <c r="F70">
        <f>HYPERLINK("http://clipc-services.ceda.ac.uk/dreq/u/7308096ae00ff52340909b2a59415f82.html","web")</f>
        <v>0</v>
      </c>
      <c r="G70" t="s">
        <v>246</v>
      </c>
      <c r="H70" t="s">
        <v>219</v>
      </c>
      <c r="I70" t="s">
        <v>247</v>
      </c>
      <c r="J70" t="s">
        <v>221</v>
      </c>
    </row>
    <row r="71" spans="1:10">
      <c r="A71" t="s">
        <v>215</v>
      </c>
      <c r="B71" t="s">
        <v>248</v>
      </c>
      <c r="C71" t="s">
        <v>12</v>
      </c>
      <c r="D71" t="s">
        <v>249</v>
      </c>
      <c r="E71" t="s">
        <v>250</v>
      </c>
      <c r="F71">
        <f>HYPERLINK("http://clipc-services.ceda.ac.uk/dreq/u/154ab10964742eaff37de9cc5beef39c.html","web")</f>
        <v>0</v>
      </c>
      <c r="G71" t="s">
        <v>74</v>
      </c>
      <c r="H71" t="s">
        <v>75</v>
      </c>
      <c r="I71" t="s">
        <v>251</v>
      </c>
      <c r="J71" t="s">
        <v>221</v>
      </c>
    </row>
    <row r="73" spans="1:10">
      <c r="A73" t="s">
        <v>252</v>
      </c>
      <c r="B73" t="s">
        <v>253</v>
      </c>
      <c r="C73" t="s">
        <v>86</v>
      </c>
      <c r="D73" t="s">
        <v>254</v>
      </c>
      <c r="E73" t="s">
        <v>255</v>
      </c>
      <c r="F73">
        <f>HYPERLINK("http://clipc-services.ceda.ac.uk/dreq/u/d3eb8c36759afa5ef2c8363e0c16db88.html","web")</f>
        <v>0</v>
      </c>
      <c r="G73" t="s">
        <v>256</v>
      </c>
      <c r="H73" t="s">
        <v>257</v>
      </c>
      <c r="I73" t="s">
        <v>258</v>
      </c>
      <c r="J73" t="s">
        <v>259</v>
      </c>
    </row>
    <row r="74" spans="1:10">
      <c r="A74" t="s">
        <v>252</v>
      </c>
      <c r="B74" t="s">
        <v>260</v>
      </c>
      <c r="C74" t="s">
        <v>86</v>
      </c>
      <c r="D74" t="s">
        <v>261</v>
      </c>
      <c r="E74" t="s">
        <v>262</v>
      </c>
      <c r="F74">
        <f>HYPERLINK("http://clipc-services.ceda.ac.uk/dreq/u/f972af18f1817a7bb5f961b534641394.html","web")</f>
        <v>0</v>
      </c>
      <c r="G74" t="s">
        <v>256</v>
      </c>
      <c r="H74" t="s">
        <v>257</v>
      </c>
      <c r="I74" t="s">
        <v>263</v>
      </c>
      <c r="J74" t="s">
        <v>259</v>
      </c>
    </row>
    <row r="75" spans="1:10">
      <c r="A75" t="s">
        <v>252</v>
      </c>
      <c r="B75" t="s">
        <v>264</v>
      </c>
      <c r="C75" t="s">
        <v>86</v>
      </c>
      <c r="D75" t="s">
        <v>265</v>
      </c>
      <c r="E75" t="s">
        <v>266</v>
      </c>
      <c r="F75">
        <f>HYPERLINK("http://clipc-services.ceda.ac.uk/dreq/u/bdb1045bec7f58e9e6221cd39bb34c2f.html","web")</f>
        <v>0</v>
      </c>
      <c r="G75" t="s">
        <v>267</v>
      </c>
      <c r="H75" t="s">
        <v>257</v>
      </c>
      <c r="I75" t="s">
        <v>268</v>
      </c>
      <c r="J75" t="s">
        <v>259</v>
      </c>
    </row>
    <row r="76" spans="1:10">
      <c r="A76" t="s">
        <v>252</v>
      </c>
      <c r="B76" t="s">
        <v>269</v>
      </c>
      <c r="C76" t="s">
        <v>86</v>
      </c>
      <c r="D76" t="s">
        <v>270</v>
      </c>
      <c r="E76" t="s">
        <v>271</v>
      </c>
      <c r="F76">
        <f>HYPERLINK("http://clipc-services.ceda.ac.uk/dreq/u/f730de87987b0357d3954c93c4a0c7f7.html","web")</f>
        <v>0</v>
      </c>
      <c r="G76" t="s">
        <v>256</v>
      </c>
      <c r="H76" t="s">
        <v>257</v>
      </c>
      <c r="I76" t="s">
        <v>272</v>
      </c>
      <c r="J76" t="s">
        <v>259</v>
      </c>
    </row>
    <row r="77" spans="1:10">
      <c r="A77" t="s">
        <v>252</v>
      </c>
      <c r="B77" t="s">
        <v>273</v>
      </c>
      <c r="C77" t="s">
        <v>86</v>
      </c>
      <c r="D77" t="s">
        <v>274</v>
      </c>
      <c r="E77" t="s">
        <v>275</v>
      </c>
      <c r="F77">
        <f>HYPERLINK("http://clipc-services.ceda.ac.uk/dreq/u/590e75c2-9e49-11e5-803c-0d0b866b59f3.html","web")</f>
        <v>0</v>
      </c>
      <c r="G77" t="s">
        <v>256</v>
      </c>
      <c r="H77" t="s">
        <v>257</v>
      </c>
      <c r="I77" t="s">
        <v>276</v>
      </c>
      <c r="J77" t="s">
        <v>259</v>
      </c>
    </row>
    <row r="78" spans="1:10">
      <c r="A78" t="s">
        <v>252</v>
      </c>
      <c r="B78" t="s">
        <v>277</v>
      </c>
      <c r="C78" t="s">
        <v>86</v>
      </c>
      <c r="D78" t="s">
        <v>278</v>
      </c>
      <c r="E78" t="s">
        <v>279</v>
      </c>
      <c r="F78">
        <f>HYPERLINK("http://clipc-services.ceda.ac.uk/dreq/u/9cdb8d54d49e98acadd87e2a1139225e.html","web")</f>
        <v>0</v>
      </c>
      <c r="G78" t="s">
        <v>256</v>
      </c>
      <c r="H78" t="s">
        <v>257</v>
      </c>
      <c r="I78" t="s">
        <v>280</v>
      </c>
      <c r="J78" t="s">
        <v>259</v>
      </c>
    </row>
    <row r="79" spans="1:10">
      <c r="A79" t="s">
        <v>252</v>
      </c>
      <c r="B79" t="s">
        <v>281</v>
      </c>
      <c r="C79" t="s">
        <v>86</v>
      </c>
      <c r="D79" t="s">
        <v>282</v>
      </c>
      <c r="E79" t="s">
        <v>283</v>
      </c>
      <c r="F79">
        <f>HYPERLINK("http://clipc-services.ceda.ac.uk/dreq/u/e1ca31ce340d507b1dce7a537bbef951.html","web")</f>
        <v>0</v>
      </c>
      <c r="G79" t="s">
        <v>256</v>
      </c>
      <c r="H79" t="s">
        <v>257</v>
      </c>
      <c r="I79" t="s">
        <v>284</v>
      </c>
      <c r="J79" t="s">
        <v>259</v>
      </c>
    </row>
    <row r="80" spans="1:10">
      <c r="A80" t="s">
        <v>252</v>
      </c>
      <c r="B80" t="s">
        <v>285</v>
      </c>
      <c r="C80" t="s">
        <v>12</v>
      </c>
      <c r="D80" t="s">
        <v>286</v>
      </c>
      <c r="E80" t="s">
        <v>287</v>
      </c>
      <c r="F80">
        <f>HYPERLINK("http://clipc-services.ceda.ac.uk/dreq/u/590f80d4-9e49-11e5-803c-0d0b866b59f3.html","web")</f>
        <v>0</v>
      </c>
      <c r="G80" t="s">
        <v>256</v>
      </c>
      <c r="H80" t="s">
        <v>257</v>
      </c>
      <c r="I80" t="s">
        <v>288</v>
      </c>
      <c r="J80" t="s">
        <v>289</v>
      </c>
    </row>
    <row r="81" spans="1:10">
      <c r="A81" t="s">
        <v>252</v>
      </c>
      <c r="B81" t="s">
        <v>290</v>
      </c>
      <c r="C81" t="s">
        <v>12</v>
      </c>
      <c r="D81" t="s">
        <v>286</v>
      </c>
      <c r="E81" t="s">
        <v>291</v>
      </c>
      <c r="F81">
        <f>HYPERLINK("http://clipc-services.ceda.ac.uk/dreq/u/590e39fe-9e49-11e5-803c-0d0b866b59f3.html","web")</f>
        <v>0</v>
      </c>
      <c r="G81" t="s">
        <v>256</v>
      </c>
      <c r="H81" t="s">
        <v>257</v>
      </c>
      <c r="I81" t="s">
        <v>288</v>
      </c>
      <c r="J81" t="s">
        <v>289</v>
      </c>
    </row>
    <row r="82" spans="1:10">
      <c r="A82" t="s">
        <v>252</v>
      </c>
      <c r="B82" t="s">
        <v>292</v>
      </c>
      <c r="C82" t="s">
        <v>12</v>
      </c>
      <c r="D82" t="s">
        <v>286</v>
      </c>
      <c r="E82" t="s">
        <v>293</v>
      </c>
      <c r="F82">
        <f>HYPERLINK("http://clipc-services.ceda.ac.uk/dreq/u/5913b280-9e49-11e5-803c-0d0b866b59f3.html","web")</f>
        <v>0</v>
      </c>
      <c r="G82" t="s">
        <v>256</v>
      </c>
      <c r="H82" t="s">
        <v>257</v>
      </c>
      <c r="I82" t="s">
        <v>288</v>
      </c>
      <c r="J82" t="s">
        <v>289</v>
      </c>
    </row>
    <row r="83" spans="1:10">
      <c r="A83" t="s">
        <v>252</v>
      </c>
      <c r="B83" t="s">
        <v>294</v>
      </c>
      <c r="C83" t="s">
        <v>12</v>
      </c>
      <c r="D83" t="s">
        <v>286</v>
      </c>
      <c r="E83" t="s">
        <v>295</v>
      </c>
      <c r="F83">
        <f>HYPERLINK("http://clipc-services.ceda.ac.uk/dreq/u/3f306e18-b89b-11e6-be04-ac72891c3257.html","web")</f>
        <v>0</v>
      </c>
      <c r="G83" t="s">
        <v>256</v>
      </c>
      <c r="H83" t="s">
        <v>257</v>
      </c>
      <c r="I83" t="s">
        <v>296</v>
      </c>
      <c r="J83" t="s">
        <v>289</v>
      </c>
    </row>
    <row r="84" spans="1:10">
      <c r="A84" t="s">
        <v>252</v>
      </c>
      <c r="B84" t="s">
        <v>297</v>
      </c>
      <c r="C84" t="s">
        <v>12</v>
      </c>
      <c r="D84" t="s">
        <v>298</v>
      </c>
      <c r="E84" t="s">
        <v>299</v>
      </c>
      <c r="F84">
        <f>HYPERLINK("http://clipc-services.ceda.ac.uk/dreq/u/6c08493dc9183b6ec7005a6be27f67f1.html","web")</f>
        <v>0</v>
      </c>
      <c r="G84" t="s">
        <v>256</v>
      </c>
      <c r="H84" t="s">
        <v>257</v>
      </c>
      <c r="I84" t="s">
        <v>300</v>
      </c>
      <c r="J84" t="s">
        <v>289</v>
      </c>
    </row>
    <row r="85" spans="1:10">
      <c r="A85" t="s">
        <v>252</v>
      </c>
      <c r="B85" t="s">
        <v>301</v>
      </c>
      <c r="C85" t="s">
        <v>12</v>
      </c>
      <c r="D85" t="s">
        <v>298</v>
      </c>
      <c r="E85" t="s">
        <v>302</v>
      </c>
      <c r="F85">
        <f>HYPERLINK("http://clipc-services.ceda.ac.uk/dreq/u/3434c274f8ad8754f594d2b23c2d37db.html","web")</f>
        <v>0</v>
      </c>
      <c r="G85" t="s">
        <v>256</v>
      </c>
      <c r="H85" t="s">
        <v>257</v>
      </c>
      <c r="I85" t="s">
        <v>303</v>
      </c>
      <c r="J85" t="s">
        <v>289</v>
      </c>
    </row>
    <row r="86" spans="1:10">
      <c r="A86" t="s">
        <v>252</v>
      </c>
      <c r="B86" t="s">
        <v>304</v>
      </c>
      <c r="C86" t="s">
        <v>12</v>
      </c>
      <c r="D86" t="s">
        <v>298</v>
      </c>
      <c r="E86" t="s">
        <v>305</v>
      </c>
      <c r="F86">
        <f>HYPERLINK("http://clipc-services.ceda.ac.uk/dreq/u/ece03799edff3053efe82e9512d55ed9.html","web")</f>
        <v>0</v>
      </c>
      <c r="G86" t="s">
        <v>256</v>
      </c>
      <c r="H86" t="s">
        <v>257</v>
      </c>
      <c r="J86" t="s">
        <v>289</v>
      </c>
    </row>
    <row r="87" spans="1:10">
      <c r="A87" t="s">
        <v>252</v>
      </c>
      <c r="B87" t="s">
        <v>306</v>
      </c>
      <c r="C87" t="s">
        <v>12</v>
      </c>
      <c r="D87" t="s">
        <v>298</v>
      </c>
      <c r="E87" t="s">
        <v>307</v>
      </c>
      <c r="F87">
        <f>HYPERLINK("http://clipc-services.ceda.ac.uk/dreq/u/57c2e414bde585cc60a7b2f980e1f870.html","web")</f>
        <v>0</v>
      </c>
      <c r="G87" t="s">
        <v>256</v>
      </c>
      <c r="H87" t="s">
        <v>257</v>
      </c>
      <c r="I87" t="s">
        <v>308</v>
      </c>
      <c r="J87" t="s">
        <v>289</v>
      </c>
    </row>
    <row r="88" spans="1:10">
      <c r="A88" t="s">
        <v>252</v>
      </c>
      <c r="B88" t="s">
        <v>309</v>
      </c>
      <c r="C88" t="s">
        <v>12</v>
      </c>
      <c r="D88" t="s">
        <v>310</v>
      </c>
      <c r="E88" t="s">
        <v>311</v>
      </c>
      <c r="F88">
        <f>HYPERLINK("http://clipc-services.ceda.ac.uk/dreq/u/5913dbf2-9e49-11e5-803c-0d0b866b59f3.html","web")</f>
        <v>0</v>
      </c>
      <c r="G88" t="s">
        <v>256</v>
      </c>
      <c r="H88" t="s">
        <v>257</v>
      </c>
      <c r="I88" t="s">
        <v>312</v>
      </c>
      <c r="J88" t="s">
        <v>289</v>
      </c>
    </row>
    <row r="89" spans="1:10">
      <c r="A89" t="s">
        <v>252</v>
      </c>
      <c r="B89" t="s">
        <v>313</v>
      </c>
      <c r="C89" t="s">
        <v>12</v>
      </c>
      <c r="D89" t="s">
        <v>310</v>
      </c>
      <c r="E89" t="s">
        <v>314</v>
      </c>
      <c r="F89">
        <f>HYPERLINK("http://clipc-services.ceda.ac.uk/dreq/u/59177b18-9e49-11e5-803c-0d0b866b59f3.html","web")</f>
        <v>0</v>
      </c>
      <c r="G89" t="s">
        <v>256</v>
      </c>
      <c r="H89" t="s">
        <v>257</v>
      </c>
      <c r="I89" t="s">
        <v>312</v>
      </c>
      <c r="J89" t="s">
        <v>289</v>
      </c>
    </row>
    <row r="90" spans="1:10">
      <c r="A90" t="s">
        <v>252</v>
      </c>
      <c r="B90" t="s">
        <v>315</v>
      </c>
      <c r="C90" t="s">
        <v>12</v>
      </c>
      <c r="D90" t="s">
        <v>286</v>
      </c>
      <c r="E90" t="s">
        <v>316</v>
      </c>
      <c r="F90">
        <f>HYPERLINK("http://clipc-services.ceda.ac.uk/dreq/u/591423aa-9e49-11e5-803c-0d0b866b59f3.html","web")</f>
        <v>0</v>
      </c>
      <c r="G90" t="s">
        <v>256</v>
      </c>
      <c r="H90" t="s">
        <v>257</v>
      </c>
      <c r="I90" t="s">
        <v>317</v>
      </c>
      <c r="J90" t="s">
        <v>289</v>
      </c>
    </row>
    <row r="92" spans="1:10">
      <c r="A92" t="s">
        <v>318</v>
      </c>
      <c r="B92" t="s">
        <v>319</v>
      </c>
      <c r="C92" t="s">
        <v>12</v>
      </c>
      <c r="D92" t="s">
        <v>55</v>
      </c>
      <c r="E92" t="s">
        <v>320</v>
      </c>
      <c r="F92">
        <f>HYPERLINK("http://clipc-services.ceda.ac.uk/dreq/u/53823c4a-bf01-11e6-a554-ac72891c3257.html","web")</f>
        <v>0</v>
      </c>
      <c r="G92" t="s">
        <v>321</v>
      </c>
      <c r="H92" t="s">
        <v>16</v>
      </c>
      <c r="I92" t="s">
        <v>322</v>
      </c>
      <c r="J92" t="s">
        <v>18</v>
      </c>
    </row>
    <row r="93" spans="1:10">
      <c r="A93" t="s">
        <v>318</v>
      </c>
      <c r="B93" t="s">
        <v>323</v>
      </c>
      <c r="C93" t="s">
        <v>12</v>
      </c>
      <c r="D93" t="s">
        <v>55</v>
      </c>
      <c r="E93" t="s">
        <v>324</v>
      </c>
      <c r="F93">
        <f>HYPERLINK("http://clipc-services.ceda.ac.uk/dreq/u/5382419a-bf01-11e6-a554-ac72891c3257.html","web")</f>
        <v>0</v>
      </c>
      <c r="G93" t="s">
        <v>325</v>
      </c>
      <c r="H93" t="s">
        <v>16</v>
      </c>
      <c r="I93" t="s">
        <v>326</v>
      </c>
      <c r="J93" t="s">
        <v>18</v>
      </c>
    </row>
    <row r="94" spans="1:10">
      <c r="A94" t="s">
        <v>318</v>
      </c>
      <c r="B94" t="s">
        <v>327</v>
      </c>
      <c r="C94" t="s">
        <v>12</v>
      </c>
      <c r="D94" t="s">
        <v>55</v>
      </c>
      <c r="E94" t="s">
        <v>328</v>
      </c>
      <c r="F94">
        <f>HYPERLINK("http://clipc-services.ceda.ac.uk/dreq/u/5382451e-bf01-11e6-a554-ac72891c3257.html","web")</f>
        <v>0</v>
      </c>
      <c r="G94" t="s">
        <v>329</v>
      </c>
      <c r="H94" t="s">
        <v>16</v>
      </c>
      <c r="I94" t="s">
        <v>330</v>
      </c>
      <c r="J94" t="s">
        <v>18</v>
      </c>
    </row>
    <row r="95" spans="1:10">
      <c r="A95" t="s">
        <v>318</v>
      </c>
      <c r="B95" t="s">
        <v>331</v>
      </c>
      <c r="C95" t="s">
        <v>12</v>
      </c>
      <c r="D95" t="s">
        <v>55</v>
      </c>
      <c r="E95" t="s">
        <v>332</v>
      </c>
      <c r="F95">
        <f>HYPERLINK("http://clipc-services.ceda.ac.uk/dreq/u/53825248-bf01-11e6-a554-ac72891c3257.html","web")</f>
        <v>0</v>
      </c>
      <c r="G95" t="s">
        <v>333</v>
      </c>
      <c r="H95" t="s">
        <v>16</v>
      </c>
      <c r="I95" t="s">
        <v>334</v>
      </c>
      <c r="J95" t="s">
        <v>18</v>
      </c>
    </row>
    <row r="96" spans="1:10">
      <c r="A96" t="s">
        <v>318</v>
      </c>
      <c r="B96" t="s">
        <v>335</v>
      </c>
      <c r="C96" t="s">
        <v>12</v>
      </c>
      <c r="D96" t="s">
        <v>55</v>
      </c>
      <c r="E96" t="s">
        <v>336</v>
      </c>
      <c r="F96">
        <f>HYPERLINK("http://clipc-services.ceda.ac.uk/dreq/u/5382550e-bf01-11e6-a554-ac72891c3257.html","web")</f>
        <v>0</v>
      </c>
      <c r="G96" t="s">
        <v>337</v>
      </c>
      <c r="H96" t="s">
        <v>16</v>
      </c>
      <c r="I96" t="s">
        <v>338</v>
      </c>
      <c r="J96" t="s">
        <v>18</v>
      </c>
    </row>
    <row r="97" spans="1:10">
      <c r="A97" t="s">
        <v>318</v>
      </c>
      <c r="B97" t="s">
        <v>339</v>
      </c>
      <c r="C97" t="s">
        <v>12</v>
      </c>
      <c r="D97" t="s">
        <v>55</v>
      </c>
      <c r="E97" t="s">
        <v>340</v>
      </c>
      <c r="F97">
        <f>HYPERLINK("http://clipc-services.ceda.ac.uk/dreq/u/53825806-bf01-11e6-a554-ac72891c3257.html","web")</f>
        <v>0</v>
      </c>
      <c r="G97" t="s">
        <v>341</v>
      </c>
      <c r="H97" t="s">
        <v>16</v>
      </c>
      <c r="I97" t="s">
        <v>342</v>
      </c>
      <c r="J97" t="s">
        <v>18</v>
      </c>
    </row>
    <row r="98" spans="1:10">
      <c r="A98" t="s">
        <v>318</v>
      </c>
      <c r="B98" t="s">
        <v>343</v>
      </c>
      <c r="C98" t="s">
        <v>12</v>
      </c>
      <c r="D98" t="s">
        <v>55</v>
      </c>
      <c r="E98" t="s">
        <v>344</v>
      </c>
      <c r="F98">
        <f>HYPERLINK("http://clipc-services.ceda.ac.uk/dreq/u/53825e00-bf01-11e6-a554-ac72891c3257.html","web")</f>
        <v>0</v>
      </c>
      <c r="G98" t="s">
        <v>345</v>
      </c>
      <c r="H98" t="s">
        <v>16</v>
      </c>
      <c r="I98" t="s">
        <v>346</v>
      </c>
      <c r="J98" t="s">
        <v>18</v>
      </c>
    </row>
    <row r="99" spans="1:10">
      <c r="A99" t="s">
        <v>318</v>
      </c>
      <c r="B99" t="s">
        <v>347</v>
      </c>
      <c r="C99" t="s">
        <v>12</v>
      </c>
      <c r="D99" t="s">
        <v>55</v>
      </c>
      <c r="E99" t="s">
        <v>348</v>
      </c>
      <c r="F99">
        <f>HYPERLINK("http://clipc-services.ceda.ac.uk/dreq/u/538266e8-bf01-11e6-a554-ac72891c3257.html","web")</f>
        <v>0</v>
      </c>
      <c r="G99" t="s">
        <v>349</v>
      </c>
      <c r="H99" t="s">
        <v>16</v>
      </c>
      <c r="I99" t="s">
        <v>350</v>
      </c>
      <c r="J99" t="s">
        <v>18</v>
      </c>
    </row>
    <row r="100" spans="1:10">
      <c r="A100" t="s">
        <v>318</v>
      </c>
      <c r="B100" t="s">
        <v>351</v>
      </c>
      <c r="C100" t="s">
        <v>12</v>
      </c>
      <c r="D100" t="s">
        <v>55</v>
      </c>
      <c r="E100" t="s">
        <v>352</v>
      </c>
      <c r="F100">
        <f>HYPERLINK("http://clipc-services.ceda.ac.uk/dreq/u/53826ae4-bf01-11e6-a554-ac72891c3257.html","web")</f>
        <v>0</v>
      </c>
      <c r="G100" t="s">
        <v>353</v>
      </c>
      <c r="H100" t="s">
        <v>16</v>
      </c>
      <c r="I100" t="s">
        <v>354</v>
      </c>
      <c r="J100" t="s">
        <v>18</v>
      </c>
    </row>
    <row r="101" spans="1:10">
      <c r="A101" t="s">
        <v>318</v>
      </c>
      <c r="B101" t="s">
        <v>355</v>
      </c>
      <c r="C101" t="s">
        <v>12</v>
      </c>
      <c r="D101" t="s">
        <v>356</v>
      </c>
      <c r="E101" t="s">
        <v>357</v>
      </c>
      <c r="F101">
        <f>HYPERLINK("http://clipc-services.ceda.ac.uk/dreq/u/a1d2e309c6f25017442ad6c79c4f9eca.html","web")</f>
        <v>0</v>
      </c>
      <c r="G101" t="s">
        <v>358</v>
      </c>
      <c r="H101" t="s">
        <v>16</v>
      </c>
      <c r="I101" t="s">
        <v>359</v>
      </c>
      <c r="J101" t="s">
        <v>18</v>
      </c>
    </row>
    <row r="102" spans="1:10">
      <c r="A102" t="s">
        <v>318</v>
      </c>
      <c r="B102" t="s">
        <v>11</v>
      </c>
      <c r="C102" t="s">
        <v>12</v>
      </c>
      <c r="D102" t="s">
        <v>360</v>
      </c>
      <c r="E102" t="s">
        <v>14</v>
      </c>
      <c r="F102">
        <f>HYPERLINK("http://clipc-services.ceda.ac.uk/dreq/u/590e5de4-9e49-11e5-803c-0d0b866b59f3.html","web")</f>
        <v>0</v>
      </c>
      <c r="G102" t="s">
        <v>15</v>
      </c>
      <c r="H102" t="s">
        <v>16</v>
      </c>
      <c r="I102" t="s">
        <v>17</v>
      </c>
      <c r="J102" t="s">
        <v>18</v>
      </c>
    </row>
    <row r="103" spans="1:10">
      <c r="A103" t="s">
        <v>318</v>
      </c>
      <c r="B103" t="s">
        <v>361</v>
      </c>
      <c r="C103" t="s">
        <v>12</v>
      </c>
      <c r="D103" t="s">
        <v>55</v>
      </c>
      <c r="E103" t="s">
        <v>362</v>
      </c>
      <c r="F103">
        <f>HYPERLINK("http://clipc-services.ceda.ac.uk/dreq/u/5382769c-bf01-11e6-a554-ac72891c3257.html","web")</f>
        <v>0</v>
      </c>
      <c r="G103" t="s">
        <v>363</v>
      </c>
      <c r="H103" t="s">
        <v>16</v>
      </c>
      <c r="I103" t="s">
        <v>364</v>
      </c>
      <c r="J103" t="s">
        <v>18</v>
      </c>
    </row>
    <row r="104" spans="1:10">
      <c r="A104" t="s">
        <v>318</v>
      </c>
      <c r="B104" t="s">
        <v>365</v>
      </c>
      <c r="C104" t="s">
        <v>12</v>
      </c>
      <c r="D104" t="s">
        <v>55</v>
      </c>
      <c r="E104" t="s">
        <v>366</v>
      </c>
      <c r="F104">
        <f>HYPERLINK("http://clipc-services.ceda.ac.uk/dreq/u/538279b2-bf01-11e6-a554-ac72891c3257.html","web")</f>
        <v>0</v>
      </c>
      <c r="G104" t="s">
        <v>367</v>
      </c>
      <c r="H104" t="s">
        <v>16</v>
      </c>
      <c r="I104" t="s">
        <v>368</v>
      </c>
      <c r="J104" t="s">
        <v>18</v>
      </c>
    </row>
    <row r="105" spans="1:10">
      <c r="A105" t="s">
        <v>318</v>
      </c>
      <c r="B105" t="s">
        <v>369</v>
      </c>
      <c r="C105" t="s">
        <v>12</v>
      </c>
      <c r="D105" t="s">
        <v>55</v>
      </c>
      <c r="E105" t="s">
        <v>370</v>
      </c>
      <c r="F105">
        <f>HYPERLINK("http://clipc-services.ceda.ac.uk/dreq/u/53827c8c-bf01-11e6-a554-ac72891c3257.html","web")</f>
        <v>0</v>
      </c>
      <c r="G105" t="s">
        <v>371</v>
      </c>
      <c r="H105" t="s">
        <v>16</v>
      </c>
      <c r="I105" t="s">
        <v>372</v>
      </c>
      <c r="J105" t="s">
        <v>18</v>
      </c>
    </row>
    <row r="106" spans="1:10">
      <c r="A106" t="s">
        <v>318</v>
      </c>
      <c r="B106" t="s">
        <v>373</v>
      </c>
      <c r="C106" t="s">
        <v>12</v>
      </c>
      <c r="D106" t="s">
        <v>55</v>
      </c>
      <c r="E106" t="s">
        <v>374</v>
      </c>
      <c r="F106">
        <f>HYPERLINK("http://clipc-services.ceda.ac.uk/dreq/u/53827f52-bf01-11e6-a554-ac72891c3257.html","web")</f>
        <v>0</v>
      </c>
      <c r="G106" t="s">
        <v>375</v>
      </c>
      <c r="H106" t="s">
        <v>16</v>
      </c>
      <c r="I106" t="s">
        <v>376</v>
      </c>
      <c r="J106" t="s">
        <v>18</v>
      </c>
    </row>
    <row r="107" spans="1:10">
      <c r="A107" t="s">
        <v>318</v>
      </c>
      <c r="B107" t="s">
        <v>377</v>
      </c>
      <c r="C107" t="s">
        <v>12</v>
      </c>
      <c r="D107" t="s">
        <v>55</v>
      </c>
      <c r="E107" t="s">
        <v>378</v>
      </c>
      <c r="F107">
        <f>HYPERLINK("http://clipc-services.ceda.ac.uk/dreq/u/53828236-bf01-11e6-a554-ac72891c3257.html","web")</f>
        <v>0</v>
      </c>
      <c r="G107" t="s">
        <v>379</v>
      </c>
      <c r="H107" t="s">
        <v>16</v>
      </c>
      <c r="I107" t="s">
        <v>380</v>
      </c>
      <c r="J107" t="s">
        <v>18</v>
      </c>
    </row>
    <row r="108" spans="1:10">
      <c r="A108" t="s">
        <v>318</v>
      </c>
      <c r="B108" t="s">
        <v>381</v>
      </c>
      <c r="C108" t="s">
        <v>12</v>
      </c>
      <c r="D108" t="s">
        <v>55</v>
      </c>
      <c r="E108" t="s">
        <v>382</v>
      </c>
      <c r="F108">
        <f>HYPERLINK("http://clipc-services.ceda.ac.uk/dreq/u/538284f2-bf01-11e6-a554-ac72891c3257.html","web")</f>
        <v>0</v>
      </c>
      <c r="G108" t="s">
        <v>383</v>
      </c>
      <c r="H108" t="s">
        <v>16</v>
      </c>
      <c r="I108" t="s">
        <v>384</v>
      </c>
      <c r="J108" t="s">
        <v>18</v>
      </c>
    </row>
    <row r="109" spans="1:10">
      <c r="A109" t="s">
        <v>318</v>
      </c>
      <c r="B109" t="s">
        <v>385</v>
      </c>
      <c r="C109" t="s">
        <v>12</v>
      </c>
      <c r="D109" t="s">
        <v>55</v>
      </c>
      <c r="E109" t="s">
        <v>386</v>
      </c>
      <c r="F109">
        <f>HYPERLINK("http://clipc-services.ceda.ac.uk/dreq/u/538287c2-bf01-11e6-a554-ac72891c3257.html","web")</f>
        <v>0</v>
      </c>
      <c r="G109" t="s">
        <v>387</v>
      </c>
      <c r="H109" t="s">
        <v>16</v>
      </c>
      <c r="I109" t="s">
        <v>388</v>
      </c>
      <c r="J109" t="s">
        <v>18</v>
      </c>
    </row>
    <row r="111" spans="1:10">
      <c r="A111" t="s">
        <v>389</v>
      </c>
      <c r="B111" t="s">
        <v>390</v>
      </c>
      <c r="C111" t="s">
        <v>12</v>
      </c>
      <c r="D111" t="s">
        <v>391</v>
      </c>
      <c r="E111" t="s">
        <v>392</v>
      </c>
      <c r="F111">
        <f>HYPERLINK("http://clipc-services.ceda.ac.uk/dreq/u/c8b1814845661bcad37910e70a59b285.html","web")</f>
        <v>0</v>
      </c>
      <c r="G111" t="s">
        <v>393</v>
      </c>
      <c r="H111" t="s">
        <v>394</v>
      </c>
      <c r="I111" t="s">
        <v>392</v>
      </c>
      <c r="J111" t="s">
        <v>395</v>
      </c>
    </row>
    <row r="112" spans="1:10">
      <c r="A112" t="s">
        <v>389</v>
      </c>
      <c r="B112" t="s">
        <v>396</v>
      </c>
      <c r="C112" t="s">
        <v>12</v>
      </c>
      <c r="D112" t="s">
        <v>391</v>
      </c>
      <c r="E112" t="s">
        <v>397</v>
      </c>
      <c r="F112">
        <f>HYPERLINK("http://clipc-services.ceda.ac.uk/dreq/u/93a0ba1f23bfc41b720ea68951d28144.html","web")</f>
        <v>0</v>
      </c>
      <c r="G112" t="s">
        <v>398</v>
      </c>
      <c r="H112" t="s">
        <v>394</v>
      </c>
      <c r="I112" t="s">
        <v>397</v>
      </c>
      <c r="J112" t="s">
        <v>395</v>
      </c>
    </row>
    <row r="113" spans="1:10">
      <c r="A113" t="s">
        <v>389</v>
      </c>
      <c r="B113" t="s">
        <v>399</v>
      </c>
      <c r="C113" t="s">
        <v>12</v>
      </c>
      <c r="D113" t="s">
        <v>391</v>
      </c>
      <c r="E113" t="s">
        <v>400</v>
      </c>
      <c r="F113">
        <f>HYPERLINK("http://clipc-services.ceda.ac.uk/dreq/u/52f043533a691ca5721460e316c3a328.html","web")</f>
        <v>0</v>
      </c>
      <c r="G113" t="s">
        <v>401</v>
      </c>
      <c r="H113" t="s">
        <v>402</v>
      </c>
      <c r="I113" t="s">
        <v>403</v>
      </c>
      <c r="J113" t="s">
        <v>395</v>
      </c>
    </row>
    <row r="114" spans="1:10">
      <c r="A114" t="s">
        <v>389</v>
      </c>
      <c r="B114" t="s">
        <v>404</v>
      </c>
      <c r="C114" t="s">
        <v>12</v>
      </c>
      <c r="D114" t="s">
        <v>391</v>
      </c>
      <c r="E114" t="s">
        <v>405</v>
      </c>
      <c r="F114">
        <f>HYPERLINK("http://clipc-services.ceda.ac.uk/dreq/u/2a6093caf9e5cd42fb2fba6bdb73d6db.html","web")</f>
        <v>0</v>
      </c>
      <c r="G114" t="s">
        <v>406</v>
      </c>
      <c r="H114" t="s">
        <v>394</v>
      </c>
      <c r="I114" t="s">
        <v>405</v>
      </c>
      <c r="J114" t="s">
        <v>395</v>
      </c>
    </row>
    <row r="115" spans="1:10">
      <c r="A115" t="s">
        <v>389</v>
      </c>
      <c r="B115" t="s">
        <v>407</v>
      </c>
      <c r="C115" t="s">
        <v>12</v>
      </c>
      <c r="D115" t="s">
        <v>391</v>
      </c>
      <c r="E115" t="s">
        <v>408</v>
      </c>
      <c r="F115">
        <f>HYPERLINK("http://clipc-services.ceda.ac.uk/dreq/u/a1d576b3fc447c37d782926441428ffd.html","web")</f>
        <v>0</v>
      </c>
      <c r="G115" t="s">
        <v>409</v>
      </c>
      <c r="H115" t="s">
        <v>394</v>
      </c>
      <c r="I115" t="s">
        <v>403</v>
      </c>
      <c r="J115" t="s">
        <v>395</v>
      </c>
    </row>
    <row r="116" spans="1:10">
      <c r="A116" t="s">
        <v>389</v>
      </c>
      <c r="B116" t="s">
        <v>410</v>
      </c>
      <c r="C116" t="s">
        <v>12</v>
      </c>
      <c r="D116" t="s">
        <v>391</v>
      </c>
      <c r="E116" t="s">
        <v>411</v>
      </c>
      <c r="F116">
        <f>HYPERLINK("http://clipc-services.ceda.ac.uk/dreq/u/6e30ba1e2c19dcbd85faa176d4eae596.html","web")</f>
        <v>0</v>
      </c>
      <c r="G116" t="s">
        <v>412</v>
      </c>
      <c r="H116" t="s">
        <v>394</v>
      </c>
      <c r="I116" t="s">
        <v>413</v>
      </c>
      <c r="J116" t="s">
        <v>395</v>
      </c>
    </row>
    <row r="117" spans="1:10">
      <c r="A117" t="s">
        <v>389</v>
      </c>
      <c r="B117" t="s">
        <v>248</v>
      </c>
      <c r="C117" t="s">
        <v>12</v>
      </c>
      <c r="D117" t="s">
        <v>414</v>
      </c>
      <c r="E117" t="s">
        <v>250</v>
      </c>
      <c r="F117">
        <f>HYPERLINK("http://clipc-services.ceda.ac.uk/dreq/u/154ab10964742eaff37de9cc5beef39c.html","web")</f>
        <v>0</v>
      </c>
      <c r="G117" t="s">
        <v>74</v>
      </c>
      <c r="H117" t="s">
        <v>75</v>
      </c>
      <c r="I117" t="s">
        <v>251</v>
      </c>
      <c r="J117" t="s">
        <v>395</v>
      </c>
    </row>
    <row r="118" spans="1:10">
      <c r="A118" t="s">
        <v>389</v>
      </c>
      <c r="B118" t="s">
        <v>415</v>
      </c>
      <c r="C118" t="s">
        <v>12</v>
      </c>
      <c r="D118" t="s">
        <v>416</v>
      </c>
      <c r="E118" t="s">
        <v>417</v>
      </c>
      <c r="F118">
        <f>HYPERLINK("http://clipc-services.ceda.ac.uk/dreq/u/21ef5e4c-b894-11e6-a189-5404a60d96b5.html","web")</f>
        <v>0</v>
      </c>
      <c r="G118" t="s">
        <v>418</v>
      </c>
      <c r="H118" t="s">
        <v>50</v>
      </c>
      <c r="I118" t="s">
        <v>419</v>
      </c>
      <c r="J118" t="s">
        <v>395</v>
      </c>
    </row>
    <row r="119" spans="1:10">
      <c r="A119" t="s">
        <v>389</v>
      </c>
      <c r="B119" t="s">
        <v>420</v>
      </c>
      <c r="C119" t="s">
        <v>12</v>
      </c>
      <c r="D119" t="s">
        <v>416</v>
      </c>
      <c r="E119" t="s">
        <v>421</v>
      </c>
      <c r="F119">
        <f>HYPERLINK("http://clipc-services.ceda.ac.uk/dreq/u/2260e24c-b894-11e6-a189-5404a60d96b5.html","web")</f>
        <v>0</v>
      </c>
      <c r="G119" t="s">
        <v>418</v>
      </c>
      <c r="H119" t="s">
        <v>50</v>
      </c>
      <c r="I119" t="s">
        <v>422</v>
      </c>
      <c r="J119" t="s">
        <v>395</v>
      </c>
    </row>
    <row r="120" spans="1:10">
      <c r="A120" t="s">
        <v>389</v>
      </c>
      <c r="B120" t="s">
        <v>423</v>
      </c>
      <c r="C120" t="s">
        <v>12</v>
      </c>
      <c r="D120" t="s">
        <v>424</v>
      </c>
      <c r="E120" t="s">
        <v>425</v>
      </c>
      <c r="F120">
        <f>HYPERLINK("http://clipc-services.ceda.ac.uk/dreq/u/cc1b9e3073d751143fe8ab63ca9fcc45.html","web")</f>
        <v>0</v>
      </c>
      <c r="G120" t="s">
        <v>426</v>
      </c>
      <c r="H120" t="s">
        <v>75</v>
      </c>
      <c r="I120" t="s">
        <v>427</v>
      </c>
      <c r="J120" t="s">
        <v>395</v>
      </c>
    </row>
    <row r="121" spans="1:10">
      <c r="A121" t="s">
        <v>389</v>
      </c>
      <c r="B121" t="s">
        <v>428</v>
      </c>
      <c r="C121" t="s">
        <v>12</v>
      </c>
      <c r="D121" t="s">
        <v>424</v>
      </c>
      <c r="E121" t="s">
        <v>429</v>
      </c>
      <c r="F121">
        <f>HYPERLINK("http://clipc-services.ceda.ac.uk/dreq/u/5e49c0b73ac161d5e5dd05173416c400.html","web")</f>
        <v>0</v>
      </c>
      <c r="G121" t="s">
        <v>430</v>
      </c>
      <c r="H121" t="s">
        <v>75</v>
      </c>
      <c r="I121" t="s">
        <v>431</v>
      </c>
      <c r="J121" t="s">
        <v>395</v>
      </c>
    </row>
    <row r="122" spans="1:10">
      <c r="A122" t="s">
        <v>389</v>
      </c>
      <c r="B122" t="s">
        <v>432</v>
      </c>
      <c r="C122" t="s">
        <v>12</v>
      </c>
      <c r="D122" t="s">
        <v>424</v>
      </c>
      <c r="E122" t="s">
        <v>433</v>
      </c>
      <c r="F122">
        <f>HYPERLINK("http://clipc-services.ceda.ac.uk/dreq/u/299fb9d19040c4aa3862644286261ad2.html","web")</f>
        <v>0</v>
      </c>
      <c r="G122" t="s">
        <v>434</v>
      </c>
      <c r="H122" t="s">
        <v>75</v>
      </c>
      <c r="I122" t="s">
        <v>435</v>
      </c>
      <c r="J122" t="s">
        <v>395</v>
      </c>
    </row>
    <row r="124" spans="1:10">
      <c r="A124" t="s">
        <v>436</v>
      </c>
      <c r="B124" t="s">
        <v>437</v>
      </c>
      <c r="C124" t="s">
        <v>12</v>
      </c>
      <c r="D124" t="s">
        <v>87</v>
      </c>
      <c r="E124" t="s">
        <v>438</v>
      </c>
      <c r="F124">
        <f>HYPERLINK("http://clipc-services.ceda.ac.uk/dreq/u/4bccb8dcdb0ffe97dc89475c91ed66cc.html","web")</f>
        <v>0</v>
      </c>
      <c r="G124" t="s">
        <v>57</v>
      </c>
      <c r="H124" t="s">
        <v>58</v>
      </c>
      <c r="I124" t="s">
        <v>439</v>
      </c>
      <c r="J124" t="s">
        <v>440</v>
      </c>
    </row>
    <row r="125" spans="1:10">
      <c r="A125" t="s">
        <v>436</v>
      </c>
      <c r="B125" t="s">
        <v>441</v>
      </c>
      <c r="C125" t="s">
        <v>12</v>
      </c>
      <c r="D125" t="s">
        <v>442</v>
      </c>
      <c r="E125" t="s">
        <v>443</v>
      </c>
      <c r="F125">
        <f>HYPERLINK("http://clipc-services.ceda.ac.uk/dreq/u/6901f6894f7382d628084809e7208c4b.html","web")</f>
        <v>0</v>
      </c>
      <c r="G125" t="s">
        <v>57</v>
      </c>
      <c r="H125" t="s">
        <v>58</v>
      </c>
      <c r="I125" t="s">
        <v>444</v>
      </c>
      <c r="J125" t="s">
        <v>440</v>
      </c>
    </row>
    <row r="126" spans="1:10">
      <c r="A126" t="s">
        <v>436</v>
      </c>
      <c r="B126" t="s">
        <v>445</v>
      </c>
      <c r="C126" t="s">
        <v>12</v>
      </c>
      <c r="D126" t="s">
        <v>442</v>
      </c>
      <c r="E126" t="s">
        <v>446</v>
      </c>
      <c r="F126">
        <f>HYPERLINK("http://clipc-services.ceda.ac.uk/dreq/u/dbba7f5717d68960a82b228e03dea7b7.html","web")</f>
        <v>0</v>
      </c>
      <c r="G126" t="s">
        <v>57</v>
      </c>
      <c r="H126" t="s">
        <v>58</v>
      </c>
      <c r="I126" t="s">
        <v>447</v>
      </c>
      <c r="J126" t="s">
        <v>440</v>
      </c>
    </row>
    <row r="127" spans="1:10">
      <c r="A127" t="s">
        <v>436</v>
      </c>
      <c r="B127" t="s">
        <v>448</v>
      </c>
      <c r="C127" t="s">
        <v>12</v>
      </c>
      <c r="D127" t="s">
        <v>442</v>
      </c>
      <c r="E127" t="s">
        <v>449</v>
      </c>
      <c r="F127">
        <f>HYPERLINK("http://clipc-services.ceda.ac.uk/dreq/u/d4ee4806-b00f-11e6-a1f0-ac72891c3257.html","web")</f>
        <v>0</v>
      </c>
      <c r="G127" t="s">
        <v>57</v>
      </c>
      <c r="H127" t="s">
        <v>58</v>
      </c>
      <c r="I127" t="s">
        <v>450</v>
      </c>
      <c r="J127" t="s">
        <v>440</v>
      </c>
    </row>
    <row r="128" spans="1:10">
      <c r="A128" t="s">
        <v>436</v>
      </c>
      <c r="B128" t="s">
        <v>451</v>
      </c>
      <c r="C128" t="s">
        <v>12</v>
      </c>
      <c r="D128" t="s">
        <v>87</v>
      </c>
      <c r="E128" t="s">
        <v>452</v>
      </c>
      <c r="F128">
        <f>HYPERLINK("http://clipc-services.ceda.ac.uk/dreq/u/1bb6dca6b08a4e887ded8a455ef04941.html","web")</f>
        <v>0</v>
      </c>
      <c r="G128" t="s">
        <v>57</v>
      </c>
      <c r="H128" t="s">
        <v>58</v>
      </c>
      <c r="I128" t="s">
        <v>453</v>
      </c>
      <c r="J128" t="s">
        <v>440</v>
      </c>
    </row>
    <row r="129" spans="1:10">
      <c r="A129" t="s">
        <v>436</v>
      </c>
      <c r="B129" t="s">
        <v>454</v>
      </c>
      <c r="C129" t="s">
        <v>12</v>
      </c>
      <c r="D129" t="s">
        <v>455</v>
      </c>
      <c r="E129" t="s">
        <v>456</v>
      </c>
      <c r="F129">
        <f>HYPERLINK("http://clipc-services.ceda.ac.uk/dreq/u/1f5bb8c9dd54043a9d5f71dfe38f5a19.html","web")</f>
        <v>0</v>
      </c>
      <c r="G129" t="s">
        <v>57</v>
      </c>
      <c r="H129" t="s">
        <v>58</v>
      </c>
      <c r="I129" t="s">
        <v>457</v>
      </c>
      <c r="J129" t="s">
        <v>440</v>
      </c>
    </row>
    <row r="131" spans="1:10">
      <c r="A131" t="s">
        <v>458</v>
      </c>
      <c r="B131" t="s">
        <v>459</v>
      </c>
      <c r="C131" t="s">
        <v>12</v>
      </c>
      <c r="D131" t="s">
        <v>55</v>
      </c>
      <c r="E131" t="s">
        <v>460</v>
      </c>
      <c r="F131">
        <f>HYPERLINK("http://clipc-services.ceda.ac.uk/dreq/u/590e8b2a-9e49-11e5-803c-0d0b866b59f3.html","web")</f>
        <v>0</v>
      </c>
      <c r="G131" t="s">
        <v>57</v>
      </c>
      <c r="H131" t="s">
        <v>58</v>
      </c>
      <c r="I131" t="s">
        <v>461</v>
      </c>
      <c r="J131" t="s">
        <v>462</v>
      </c>
    </row>
    <row r="132" spans="1:10">
      <c r="A132" t="s">
        <v>458</v>
      </c>
      <c r="B132" t="s">
        <v>463</v>
      </c>
      <c r="C132" t="s">
        <v>12</v>
      </c>
      <c r="D132" t="s">
        <v>55</v>
      </c>
      <c r="E132" t="s">
        <v>464</v>
      </c>
      <c r="F132">
        <f>HYPERLINK("http://clipc-services.ceda.ac.uk/dreq/u/5917184e-9e49-11e5-803c-0d0b866b59f3.html","web")</f>
        <v>0</v>
      </c>
      <c r="G132" t="s">
        <v>57</v>
      </c>
      <c r="H132" t="s">
        <v>58</v>
      </c>
      <c r="I132" t="s">
        <v>465</v>
      </c>
      <c r="J132" t="s">
        <v>466</v>
      </c>
    </row>
    <row r="133" spans="1:10">
      <c r="A133" t="s">
        <v>458</v>
      </c>
      <c r="B133" t="s">
        <v>467</v>
      </c>
      <c r="C133" t="s">
        <v>12</v>
      </c>
      <c r="D133" t="s">
        <v>55</v>
      </c>
      <c r="E133" t="s">
        <v>468</v>
      </c>
      <c r="F133">
        <f>HYPERLINK("http://clipc-services.ceda.ac.uk/dreq/u/591801d2-9e49-11e5-803c-0d0b866b59f3.html","web")</f>
        <v>0</v>
      </c>
      <c r="G133" t="s">
        <v>57</v>
      </c>
      <c r="H133" t="s">
        <v>58</v>
      </c>
      <c r="I133" t="s">
        <v>469</v>
      </c>
      <c r="J133" t="s">
        <v>462</v>
      </c>
    </row>
    <row r="134" spans="1:10">
      <c r="A134" t="s">
        <v>458</v>
      </c>
      <c r="B134" t="s">
        <v>470</v>
      </c>
      <c r="C134" t="s">
        <v>12</v>
      </c>
      <c r="D134" t="s">
        <v>55</v>
      </c>
      <c r="E134" t="s">
        <v>471</v>
      </c>
      <c r="F134">
        <f>HYPERLINK("http://clipc-services.ceda.ac.uk/dreq/u/5914a6b8-9e49-11e5-803c-0d0b866b59f3.html","web")</f>
        <v>0</v>
      </c>
      <c r="G134" t="s">
        <v>57</v>
      </c>
      <c r="H134" t="s">
        <v>58</v>
      </c>
      <c r="I134" t="s">
        <v>472</v>
      </c>
      <c r="J134" t="s">
        <v>473</v>
      </c>
    </row>
    <row r="135" spans="1:10">
      <c r="A135" t="s">
        <v>458</v>
      </c>
      <c r="B135" t="s">
        <v>474</v>
      </c>
      <c r="C135" t="s">
        <v>54</v>
      </c>
      <c r="D135" t="s">
        <v>475</v>
      </c>
      <c r="E135" t="s">
        <v>476</v>
      </c>
      <c r="F135">
        <f>HYPERLINK("http://clipc-services.ceda.ac.uk/dreq/u/590d98b4-9e49-11e5-803c-0d0b866b59f3.html","web")</f>
        <v>0</v>
      </c>
      <c r="G135" t="s">
        <v>57</v>
      </c>
      <c r="H135" t="s">
        <v>58</v>
      </c>
      <c r="I135" t="s">
        <v>477</v>
      </c>
      <c r="J135" t="s">
        <v>478</v>
      </c>
    </row>
    <row r="136" spans="1:10">
      <c r="A136" t="s">
        <v>458</v>
      </c>
      <c r="B136" t="s">
        <v>479</v>
      </c>
      <c r="C136" t="s">
        <v>54</v>
      </c>
      <c r="D136" t="s">
        <v>475</v>
      </c>
      <c r="E136" t="s">
        <v>480</v>
      </c>
      <c r="F136">
        <f>HYPERLINK("http://clipc-services.ceda.ac.uk/dreq/u/59133288-9e49-11e5-803c-0d0b866b59f3.html","web")</f>
        <v>0</v>
      </c>
      <c r="G136" t="s">
        <v>57</v>
      </c>
      <c r="H136" t="s">
        <v>58</v>
      </c>
      <c r="I136" t="s">
        <v>481</v>
      </c>
      <c r="J136" t="s">
        <v>478</v>
      </c>
    </row>
    <row r="137" spans="1:10">
      <c r="A137" t="s">
        <v>458</v>
      </c>
      <c r="B137" t="s">
        <v>482</v>
      </c>
      <c r="C137" t="s">
        <v>54</v>
      </c>
      <c r="D137" t="s">
        <v>475</v>
      </c>
      <c r="E137" t="s">
        <v>483</v>
      </c>
      <c r="F137">
        <f>HYPERLINK("http://clipc-services.ceda.ac.uk/dreq/u/590dfdc2-9e49-11e5-803c-0d0b866b59f3.html","web")</f>
        <v>0</v>
      </c>
      <c r="G137" t="s">
        <v>57</v>
      </c>
      <c r="H137" t="s">
        <v>58</v>
      </c>
      <c r="I137" t="s">
        <v>484</v>
      </c>
      <c r="J137" t="s">
        <v>478</v>
      </c>
    </row>
    <row r="138" spans="1:10">
      <c r="A138" t="s">
        <v>458</v>
      </c>
      <c r="B138" t="s">
        <v>485</v>
      </c>
      <c r="C138" t="s">
        <v>12</v>
      </c>
      <c r="D138" t="s">
        <v>55</v>
      </c>
      <c r="E138" t="s">
        <v>486</v>
      </c>
      <c r="F138">
        <f>HYPERLINK("http://clipc-services.ceda.ac.uk/dreq/u/5914a456-9e49-11e5-803c-0d0b866b59f3.html","web")</f>
        <v>0</v>
      </c>
      <c r="G138" t="s">
        <v>57</v>
      </c>
      <c r="H138" t="s">
        <v>58</v>
      </c>
      <c r="I138" t="s">
        <v>487</v>
      </c>
      <c r="J138" t="s">
        <v>488</v>
      </c>
    </row>
    <row r="139" spans="1:10">
      <c r="A139" t="s">
        <v>458</v>
      </c>
      <c r="B139" t="s">
        <v>489</v>
      </c>
      <c r="C139" t="s">
        <v>86</v>
      </c>
      <c r="D139" t="s">
        <v>55</v>
      </c>
      <c r="E139" t="s">
        <v>490</v>
      </c>
      <c r="F139">
        <f>HYPERLINK("http://clipc-services.ceda.ac.uk/dreq/u/590e34fe-9e49-11e5-803c-0d0b866b59f3.html","web")</f>
        <v>0</v>
      </c>
      <c r="G139" t="s">
        <v>57</v>
      </c>
      <c r="H139" t="s">
        <v>58</v>
      </c>
      <c r="I139" t="s">
        <v>491</v>
      </c>
      <c r="J139" t="s">
        <v>492</v>
      </c>
    </row>
    <row r="140" spans="1:10">
      <c r="A140" t="s">
        <v>458</v>
      </c>
      <c r="B140" t="s">
        <v>493</v>
      </c>
      <c r="C140" t="s">
        <v>86</v>
      </c>
      <c r="D140" t="s">
        <v>55</v>
      </c>
      <c r="E140" t="s">
        <v>494</v>
      </c>
      <c r="F140">
        <f>HYPERLINK("http://clipc-services.ceda.ac.uk/dreq/u/5914d6d8-9e49-11e5-803c-0d0b866b59f3.html","web")</f>
        <v>0</v>
      </c>
      <c r="G140" t="s">
        <v>57</v>
      </c>
      <c r="H140" t="s">
        <v>58</v>
      </c>
      <c r="I140" t="s">
        <v>495</v>
      </c>
      <c r="J140" t="s">
        <v>478</v>
      </c>
    </row>
    <row r="141" spans="1:10">
      <c r="A141" t="s">
        <v>458</v>
      </c>
      <c r="B141" t="s">
        <v>496</v>
      </c>
      <c r="C141" t="s">
        <v>86</v>
      </c>
      <c r="D141" t="s">
        <v>55</v>
      </c>
      <c r="E141" t="s">
        <v>497</v>
      </c>
      <c r="F141">
        <f>HYPERLINK("http://clipc-services.ceda.ac.uk/dreq/u/5917369e-9e49-11e5-803c-0d0b866b59f3.html","web")</f>
        <v>0</v>
      </c>
      <c r="G141" t="s">
        <v>57</v>
      </c>
      <c r="H141" t="s">
        <v>58</v>
      </c>
      <c r="I141" t="s">
        <v>497</v>
      </c>
      <c r="J141" t="s">
        <v>498</v>
      </c>
    </row>
    <row r="142" spans="1:10">
      <c r="A142" t="s">
        <v>458</v>
      </c>
      <c r="B142" t="s">
        <v>499</v>
      </c>
      <c r="C142" t="s">
        <v>54</v>
      </c>
      <c r="D142" t="s">
        <v>55</v>
      </c>
      <c r="E142" t="s">
        <v>500</v>
      </c>
      <c r="F142">
        <f>HYPERLINK("http://clipc-services.ceda.ac.uk/dreq/u/590c7920-9e49-11e5-803c-0d0b866b59f3.html","web")</f>
        <v>0</v>
      </c>
      <c r="G142" t="s">
        <v>57</v>
      </c>
      <c r="H142" t="s">
        <v>58</v>
      </c>
      <c r="I142" t="s">
        <v>501</v>
      </c>
      <c r="J142" t="s">
        <v>478</v>
      </c>
    </row>
    <row r="143" spans="1:10">
      <c r="A143" t="s">
        <v>458</v>
      </c>
      <c r="B143" t="s">
        <v>502</v>
      </c>
      <c r="C143" t="s">
        <v>54</v>
      </c>
      <c r="D143" t="s">
        <v>55</v>
      </c>
      <c r="E143" t="s">
        <v>503</v>
      </c>
      <c r="F143">
        <f>HYPERLINK("http://clipc-services.ceda.ac.uk/dreq/u/5913e674-9e49-11e5-803c-0d0b866b59f3.html","web")</f>
        <v>0</v>
      </c>
      <c r="G143" t="s">
        <v>57</v>
      </c>
      <c r="H143" t="s">
        <v>58</v>
      </c>
      <c r="I143" t="s">
        <v>504</v>
      </c>
      <c r="J143" t="s">
        <v>505</v>
      </c>
    </row>
    <row r="144" spans="1:10">
      <c r="A144" t="s">
        <v>458</v>
      </c>
      <c r="B144" t="s">
        <v>506</v>
      </c>
      <c r="C144" t="s">
        <v>86</v>
      </c>
      <c r="D144" t="s">
        <v>55</v>
      </c>
      <c r="E144" t="s">
        <v>507</v>
      </c>
      <c r="F144">
        <f>HYPERLINK("http://clipc-services.ceda.ac.uk/dreq/u/590dac64-9e49-11e5-803c-0d0b866b59f3.html","web")</f>
        <v>0</v>
      </c>
      <c r="G144" t="s">
        <v>57</v>
      </c>
      <c r="H144" t="s">
        <v>58</v>
      </c>
      <c r="I144" t="s">
        <v>508</v>
      </c>
      <c r="J144" t="s">
        <v>478</v>
      </c>
    </row>
    <row r="145" spans="1:10">
      <c r="A145" t="s">
        <v>458</v>
      </c>
      <c r="B145" t="s">
        <v>509</v>
      </c>
      <c r="C145" t="s">
        <v>86</v>
      </c>
      <c r="D145" t="s">
        <v>55</v>
      </c>
      <c r="E145" t="s">
        <v>510</v>
      </c>
      <c r="F145">
        <f>HYPERLINK("http://clipc-services.ceda.ac.uk/dreq/u/590f9d30-9e49-11e5-803c-0d0b866b59f3.html","web")</f>
        <v>0</v>
      </c>
      <c r="G145" t="s">
        <v>57</v>
      </c>
      <c r="H145" t="s">
        <v>58</v>
      </c>
      <c r="I145" t="s">
        <v>511</v>
      </c>
      <c r="J145" t="s">
        <v>498</v>
      </c>
    </row>
    <row r="146" spans="1:10">
      <c r="A146" t="s">
        <v>458</v>
      </c>
      <c r="B146" t="s">
        <v>512</v>
      </c>
      <c r="C146" t="s">
        <v>86</v>
      </c>
      <c r="D146" t="s">
        <v>55</v>
      </c>
      <c r="E146" t="s">
        <v>513</v>
      </c>
      <c r="F146">
        <f>HYPERLINK("http://clipc-services.ceda.ac.uk/dreq/u/5912f890-9e49-11e5-803c-0d0b866b59f3.html","web")</f>
        <v>0</v>
      </c>
      <c r="G146" t="s">
        <v>57</v>
      </c>
      <c r="H146" t="s">
        <v>58</v>
      </c>
      <c r="I146" t="s">
        <v>514</v>
      </c>
      <c r="J146" t="s">
        <v>478</v>
      </c>
    </row>
    <row r="147" spans="1:10">
      <c r="A147" t="s">
        <v>458</v>
      </c>
      <c r="B147" t="s">
        <v>515</v>
      </c>
      <c r="C147" t="s">
        <v>86</v>
      </c>
      <c r="D147" t="s">
        <v>55</v>
      </c>
      <c r="E147" t="s">
        <v>516</v>
      </c>
      <c r="F147">
        <f>HYPERLINK("http://clipc-services.ceda.ac.uk/dreq/u/0353bea4-dca0-11e5-81c9-5404a60d96b5.html","web")</f>
        <v>0</v>
      </c>
      <c r="G147" t="s">
        <v>57</v>
      </c>
      <c r="H147" t="s">
        <v>58</v>
      </c>
      <c r="I147" t="s">
        <v>517</v>
      </c>
      <c r="J147" t="s">
        <v>478</v>
      </c>
    </row>
    <row r="148" spans="1:10">
      <c r="A148" t="s">
        <v>458</v>
      </c>
      <c r="B148" t="s">
        <v>518</v>
      </c>
      <c r="C148" t="s">
        <v>86</v>
      </c>
      <c r="D148" t="s">
        <v>55</v>
      </c>
      <c r="E148" t="s">
        <v>519</v>
      </c>
      <c r="F148">
        <f>HYPERLINK("http://clipc-services.ceda.ac.uk/dreq/u/590dc60e-9e49-11e5-803c-0d0b866b59f3.html","web")</f>
        <v>0</v>
      </c>
      <c r="G148" t="s">
        <v>57</v>
      </c>
      <c r="H148" t="s">
        <v>58</v>
      </c>
      <c r="I148" t="s">
        <v>520</v>
      </c>
      <c r="J148" t="s">
        <v>478</v>
      </c>
    </row>
    <row r="149" spans="1:10">
      <c r="A149" t="s">
        <v>458</v>
      </c>
      <c r="B149" t="s">
        <v>521</v>
      </c>
      <c r="C149" t="s">
        <v>86</v>
      </c>
      <c r="D149" t="s">
        <v>55</v>
      </c>
      <c r="E149" t="s">
        <v>522</v>
      </c>
      <c r="F149">
        <f>HYPERLINK("http://clipc-services.ceda.ac.uk/dreq/u/590ee584-9e49-11e5-803c-0d0b866b59f3.html","web")</f>
        <v>0</v>
      </c>
      <c r="G149" t="s">
        <v>57</v>
      </c>
      <c r="H149" t="s">
        <v>58</v>
      </c>
      <c r="I149" t="s">
        <v>523</v>
      </c>
      <c r="J149" t="s">
        <v>478</v>
      </c>
    </row>
    <row r="150" spans="1:10">
      <c r="A150" t="s">
        <v>458</v>
      </c>
      <c r="B150" t="s">
        <v>524</v>
      </c>
      <c r="C150" t="s">
        <v>86</v>
      </c>
      <c r="D150" t="s">
        <v>55</v>
      </c>
      <c r="E150" t="s">
        <v>525</v>
      </c>
      <c r="F150">
        <f>HYPERLINK("http://clipc-services.ceda.ac.uk/dreq/u/590d95d0-9e49-11e5-803c-0d0b866b59f3.html","web")</f>
        <v>0</v>
      </c>
      <c r="G150" t="s">
        <v>57</v>
      </c>
      <c r="H150" t="s">
        <v>58</v>
      </c>
      <c r="I150" t="s">
        <v>526</v>
      </c>
      <c r="J150" t="s">
        <v>478</v>
      </c>
    </row>
    <row r="151" spans="1:10">
      <c r="A151" t="s">
        <v>458</v>
      </c>
      <c r="B151" t="s">
        <v>527</v>
      </c>
      <c r="C151" t="s">
        <v>86</v>
      </c>
      <c r="D151" t="s">
        <v>55</v>
      </c>
      <c r="E151" t="s">
        <v>528</v>
      </c>
      <c r="F151">
        <f>HYPERLINK("http://clipc-services.ceda.ac.uk/dreq/u/591357b8-9e49-11e5-803c-0d0b866b59f3.html","web")</f>
        <v>0</v>
      </c>
      <c r="G151" t="s">
        <v>57</v>
      </c>
      <c r="H151" t="s">
        <v>58</v>
      </c>
      <c r="I151" t="s">
        <v>529</v>
      </c>
      <c r="J151" t="s">
        <v>478</v>
      </c>
    </row>
    <row r="152" spans="1:10">
      <c r="A152" t="s">
        <v>458</v>
      </c>
      <c r="B152" t="s">
        <v>530</v>
      </c>
      <c r="C152" t="s">
        <v>86</v>
      </c>
      <c r="D152" t="s">
        <v>55</v>
      </c>
      <c r="E152" t="s">
        <v>531</v>
      </c>
      <c r="F152">
        <f>HYPERLINK("http://clipc-services.ceda.ac.uk/dreq/u/59149c7c-9e49-11e5-803c-0d0b866b59f3.html","web")</f>
        <v>0</v>
      </c>
      <c r="G152" t="s">
        <v>57</v>
      </c>
      <c r="H152" t="s">
        <v>58</v>
      </c>
      <c r="I152" t="s">
        <v>532</v>
      </c>
      <c r="J152" t="s">
        <v>478</v>
      </c>
    </row>
    <row r="153" spans="1:10">
      <c r="A153" t="s">
        <v>458</v>
      </c>
      <c r="B153" t="s">
        <v>533</v>
      </c>
      <c r="C153" t="s">
        <v>86</v>
      </c>
      <c r="D153" t="s">
        <v>55</v>
      </c>
      <c r="E153" t="s">
        <v>534</v>
      </c>
      <c r="F153">
        <f>HYPERLINK("http://clipc-services.ceda.ac.uk/dreq/u/590db4ac-9e49-11e5-803c-0d0b866b59f3.html","web")</f>
        <v>0</v>
      </c>
      <c r="G153" t="s">
        <v>57</v>
      </c>
      <c r="H153" t="s">
        <v>58</v>
      </c>
      <c r="I153" t="s">
        <v>535</v>
      </c>
      <c r="J153" t="s">
        <v>478</v>
      </c>
    </row>
    <row r="154" spans="1:10">
      <c r="A154" t="s">
        <v>458</v>
      </c>
      <c r="B154" t="s">
        <v>536</v>
      </c>
      <c r="C154" t="s">
        <v>86</v>
      </c>
      <c r="D154" t="s">
        <v>55</v>
      </c>
      <c r="E154" t="s">
        <v>537</v>
      </c>
      <c r="F154">
        <f>HYPERLINK("http://clipc-services.ceda.ac.uk/dreq/u/590d3518-9e49-11e5-803c-0d0b866b59f3.html","web")</f>
        <v>0</v>
      </c>
      <c r="G154" t="s">
        <v>57</v>
      </c>
      <c r="H154" t="s">
        <v>58</v>
      </c>
      <c r="I154" t="s">
        <v>538</v>
      </c>
      <c r="J154" t="s">
        <v>478</v>
      </c>
    </row>
    <row r="155" spans="1:10">
      <c r="A155" t="s">
        <v>458</v>
      </c>
      <c r="B155" t="s">
        <v>539</v>
      </c>
      <c r="C155" t="s">
        <v>86</v>
      </c>
      <c r="D155" t="s">
        <v>55</v>
      </c>
      <c r="E155" t="s">
        <v>540</v>
      </c>
      <c r="F155">
        <f>HYPERLINK("http://clipc-services.ceda.ac.uk/dreq/u/59146180-9e49-11e5-803c-0d0b866b59f3.html","web")</f>
        <v>0</v>
      </c>
      <c r="G155" t="s">
        <v>57</v>
      </c>
      <c r="H155" t="s">
        <v>58</v>
      </c>
      <c r="I155" t="s">
        <v>541</v>
      </c>
      <c r="J155" t="s">
        <v>505</v>
      </c>
    </row>
    <row r="156" spans="1:10">
      <c r="A156" t="s">
        <v>458</v>
      </c>
      <c r="B156" t="s">
        <v>542</v>
      </c>
      <c r="C156" t="s">
        <v>86</v>
      </c>
      <c r="D156" t="s">
        <v>55</v>
      </c>
      <c r="E156" t="s">
        <v>543</v>
      </c>
      <c r="F156">
        <f>HYPERLINK("http://clipc-services.ceda.ac.uk/dreq/u/59179aee-9e49-11e5-803c-0d0b866b59f3.html","web")</f>
        <v>0</v>
      </c>
      <c r="G156" t="s">
        <v>57</v>
      </c>
      <c r="H156" t="s">
        <v>58</v>
      </c>
      <c r="I156" t="s">
        <v>544</v>
      </c>
      <c r="J156" t="s">
        <v>498</v>
      </c>
    </row>
    <row r="157" spans="1:10">
      <c r="A157" t="s">
        <v>458</v>
      </c>
      <c r="B157" t="s">
        <v>545</v>
      </c>
      <c r="C157" t="s">
        <v>86</v>
      </c>
      <c r="D157" t="s">
        <v>55</v>
      </c>
      <c r="E157" t="s">
        <v>546</v>
      </c>
      <c r="F157">
        <f>HYPERLINK("http://clipc-services.ceda.ac.uk/dreq/u/5917ea6c-9e49-11e5-803c-0d0b866b59f3.html","web")</f>
        <v>0</v>
      </c>
      <c r="G157" t="s">
        <v>57</v>
      </c>
      <c r="H157" t="s">
        <v>58</v>
      </c>
      <c r="I157" t="s">
        <v>547</v>
      </c>
      <c r="J157" t="s">
        <v>498</v>
      </c>
    </row>
    <row r="158" spans="1:10">
      <c r="A158" t="s">
        <v>458</v>
      </c>
      <c r="B158" t="s">
        <v>548</v>
      </c>
      <c r="C158" t="s">
        <v>86</v>
      </c>
      <c r="D158" t="s">
        <v>55</v>
      </c>
      <c r="E158" t="s">
        <v>549</v>
      </c>
      <c r="F158">
        <f>HYPERLINK("http://clipc-services.ceda.ac.uk/dreq/u/59142a3a-9e49-11e5-803c-0d0b866b59f3.html","web")</f>
        <v>0</v>
      </c>
      <c r="G158" t="s">
        <v>57</v>
      </c>
      <c r="H158" t="s">
        <v>58</v>
      </c>
      <c r="I158" t="s">
        <v>550</v>
      </c>
      <c r="J158" t="s">
        <v>505</v>
      </c>
    </row>
    <row r="159" spans="1:10">
      <c r="A159" t="s">
        <v>458</v>
      </c>
      <c r="B159" t="s">
        <v>551</v>
      </c>
      <c r="C159" t="s">
        <v>86</v>
      </c>
      <c r="D159" t="s">
        <v>55</v>
      </c>
      <c r="E159" t="s">
        <v>552</v>
      </c>
      <c r="F159">
        <f>HYPERLINK("http://clipc-services.ceda.ac.uk/dreq/u/590e1ef6-9e49-11e5-803c-0d0b866b59f3.html","web")</f>
        <v>0</v>
      </c>
      <c r="G159" t="s">
        <v>57</v>
      </c>
      <c r="H159" t="s">
        <v>58</v>
      </c>
      <c r="I159" t="s">
        <v>553</v>
      </c>
      <c r="J159" t="s">
        <v>498</v>
      </c>
    </row>
    <row r="160" spans="1:10">
      <c r="A160" t="s">
        <v>458</v>
      </c>
      <c r="B160" t="s">
        <v>554</v>
      </c>
      <c r="C160" t="s">
        <v>86</v>
      </c>
      <c r="D160" t="s">
        <v>55</v>
      </c>
      <c r="E160" t="s">
        <v>555</v>
      </c>
      <c r="F160">
        <f>HYPERLINK("http://clipc-services.ceda.ac.uk/dreq/u/590de2ce-9e49-11e5-803c-0d0b866b59f3.html","web")</f>
        <v>0</v>
      </c>
      <c r="G160" t="s">
        <v>57</v>
      </c>
      <c r="H160" t="s">
        <v>58</v>
      </c>
      <c r="I160" t="s">
        <v>556</v>
      </c>
      <c r="J160" t="s">
        <v>478</v>
      </c>
    </row>
    <row r="161" spans="1:10">
      <c r="A161" t="s">
        <v>458</v>
      </c>
      <c r="B161" t="s">
        <v>557</v>
      </c>
      <c r="C161" t="s">
        <v>86</v>
      </c>
      <c r="D161" t="s">
        <v>55</v>
      </c>
      <c r="E161" t="s">
        <v>558</v>
      </c>
      <c r="F161">
        <f>HYPERLINK("http://clipc-services.ceda.ac.uk/dreq/u/59139246-9e49-11e5-803c-0d0b866b59f3.html","web")</f>
        <v>0</v>
      </c>
      <c r="G161" t="s">
        <v>57</v>
      </c>
      <c r="H161" t="s">
        <v>58</v>
      </c>
      <c r="I161" t="s">
        <v>559</v>
      </c>
      <c r="J161" t="s">
        <v>478</v>
      </c>
    </row>
    <row r="162" spans="1:10">
      <c r="A162" t="s">
        <v>458</v>
      </c>
      <c r="B162" t="s">
        <v>560</v>
      </c>
      <c r="C162" t="s">
        <v>86</v>
      </c>
      <c r="D162" t="s">
        <v>55</v>
      </c>
      <c r="E162" t="s">
        <v>561</v>
      </c>
      <c r="F162">
        <f>HYPERLINK("http://clipc-services.ceda.ac.uk/dreq/u/5914c95e-9e49-11e5-803c-0d0b866b59f3.html","web")</f>
        <v>0</v>
      </c>
      <c r="G162" t="s">
        <v>57</v>
      </c>
      <c r="H162" t="s">
        <v>58</v>
      </c>
      <c r="I162" t="s">
        <v>562</v>
      </c>
      <c r="J162" t="s">
        <v>478</v>
      </c>
    </row>
    <row r="163" spans="1:10">
      <c r="A163" t="s">
        <v>458</v>
      </c>
      <c r="B163" t="s">
        <v>563</v>
      </c>
      <c r="C163" t="s">
        <v>86</v>
      </c>
      <c r="D163" t="s">
        <v>55</v>
      </c>
      <c r="E163" t="s">
        <v>564</v>
      </c>
      <c r="F163">
        <f>HYPERLINK("http://clipc-services.ceda.ac.uk/dreq/u/590f2f8a-9e49-11e5-803c-0d0b866b59f3.html","web")</f>
        <v>0</v>
      </c>
      <c r="G163" t="s">
        <v>565</v>
      </c>
      <c r="H163" t="s">
        <v>566</v>
      </c>
      <c r="I163" t="s">
        <v>567</v>
      </c>
      <c r="J163" t="s">
        <v>498</v>
      </c>
    </row>
    <row r="164" spans="1:10">
      <c r="A164" t="s">
        <v>458</v>
      </c>
      <c r="B164" t="s">
        <v>568</v>
      </c>
      <c r="C164" t="s">
        <v>86</v>
      </c>
      <c r="D164" t="s">
        <v>55</v>
      </c>
      <c r="F164">
        <f>HYPERLINK("http://clipc-services.ceda.ac.uk/dreq/u/590ef524-9e49-11e5-803c-0d0b866b59f3.html","web")</f>
        <v>0</v>
      </c>
      <c r="G164" t="s">
        <v>57</v>
      </c>
      <c r="H164" t="s">
        <v>58</v>
      </c>
      <c r="I164" t="s">
        <v>569</v>
      </c>
      <c r="J164" t="s">
        <v>478</v>
      </c>
    </row>
    <row r="165" spans="1:10">
      <c r="A165" t="s">
        <v>458</v>
      </c>
      <c r="B165" t="s">
        <v>570</v>
      </c>
      <c r="C165" t="s">
        <v>86</v>
      </c>
      <c r="D165" t="s">
        <v>55</v>
      </c>
      <c r="E165" t="s">
        <v>571</v>
      </c>
      <c r="F165">
        <f>HYPERLINK("http://clipc-services.ceda.ac.uk/dreq/u/590ecbda-9e49-11e5-803c-0d0b866b59f3.html","web")</f>
        <v>0</v>
      </c>
      <c r="G165" t="s">
        <v>57</v>
      </c>
      <c r="H165" t="s">
        <v>58</v>
      </c>
      <c r="I165" t="s">
        <v>572</v>
      </c>
      <c r="J165" t="s">
        <v>478</v>
      </c>
    </row>
    <row r="166" spans="1:10">
      <c r="A166" t="s">
        <v>458</v>
      </c>
      <c r="B166" t="s">
        <v>573</v>
      </c>
      <c r="C166" t="s">
        <v>86</v>
      </c>
      <c r="D166" t="s">
        <v>55</v>
      </c>
      <c r="E166" t="s">
        <v>574</v>
      </c>
      <c r="F166">
        <f>HYPERLINK("http://clipc-services.ceda.ac.uk/dreq/u/5917ba9c-9e49-11e5-803c-0d0b866b59f3.html","web")</f>
        <v>0</v>
      </c>
      <c r="G166" t="s">
        <v>57</v>
      </c>
      <c r="H166" t="s">
        <v>58</v>
      </c>
      <c r="I166" t="s">
        <v>575</v>
      </c>
      <c r="J166" t="s">
        <v>478</v>
      </c>
    </row>
    <row r="167" spans="1:10">
      <c r="A167" t="s">
        <v>458</v>
      </c>
      <c r="B167" t="s">
        <v>576</v>
      </c>
      <c r="C167" t="s">
        <v>86</v>
      </c>
      <c r="D167" t="s">
        <v>55</v>
      </c>
      <c r="E167" t="s">
        <v>577</v>
      </c>
      <c r="F167">
        <f>HYPERLINK("http://clipc-services.ceda.ac.uk/dreq/u/590dce42-9e49-11e5-803c-0d0b866b59f3.html","web")</f>
        <v>0</v>
      </c>
      <c r="G167" t="s">
        <v>57</v>
      </c>
      <c r="H167" t="s">
        <v>58</v>
      </c>
      <c r="I167" t="s">
        <v>578</v>
      </c>
      <c r="J167" t="s">
        <v>478</v>
      </c>
    </row>
    <row r="168" spans="1:10">
      <c r="A168" t="s">
        <v>458</v>
      </c>
      <c r="B168" t="s">
        <v>579</v>
      </c>
      <c r="C168" t="s">
        <v>12</v>
      </c>
      <c r="D168" t="s">
        <v>55</v>
      </c>
      <c r="E168" t="s">
        <v>580</v>
      </c>
      <c r="F168">
        <f>HYPERLINK("http://clipc-services.ceda.ac.uk/dreq/u/590f4f2e-9e49-11e5-803c-0d0b866b59f3.html","web")</f>
        <v>0</v>
      </c>
      <c r="G168" t="s">
        <v>57</v>
      </c>
      <c r="H168" t="s">
        <v>58</v>
      </c>
      <c r="I168" t="s">
        <v>581</v>
      </c>
      <c r="J168" t="s">
        <v>462</v>
      </c>
    </row>
    <row r="169" spans="1:10">
      <c r="A169" t="s">
        <v>458</v>
      </c>
      <c r="B169" t="s">
        <v>582</v>
      </c>
      <c r="C169" t="s">
        <v>86</v>
      </c>
      <c r="D169" t="s">
        <v>55</v>
      </c>
      <c r="E169" t="s">
        <v>583</v>
      </c>
      <c r="F169">
        <f>HYPERLINK("http://clipc-services.ceda.ac.uk/dreq/u/59172e42-9e49-11e5-803c-0d0b866b59f3.html","web")</f>
        <v>0</v>
      </c>
      <c r="G169" t="s">
        <v>57</v>
      </c>
      <c r="H169" t="s">
        <v>58</v>
      </c>
      <c r="I169" t="s">
        <v>584</v>
      </c>
      <c r="J169" t="s">
        <v>478</v>
      </c>
    </row>
    <row r="170" spans="1:10">
      <c r="A170" t="s">
        <v>458</v>
      </c>
      <c r="B170" t="s">
        <v>585</v>
      </c>
      <c r="C170" t="s">
        <v>86</v>
      </c>
      <c r="D170" t="s">
        <v>55</v>
      </c>
      <c r="E170" t="s">
        <v>586</v>
      </c>
      <c r="F170">
        <f>HYPERLINK("http://clipc-services.ceda.ac.uk/dreq/u/59172bcc-9e49-11e5-803c-0d0b866b59f3.html","web")</f>
        <v>0</v>
      </c>
      <c r="G170" t="s">
        <v>57</v>
      </c>
      <c r="H170" t="s">
        <v>58</v>
      </c>
      <c r="I170" t="s">
        <v>584</v>
      </c>
      <c r="J170" t="s">
        <v>478</v>
      </c>
    </row>
    <row r="171" spans="1:10">
      <c r="A171" t="s">
        <v>458</v>
      </c>
      <c r="B171" t="s">
        <v>587</v>
      </c>
      <c r="C171" t="s">
        <v>86</v>
      </c>
      <c r="D171" t="s">
        <v>55</v>
      </c>
      <c r="E171" t="s">
        <v>588</v>
      </c>
      <c r="F171">
        <f>HYPERLINK("http://clipc-services.ceda.ac.uk/dreq/u/5913f77c-9e49-11e5-803c-0d0b866b59f3.html","web")</f>
        <v>0</v>
      </c>
      <c r="G171" t="s">
        <v>57</v>
      </c>
      <c r="H171" t="s">
        <v>58</v>
      </c>
      <c r="I171" t="s">
        <v>588</v>
      </c>
      <c r="J171" t="s">
        <v>589</v>
      </c>
    </row>
    <row r="172" spans="1:10">
      <c r="A172" t="s">
        <v>458</v>
      </c>
      <c r="B172" t="s">
        <v>590</v>
      </c>
      <c r="C172" t="s">
        <v>86</v>
      </c>
      <c r="D172" t="s">
        <v>55</v>
      </c>
      <c r="E172" t="s">
        <v>591</v>
      </c>
      <c r="F172">
        <f>HYPERLINK("http://clipc-services.ceda.ac.uk/dreq/u/591774d8-9e49-11e5-803c-0d0b866b59f3.html","web")</f>
        <v>0</v>
      </c>
      <c r="G172" t="s">
        <v>57</v>
      </c>
      <c r="H172" t="s">
        <v>58</v>
      </c>
      <c r="I172" t="s">
        <v>591</v>
      </c>
      <c r="J172" t="s">
        <v>589</v>
      </c>
    </row>
    <row r="173" spans="1:10">
      <c r="A173" t="s">
        <v>458</v>
      </c>
      <c r="B173" t="s">
        <v>592</v>
      </c>
      <c r="C173" t="s">
        <v>86</v>
      </c>
      <c r="D173" t="s">
        <v>55</v>
      </c>
      <c r="E173" t="s">
        <v>593</v>
      </c>
      <c r="F173">
        <f>HYPERLINK("http://clipc-services.ceda.ac.uk/dreq/u/590d2848-9e49-11e5-803c-0d0b866b59f3.html","web")</f>
        <v>0</v>
      </c>
      <c r="G173" t="s">
        <v>57</v>
      </c>
      <c r="H173" t="s">
        <v>58</v>
      </c>
      <c r="I173" t="s">
        <v>593</v>
      </c>
      <c r="J173" t="s">
        <v>478</v>
      </c>
    </row>
    <row r="174" spans="1:10">
      <c r="A174" t="s">
        <v>458</v>
      </c>
      <c r="B174" t="s">
        <v>594</v>
      </c>
      <c r="C174" t="s">
        <v>86</v>
      </c>
      <c r="D174" t="s">
        <v>55</v>
      </c>
      <c r="E174" t="s">
        <v>595</v>
      </c>
      <c r="F174">
        <f>HYPERLINK("http://clipc-services.ceda.ac.uk/dreq/u/59150da6-9e49-11e5-803c-0d0b866b59f3.html","web")</f>
        <v>0</v>
      </c>
      <c r="G174" t="s">
        <v>57</v>
      </c>
      <c r="H174" t="s">
        <v>58</v>
      </c>
      <c r="I174" t="s">
        <v>595</v>
      </c>
      <c r="J174" t="s">
        <v>478</v>
      </c>
    </row>
    <row r="175" spans="1:10">
      <c r="A175" t="s">
        <v>458</v>
      </c>
      <c r="B175" t="s">
        <v>596</v>
      </c>
      <c r="C175" t="s">
        <v>86</v>
      </c>
      <c r="D175" t="s">
        <v>55</v>
      </c>
      <c r="E175" t="s">
        <v>597</v>
      </c>
      <c r="F175">
        <f>HYPERLINK("http://clipc-services.ceda.ac.uk/dreq/u/590e9390-9e49-11e5-803c-0d0b866b59f3.html","web")</f>
        <v>0</v>
      </c>
      <c r="G175" t="s">
        <v>57</v>
      </c>
      <c r="H175" t="s">
        <v>58</v>
      </c>
      <c r="I175" t="s">
        <v>598</v>
      </c>
      <c r="J175" t="s">
        <v>478</v>
      </c>
    </row>
    <row r="176" spans="1:10">
      <c r="A176" t="s">
        <v>458</v>
      </c>
      <c r="B176" t="s">
        <v>599</v>
      </c>
      <c r="C176" t="s">
        <v>54</v>
      </c>
      <c r="D176" t="s">
        <v>55</v>
      </c>
      <c r="E176" t="s">
        <v>600</v>
      </c>
      <c r="F176">
        <f>HYPERLINK("http://clipc-services.ceda.ac.uk/dreq/u/590ed33c-9e49-11e5-803c-0d0b866b59f3.html","web")</f>
        <v>0</v>
      </c>
      <c r="G176" t="s">
        <v>57</v>
      </c>
      <c r="H176" t="s">
        <v>58</v>
      </c>
      <c r="I176" t="s">
        <v>601</v>
      </c>
      <c r="J176" t="s">
        <v>478</v>
      </c>
    </row>
    <row r="177" spans="1:10">
      <c r="A177" t="s">
        <v>458</v>
      </c>
      <c r="B177" t="s">
        <v>602</v>
      </c>
      <c r="C177" t="s">
        <v>54</v>
      </c>
      <c r="D177" t="s">
        <v>55</v>
      </c>
      <c r="E177" t="s">
        <v>603</v>
      </c>
      <c r="F177">
        <f>HYPERLINK("http://clipc-services.ceda.ac.uk/dreq/u/590d7654-9e49-11e5-803c-0d0b866b59f3.html","web")</f>
        <v>0</v>
      </c>
      <c r="G177" t="s">
        <v>57</v>
      </c>
      <c r="H177" t="s">
        <v>58</v>
      </c>
      <c r="I177" t="s">
        <v>604</v>
      </c>
      <c r="J177" t="s">
        <v>478</v>
      </c>
    </row>
    <row r="178" spans="1:10">
      <c r="A178" t="s">
        <v>458</v>
      </c>
      <c r="B178" t="s">
        <v>605</v>
      </c>
      <c r="C178" t="s">
        <v>54</v>
      </c>
      <c r="D178" t="s">
        <v>55</v>
      </c>
      <c r="E178" t="s">
        <v>606</v>
      </c>
      <c r="F178">
        <f>HYPERLINK("http://clipc-services.ceda.ac.uk/dreq/u/590e3ee0-9e49-11e5-803c-0d0b866b59f3.html","web")</f>
        <v>0</v>
      </c>
      <c r="G178" t="s">
        <v>57</v>
      </c>
      <c r="H178" t="s">
        <v>58</v>
      </c>
      <c r="I178" t="s">
        <v>607</v>
      </c>
      <c r="J178" t="s">
        <v>478</v>
      </c>
    </row>
    <row r="179" spans="1:10">
      <c r="A179" t="s">
        <v>458</v>
      </c>
      <c r="B179" t="s">
        <v>608</v>
      </c>
      <c r="C179" t="s">
        <v>54</v>
      </c>
      <c r="D179" t="s">
        <v>55</v>
      </c>
      <c r="E179" t="s">
        <v>609</v>
      </c>
      <c r="F179">
        <f>HYPERLINK("http://clipc-services.ceda.ac.uk/dreq/u/590d4fc6-9e49-11e5-803c-0d0b866b59f3.html","web")</f>
        <v>0</v>
      </c>
      <c r="G179" t="s">
        <v>57</v>
      </c>
      <c r="H179" t="s">
        <v>58</v>
      </c>
      <c r="I179" t="s">
        <v>610</v>
      </c>
      <c r="J179" t="s">
        <v>478</v>
      </c>
    </row>
    <row r="180" spans="1:10">
      <c r="A180" t="s">
        <v>458</v>
      </c>
      <c r="B180" t="s">
        <v>611</v>
      </c>
      <c r="C180" t="s">
        <v>54</v>
      </c>
      <c r="D180" t="s">
        <v>55</v>
      </c>
      <c r="E180" t="s">
        <v>612</v>
      </c>
      <c r="F180">
        <f>HYPERLINK("http://clipc-services.ceda.ac.uk/dreq/u/590df8a4-9e49-11e5-803c-0d0b866b59f3.html","web")</f>
        <v>0</v>
      </c>
      <c r="G180" t="s">
        <v>57</v>
      </c>
      <c r="H180" t="s">
        <v>58</v>
      </c>
      <c r="I180" t="s">
        <v>613</v>
      </c>
      <c r="J180" t="s">
        <v>478</v>
      </c>
    </row>
    <row r="181" spans="1:10">
      <c r="A181" t="s">
        <v>458</v>
      </c>
      <c r="B181" t="s">
        <v>614</v>
      </c>
      <c r="C181" t="s">
        <v>54</v>
      </c>
      <c r="D181" t="s">
        <v>55</v>
      </c>
      <c r="E181" t="s">
        <v>615</v>
      </c>
      <c r="F181">
        <f>HYPERLINK("http://clipc-services.ceda.ac.uk/dreq/u/590df5e8-9e49-11e5-803c-0d0b866b59f3.html","web")</f>
        <v>0</v>
      </c>
      <c r="G181" t="s">
        <v>57</v>
      </c>
      <c r="H181" t="s">
        <v>58</v>
      </c>
      <c r="I181" t="s">
        <v>616</v>
      </c>
      <c r="J181" t="s">
        <v>478</v>
      </c>
    </row>
    <row r="182" spans="1:10">
      <c r="A182" t="s">
        <v>458</v>
      </c>
      <c r="B182" t="s">
        <v>617</v>
      </c>
      <c r="C182" t="s">
        <v>54</v>
      </c>
      <c r="D182" t="s">
        <v>298</v>
      </c>
      <c r="E182" t="s">
        <v>618</v>
      </c>
      <c r="F182">
        <f>HYPERLINK("http://clipc-services.ceda.ac.uk/dreq/u/590e4bd8-9e49-11e5-803c-0d0b866b59f3.html","web")</f>
        <v>0</v>
      </c>
      <c r="G182" t="s">
        <v>57</v>
      </c>
      <c r="H182" t="s">
        <v>58</v>
      </c>
      <c r="I182" t="s">
        <v>619</v>
      </c>
      <c r="J182" t="s">
        <v>478</v>
      </c>
    </row>
    <row r="183" spans="1:10">
      <c r="A183" t="s">
        <v>458</v>
      </c>
      <c r="B183" t="s">
        <v>620</v>
      </c>
      <c r="C183" t="s">
        <v>54</v>
      </c>
      <c r="D183" t="s">
        <v>298</v>
      </c>
      <c r="E183" t="s">
        <v>621</v>
      </c>
      <c r="F183">
        <f>HYPERLINK("http://clipc-services.ceda.ac.uk/dreq/u/590ea16e-9e49-11e5-803c-0d0b866b59f3.html","web")</f>
        <v>0</v>
      </c>
      <c r="G183" t="s">
        <v>57</v>
      </c>
      <c r="H183" t="s">
        <v>58</v>
      </c>
      <c r="I183" t="s">
        <v>622</v>
      </c>
      <c r="J183" t="s">
        <v>478</v>
      </c>
    </row>
    <row r="184" spans="1:10">
      <c r="A184" t="s">
        <v>458</v>
      </c>
      <c r="B184" t="s">
        <v>623</v>
      </c>
      <c r="C184" t="s">
        <v>86</v>
      </c>
      <c r="D184" t="s">
        <v>298</v>
      </c>
      <c r="E184" t="s">
        <v>624</v>
      </c>
      <c r="F184">
        <f>HYPERLINK("http://clipc-services.ceda.ac.uk/dreq/u/590d7924-9e49-11e5-803c-0d0b866b59f3.html","web")</f>
        <v>0</v>
      </c>
      <c r="G184" t="s">
        <v>57</v>
      </c>
      <c r="H184" t="s">
        <v>58</v>
      </c>
      <c r="I184" t="s">
        <v>625</v>
      </c>
      <c r="J184" t="s">
        <v>478</v>
      </c>
    </row>
    <row r="185" spans="1:10">
      <c r="A185" t="s">
        <v>458</v>
      </c>
      <c r="B185" t="s">
        <v>626</v>
      </c>
      <c r="C185" t="s">
        <v>86</v>
      </c>
      <c r="D185" t="s">
        <v>298</v>
      </c>
      <c r="E185" t="s">
        <v>627</v>
      </c>
      <c r="F185">
        <f>HYPERLINK("http://clipc-services.ceda.ac.uk/dreq/u/590d70b4-9e49-11e5-803c-0d0b866b59f3.html","web")</f>
        <v>0</v>
      </c>
      <c r="G185" t="s">
        <v>57</v>
      </c>
      <c r="H185" t="s">
        <v>58</v>
      </c>
      <c r="I185" t="s">
        <v>628</v>
      </c>
      <c r="J185" t="s">
        <v>478</v>
      </c>
    </row>
    <row r="186" spans="1:10">
      <c r="A186" t="s">
        <v>458</v>
      </c>
      <c r="B186" t="s">
        <v>629</v>
      </c>
      <c r="C186" t="s">
        <v>86</v>
      </c>
      <c r="D186" t="s">
        <v>442</v>
      </c>
      <c r="E186" t="s">
        <v>630</v>
      </c>
      <c r="F186">
        <f>HYPERLINK("http://clipc-services.ceda.ac.uk/dreq/u/5917b45c-9e49-11e5-803c-0d0b866b59f3.html","web")</f>
        <v>0</v>
      </c>
      <c r="G186" t="s">
        <v>57</v>
      </c>
      <c r="H186" t="s">
        <v>58</v>
      </c>
      <c r="I186" t="s">
        <v>631</v>
      </c>
      <c r="J186" t="s">
        <v>478</v>
      </c>
    </row>
    <row r="187" spans="1:10">
      <c r="A187" t="s">
        <v>458</v>
      </c>
      <c r="B187" t="s">
        <v>632</v>
      </c>
      <c r="C187" t="s">
        <v>86</v>
      </c>
      <c r="D187" t="s">
        <v>442</v>
      </c>
      <c r="E187" t="s">
        <v>633</v>
      </c>
      <c r="F187">
        <f>HYPERLINK("http://clipc-services.ceda.ac.uk/dreq/u/590e9ed0-9e49-11e5-803c-0d0b866b59f3.html","web")</f>
        <v>0</v>
      </c>
      <c r="G187" t="s">
        <v>57</v>
      </c>
      <c r="H187" t="s">
        <v>58</v>
      </c>
      <c r="I187" t="s">
        <v>634</v>
      </c>
      <c r="J187" t="s">
        <v>478</v>
      </c>
    </row>
    <row r="188" spans="1:10">
      <c r="A188" t="s">
        <v>458</v>
      </c>
      <c r="B188" t="s">
        <v>635</v>
      </c>
      <c r="C188" t="s">
        <v>86</v>
      </c>
      <c r="D188" t="s">
        <v>442</v>
      </c>
      <c r="E188" t="s">
        <v>636</v>
      </c>
      <c r="F188">
        <f>HYPERLINK("http://clipc-services.ceda.ac.uk/dreq/u/5913c9aa-9e49-11e5-803c-0d0b866b59f3.html","web")</f>
        <v>0</v>
      </c>
      <c r="G188" t="s">
        <v>57</v>
      </c>
      <c r="H188" t="s">
        <v>58</v>
      </c>
      <c r="I188" t="s">
        <v>637</v>
      </c>
      <c r="J188" t="s">
        <v>478</v>
      </c>
    </row>
    <row r="189" spans="1:10">
      <c r="A189" t="s">
        <v>458</v>
      </c>
      <c r="B189" t="s">
        <v>638</v>
      </c>
      <c r="C189" t="s">
        <v>86</v>
      </c>
      <c r="D189" t="s">
        <v>442</v>
      </c>
      <c r="E189" t="s">
        <v>639</v>
      </c>
      <c r="F189">
        <f>HYPERLINK("http://clipc-services.ceda.ac.uk/dreq/u/590ee2fa-9e49-11e5-803c-0d0b866b59f3.html","web")</f>
        <v>0</v>
      </c>
      <c r="G189" t="s">
        <v>57</v>
      </c>
      <c r="H189" t="s">
        <v>58</v>
      </c>
      <c r="I189" t="s">
        <v>640</v>
      </c>
      <c r="J189" t="s">
        <v>478</v>
      </c>
    </row>
    <row r="190" spans="1:10">
      <c r="A190" t="s">
        <v>458</v>
      </c>
      <c r="B190" t="s">
        <v>641</v>
      </c>
      <c r="C190" t="s">
        <v>86</v>
      </c>
      <c r="D190" t="s">
        <v>442</v>
      </c>
      <c r="E190" t="s">
        <v>642</v>
      </c>
      <c r="F190">
        <f>HYPERLINK("http://clipc-services.ceda.ac.uk/dreq/u/59139a70-9e49-11e5-803c-0d0b866b59f3.html","web")</f>
        <v>0</v>
      </c>
      <c r="G190" t="s">
        <v>57</v>
      </c>
      <c r="H190" t="s">
        <v>58</v>
      </c>
      <c r="I190" t="s">
        <v>643</v>
      </c>
      <c r="J190" t="s">
        <v>478</v>
      </c>
    </row>
    <row r="191" spans="1:10">
      <c r="A191" t="s">
        <v>458</v>
      </c>
      <c r="B191" t="s">
        <v>644</v>
      </c>
      <c r="C191" t="s">
        <v>86</v>
      </c>
      <c r="D191" t="s">
        <v>442</v>
      </c>
      <c r="E191" t="s">
        <v>645</v>
      </c>
      <c r="F191">
        <f>HYPERLINK("http://clipc-services.ceda.ac.uk/dreq/u/59139548-9e49-11e5-803c-0d0b866b59f3.html","web")</f>
        <v>0</v>
      </c>
      <c r="G191" t="s">
        <v>57</v>
      </c>
      <c r="H191" t="s">
        <v>58</v>
      </c>
      <c r="I191" t="s">
        <v>646</v>
      </c>
      <c r="J191" t="s">
        <v>478</v>
      </c>
    </row>
    <row r="192" spans="1:10">
      <c r="A192" t="s">
        <v>458</v>
      </c>
      <c r="B192" t="s">
        <v>647</v>
      </c>
      <c r="C192" t="s">
        <v>86</v>
      </c>
      <c r="D192" t="s">
        <v>648</v>
      </c>
      <c r="E192" t="s">
        <v>649</v>
      </c>
      <c r="F192">
        <f>HYPERLINK("http://clipc-services.ceda.ac.uk/dreq/u/73097b4c-7a68-11e6-8db2-ac72891c3257.html","web")</f>
        <v>0</v>
      </c>
      <c r="G192" t="s">
        <v>57</v>
      </c>
      <c r="H192" t="s">
        <v>58</v>
      </c>
      <c r="I192" t="s">
        <v>650</v>
      </c>
      <c r="J192" t="s">
        <v>478</v>
      </c>
    </row>
    <row r="193" spans="1:10">
      <c r="A193" t="s">
        <v>458</v>
      </c>
      <c r="B193" t="s">
        <v>651</v>
      </c>
      <c r="C193" t="s">
        <v>86</v>
      </c>
      <c r="D193" t="s">
        <v>648</v>
      </c>
      <c r="E193" t="s">
        <v>652</v>
      </c>
      <c r="F193">
        <f>HYPERLINK("http://clipc-services.ceda.ac.uk/dreq/u/7309b2ce-7a68-11e6-8db2-ac72891c3257.html","web")</f>
        <v>0</v>
      </c>
      <c r="G193" t="s">
        <v>57</v>
      </c>
      <c r="H193" t="s">
        <v>58</v>
      </c>
      <c r="I193" t="s">
        <v>653</v>
      </c>
      <c r="J193" t="s">
        <v>478</v>
      </c>
    </row>
    <row r="195" spans="1:10">
      <c r="A195" t="s">
        <v>654</v>
      </c>
      <c r="B195" t="s">
        <v>390</v>
      </c>
      <c r="C195" t="s">
        <v>12</v>
      </c>
      <c r="D195" t="s">
        <v>655</v>
      </c>
      <c r="E195" t="s">
        <v>392</v>
      </c>
      <c r="F195">
        <f>HYPERLINK("http://clipc-services.ceda.ac.uk/dreq/u/c8b1814845661bcad37910e70a59b285.html","web")</f>
        <v>0</v>
      </c>
      <c r="G195" t="s">
        <v>393</v>
      </c>
      <c r="H195" t="s">
        <v>394</v>
      </c>
      <c r="I195" t="s">
        <v>392</v>
      </c>
      <c r="J195" t="s">
        <v>656</v>
      </c>
    </row>
    <row r="196" spans="1:10">
      <c r="A196" t="s">
        <v>654</v>
      </c>
      <c r="B196" t="s">
        <v>396</v>
      </c>
      <c r="C196" t="s">
        <v>12</v>
      </c>
      <c r="D196" t="s">
        <v>655</v>
      </c>
      <c r="E196" t="s">
        <v>397</v>
      </c>
      <c r="F196">
        <f>HYPERLINK("http://clipc-services.ceda.ac.uk/dreq/u/93a0ba1f23bfc41b720ea68951d28144.html","web")</f>
        <v>0</v>
      </c>
      <c r="G196" t="s">
        <v>398</v>
      </c>
      <c r="H196" t="s">
        <v>394</v>
      </c>
      <c r="I196" t="s">
        <v>397</v>
      </c>
      <c r="J196" t="s">
        <v>656</v>
      </c>
    </row>
    <row r="197" spans="1:10">
      <c r="A197" t="s">
        <v>654</v>
      </c>
      <c r="B197" t="s">
        <v>399</v>
      </c>
      <c r="C197" t="s">
        <v>12</v>
      </c>
      <c r="D197" t="s">
        <v>655</v>
      </c>
      <c r="E197" t="s">
        <v>400</v>
      </c>
      <c r="F197">
        <f>HYPERLINK("http://clipc-services.ceda.ac.uk/dreq/u/52f043533a691ca5721460e316c3a328.html","web")</f>
        <v>0</v>
      </c>
      <c r="G197" t="s">
        <v>401</v>
      </c>
      <c r="H197" t="s">
        <v>402</v>
      </c>
      <c r="I197" t="s">
        <v>403</v>
      </c>
      <c r="J197" t="s">
        <v>656</v>
      </c>
    </row>
    <row r="198" spans="1:10">
      <c r="A198" t="s">
        <v>654</v>
      </c>
      <c r="B198" t="s">
        <v>404</v>
      </c>
      <c r="C198" t="s">
        <v>12</v>
      </c>
      <c r="D198" t="s">
        <v>655</v>
      </c>
      <c r="E198" t="s">
        <v>405</v>
      </c>
      <c r="F198">
        <f>HYPERLINK("http://clipc-services.ceda.ac.uk/dreq/u/2a6093caf9e5cd42fb2fba6bdb73d6db.html","web")</f>
        <v>0</v>
      </c>
      <c r="G198" t="s">
        <v>406</v>
      </c>
      <c r="H198" t="s">
        <v>394</v>
      </c>
      <c r="I198" t="s">
        <v>405</v>
      </c>
      <c r="J198" t="s">
        <v>656</v>
      </c>
    </row>
    <row r="199" spans="1:10">
      <c r="A199" t="s">
        <v>654</v>
      </c>
      <c r="B199" t="s">
        <v>407</v>
      </c>
      <c r="C199" t="s">
        <v>12</v>
      </c>
      <c r="D199" t="s">
        <v>655</v>
      </c>
      <c r="E199" t="s">
        <v>408</v>
      </c>
      <c r="F199">
        <f>HYPERLINK("http://clipc-services.ceda.ac.uk/dreq/u/a1d576b3fc447c37d782926441428ffd.html","web")</f>
        <v>0</v>
      </c>
      <c r="G199" t="s">
        <v>409</v>
      </c>
      <c r="H199" t="s">
        <v>394</v>
      </c>
      <c r="I199" t="s">
        <v>403</v>
      </c>
      <c r="J199" t="s">
        <v>656</v>
      </c>
    </row>
    <row r="200" spans="1:10">
      <c r="A200" t="s">
        <v>654</v>
      </c>
      <c r="B200" t="s">
        <v>410</v>
      </c>
      <c r="C200" t="s">
        <v>12</v>
      </c>
      <c r="D200" t="s">
        <v>655</v>
      </c>
      <c r="E200" t="s">
        <v>411</v>
      </c>
      <c r="F200">
        <f>HYPERLINK("http://clipc-services.ceda.ac.uk/dreq/u/6e30ba1e2c19dcbd85faa176d4eae596.html","web")</f>
        <v>0</v>
      </c>
      <c r="G200" t="s">
        <v>412</v>
      </c>
      <c r="H200" t="s">
        <v>394</v>
      </c>
      <c r="I200" t="s">
        <v>413</v>
      </c>
      <c r="J200" t="s">
        <v>656</v>
      </c>
    </row>
    <row r="201" spans="1:10">
      <c r="A201" t="s">
        <v>654</v>
      </c>
      <c r="B201" t="s">
        <v>216</v>
      </c>
      <c r="C201" t="s">
        <v>12</v>
      </c>
      <c r="D201" t="s">
        <v>55</v>
      </c>
      <c r="E201" t="s">
        <v>657</v>
      </c>
      <c r="F201">
        <f>HYPERLINK("http://clipc-services.ceda.ac.uk/dreq/u/b045cae1f65ba99831648f136b309e91.html","web")</f>
        <v>0</v>
      </c>
      <c r="G201" t="s">
        <v>218</v>
      </c>
      <c r="H201" t="s">
        <v>219</v>
      </c>
      <c r="I201" t="s">
        <v>220</v>
      </c>
      <c r="J201" t="s">
        <v>658</v>
      </c>
    </row>
    <row r="202" spans="1:10">
      <c r="A202" t="s">
        <v>654</v>
      </c>
      <c r="B202" t="s">
        <v>222</v>
      </c>
      <c r="C202" t="s">
        <v>12</v>
      </c>
      <c r="D202" t="s">
        <v>55</v>
      </c>
      <c r="E202" t="s">
        <v>223</v>
      </c>
      <c r="F202">
        <f>HYPERLINK("http://clipc-services.ceda.ac.uk/dreq/u/bb4d31072e09cd4935f1c20a2c533bbd.html","web")</f>
        <v>0</v>
      </c>
      <c r="G202" t="s">
        <v>224</v>
      </c>
      <c r="H202" t="s">
        <v>219</v>
      </c>
      <c r="I202" t="s">
        <v>225</v>
      </c>
      <c r="J202" t="s">
        <v>659</v>
      </c>
    </row>
    <row r="203" spans="1:10">
      <c r="A203" t="s">
        <v>654</v>
      </c>
      <c r="B203" t="s">
        <v>226</v>
      </c>
      <c r="C203" t="s">
        <v>12</v>
      </c>
      <c r="D203" t="s">
        <v>55</v>
      </c>
      <c r="E203" t="s">
        <v>227</v>
      </c>
      <c r="F203">
        <f>HYPERLINK("http://clipc-services.ceda.ac.uk/dreq/u/987be9b68c051baf4f0c5b6e8c26b4d8.html","web")</f>
        <v>0</v>
      </c>
      <c r="G203" t="s">
        <v>228</v>
      </c>
      <c r="H203" t="s">
        <v>219</v>
      </c>
      <c r="I203" t="s">
        <v>229</v>
      </c>
      <c r="J203" t="s">
        <v>659</v>
      </c>
    </row>
    <row r="204" spans="1:10">
      <c r="A204" t="s">
        <v>654</v>
      </c>
      <c r="B204" t="s">
        <v>230</v>
      </c>
      <c r="C204" t="s">
        <v>12</v>
      </c>
      <c r="D204" t="s">
        <v>55</v>
      </c>
      <c r="E204" t="s">
        <v>660</v>
      </c>
      <c r="F204">
        <f>HYPERLINK("http://clipc-services.ceda.ac.uk/dreq/u/ce9ab9b945fcc86013ad10431d8f252e.html","web")</f>
        <v>0</v>
      </c>
      <c r="G204" t="s">
        <v>232</v>
      </c>
      <c r="H204" t="s">
        <v>219</v>
      </c>
      <c r="J204" t="s">
        <v>659</v>
      </c>
    </row>
    <row r="205" spans="1:10">
      <c r="A205" t="s">
        <v>654</v>
      </c>
      <c r="B205" t="s">
        <v>233</v>
      </c>
      <c r="C205" t="s">
        <v>12</v>
      </c>
      <c r="D205" t="s">
        <v>234</v>
      </c>
      <c r="E205" t="s">
        <v>661</v>
      </c>
      <c r="F205">
        <f>HYPERLINK("http://clipc-services.ceda.ac.uk/dreq/u/0bbbf303ac691061a69938846f32b23b.html","web")</f>
        <v>0</v>
      </c>
      <c r="G205" t="s">
        <v>236</v>
      </c>
      <c r="H205" t="s">
        <v>219</v>
      </c>
      <c r="I205" t="s">
        <v>237</v>
      </c>
      <c r="J205" t="s">
        <v>659</v>
      </c>
    </row>
    <row r="206" spans="1:10">
      <c r="A206" t="s">
        <v>654</v>
      </c>
      <c r="B206" t="s">
        <v>238</v>
      </c>
      <c r="C206" t="s">
        <v>12</v>
      </c>
      <c r="D206" t="s">
        <v>239</v>
      </c>
      <c r="E206" t="s">
        <v>662</v>
      </c>
      <c r="F206">
        <f>HYPERLINK("http://clipc-services.ceda.ac.uk/dreq/u/fe9d4b45792f7d6430fe2a9c9b7234b1.html","web")</f>
        <v>0</v>
      </c>
      <c r="G206" t="s">
        <v>241</v>
      </c>
      <c r="H206" t="s">
        <v>219</v>
      </c>
      <c r="I206" t="s">
        <v>242</v>
      </c>
      <c r="J206" t="s">
        <v>659</v>
      </c>
    </row>
    <row r="207" spans="1:10">
      <c r="A207" t="s">
        <v>654</v>
      </c>
      <c r="B207" t="s">
        <v>243</v>
      </c>
      <c r="C207" t="s">
        <v>12</v>
      </c>
      <c r="D207" t="s">
        <v>244</v>
      </c>
      <c r="E207" t="s">
        <v>663</v>
      </c>
      <c r="F207">
        <f>HYPERLINK("http://clipc-services.ceda.ac.uk/dreq/u/7308096ae00ff52340909b2a59415f82.html","web")</f>
        <v>0</v>
      </c>
      <c r="G207" t="s">
        <v>246</v>
      </c>
      <c r="H207" t="s">
        <v>219</v>
      </c>
      <c r="I207" t="s">
        <v>247</v>
      </c>
      <c r="J207" t="s">
        <v>659</v>
      </c>
    </row>
    <row r="209" spans="1:10">
      <c r="A209" t="s">
        <v>664</v>
      </c>
      <c r="B209" t="s">
        <v>85</v>
      </c>
      <c r="C209" t="s">
        <v>12</v>
      </c>
      <c r="D209" t="s">
        <v>87</v>
      </c>
      <c r="E209" t="s">
        <v>665</v>
      </c>
      <c r="F209">
        <f>HYPERLINK("http://clipc-services.ceda.ac.uk/dreq/u/42625c97b8fe75124a345962c4430982.html","web")</f>
        <v>0</v>
      </c>
      <c r="G209" t="s">
        <v>57</v>
      </c>
      <c r="H209" t="s">
        <v>58</v>
      </c>
      <c r="I209" t="s">
        <v>89</v>
      </c>
      <c r="J209" t="s">
        <v>666</v>
      </c>
    </row>
    <row r="210" spans="1:10">
      <c r="A210" t="s">
        <v>664</v>
      </c>
      <c r="B210" t="s">
        <v>91</v>
      </c>
      <c r="C210" t="s">
        <v>86</v>
      </c>
      <c r="D210" t="s">
        <v>87</v>
      </c>
      <c r="E210" t="s">
        <v>667</v>
      </c>
      <c r="F210">
        <f>HYPERLINK("http://clipc-services.ceda.ac.uk/dreq/u/3ab8e10027d7014f18f9391890369235.html","web")</f>
        <v>0</v>
      </c>
      <c r="G210" t="s">
        <v>57</v>
      </c>
      <c r="H210" t="s">
        <v>58</v>
      </c>
      <c r="I210" t="s">
        <v>93</v>
      </c>
      <c r="J210" t="s">
        <v>668</v>
      </c>
    </row>
    <row r="211" spans="1:10">
      <c r="A211" t="s">
        <v>664</v>
      </c>
      <c r="B211" t="s">
        <v>669</v>
      </c>
      <c r="C211" t="s">
        <v>12</v>
      </c>
      <c r="D211" t="s">
        <v>55</v>
      </c>
      <c r="E211" t="s">
        <v>670</v>
      </c>
      <c r="F211">
        <f>HYPERLINK("http://clipc-services.ceda.ac.uk/dreq/u/c96c470c-c5f0-11e6-ac20-5404a60d96b5.html","web")</f>
        <v>0</v>
      </c>
      <c r="G211" t="s">
        <v>671</v>
      </c>
      <c r="H211" t="s">
        <v>672</v>
      </c>
      <c r="I211" t="s">
        <v>673</v>
      </c>
      <c r="J211" t="s">
        <v>674</v>
      </c>
    </row>
    <row r="212" spans="1:10">
      <c r="A212" t="s">
        <v>664</v>
      </c>
      <c r="B212" t="s">
        <v>675</v>
      </c>
      <c r="C212" t="s">
        <v>86</v>
      </c>
      <c r="D212" t="s">
        <v>55</v>
      </c>
      <c r="E212" t="s">
        <v>676</v>
      </c>
      <c r="F212">
        <f>HYPERLINK("http://clipc-services.ceda.ac.uk/dreq/u/4a62506a657921cdde7c173c0ae09b98.html","web")</f>
        <v>0</v>
      </c>
      <c r="G212" t="s">
        <v>57</v>
      </c>
      <c r="H212" t="s">
        <v>58</v>
      </c>
      <c r="I212" t="s">
        <v>677</v>
      </c>
      <c r="J212" t="s">
        <v>668</v>
      </c>
    </row>
    <row r="213" spans="1:10">
      <c r="A213" t="s">
        <v>664</v>
      </c>
      <c r="B213" t="s">
        <v>678</v>
      </c>
      <c r="C213" t="s">
        <v>86</v>
      </c>
      <c r="D213" t="s">
        <v>55</v>
      </c>
      <c r="E213" t="s">
        <v>679</v>
      </c>
      <c r="F213">
        <f>HYPERLINK("http://clipc-services.ceda.ac.uk/dreq/u/0940cbee6105037e4b7aa5579004f124.html","web")</f>
        <v>0</v>
      </c>
      <c r="G213" t="s">
        <v>57</v>
      </c>
      <c r="H213" t="s">
        <v>58</v>
      </c>
      <c r="I213" t="s">
        <v>680</v>
      </c>
      <c r="J213" t="s">
        <v>681</v>
      </c>
    </row>
    <row r="214" spans="1:10">
      <c r="A214" t="s">
        <v>664</v>
      </c>
      <c r="B214" t="s">
        <v>682</v>
      </c>
      <c r="C214" t="s">
        <v>12</v>
      </c>
      <c r="D214" t="s">
        <v>55</v>
      </c>
      <c r="E214" t="s">
        <v>683</v>
      </c>
      <c r="F214">
        <f>HYPERLINK("http://clipc-services.ceda.ac.uk/dreq/u/e9e21426e4810d0bb2d3dddb24dbf4dc.html","web")</f>
        <v>0</v>
      </c>
      <c r="G214" t="s">
        <v>57</v>
      </c>
      <c r="H214" t="s">
        <v>58</v>
      </c>
      <c r="I214" t="s">
        <v>684</v>
      </c>
      <c r="J214" t="s">
        <v>668</v>
      </c>
    </row>
    <row r="215" spans="1:10">
      <c r="A215" t="s">
        <v>664</v>
      </c>
      <c r="B215" t="s">
        <v>685</v>
      </c>
      <c r="C215" t="s">
        <v>12</v>
      </c>
      <c r="D215" t="s">
        <v>442</v>
      </c>
      <c r="E215" t="s">
        <v>686</v>
      </c>
      <c r="F215">
        <f>HYPERLINK("http://clipc-services.ceda.ac.uk/dreq/u/69c17331aebbebfc295d5b7af7f0ef8b.html","web")</f>
        <v>0</v>
      </c>
      <c r="G215" t="s">
        <v>57</v>
      </c>
      <c r="H215" t="s">
        <v>58</v>
      </c>
      <c r="I215" t="s">
        <v>687</v>
      </c>
      <c r="J215" t="s">
        <v>688</v>
      </c>
    </row>
    <row r="216" spans="1:10">
      <c r="A216" t="s">
        <v>664</v>
      </c>
      <c r="B216" t="s">
        <v>689</v>
      </c>
      <c r="C216" t="s">
        <v>12</v>
      </c>
      <c r="D216" t="s">
        <v>87</v>
      </c>
      <c r="E216" t="s">
        <v>690</v>
      </c>
      <c r="F216">
        <f>HYPERLINK("http://clipc-services.ceda.ac.uk/dreq/u/9122e7b627c429163fd0857dc366e14e.html","web")</f>
        <v>0</v>
      </c>
      <c r="G216" t="s">
        <v>57</v>
      </c>
      <c r="H216" t="s">
        <v>58</v>
      </c>
      <c r="I216" t="s">
        <v>691</v>
      </c>
      <c r="J216" t="s">
        <v>692</v>
      </c>
    </row>
    <row r="217" spans="1:10">
      <c r="A217" t="s">
        <v>664</v>
      </c>
      <c r="B217" t="s">
        <v>61</v>
      </c>
      <c r="C217" t="s">
        <v>86</v>
      </c>
      <c r="D217" t="s">
        <v>55</v>
      </c>
      <c r="E217" t="s">
        <v>693</v>
      </c>
      <c r="F217">
        <f>HYPERLINK("http://clipc-services.ceda.ac.uk/dreq/u/314e3eb73c9ccbdd132899317d87d856.html","web")</f>
        <v>0</v>
      </c>
      <c r="G217" t="s">
        <v>57</v>
      </c>
      <c r="H217" t="s">
        <v>58</v>
      </c>
      <c r="I217" t="s">
        <v>63</v>
      </c>
      <c r="J217" t="s">
        <v>674</v>
      </c>
    </row>
    <row r="218" spans="1:10">
      <c r="A218" t="s">
        <v>664</v>
      </c>
      <c r="B218" t="s">
        <v>437</v>
      </c>
      <c r="C218" t="s">
        <v>12</v>
      </c>
      <c r="D218" t="s">
        <v>87</v>
      </c>
      <c r="E218" t="s">
        <v>438</v>
      </c>
      <c r="F218">
        <f>HYPERLINK("http://clipc-services.ceda.ac.uk/dreq/u/4bccb8dcdb0ffe97dc89475c91ed66cc.html","web")</f>
        <v>0</v>
      </c>
      <c r="G218" t="s">
        <v>57</v>
      </c>
      <c r="H218" t="s">
        <v>58</v>
      </c>
      <c r="I218" t="s">
        <v>439</v>
      </c>
      <c r="J218" t="s">
        <v>681</v>
      </c>
    </row>
    <row r="219" spans="1:10">
      <c r="A219" t="s">
        <v>664</v>
      </c>
      <c r="B219" t="s">
        <v>441</v>
      </c>
      <c r="C219" t="s">
        <v>12</v>
      </c>
      <c r="D219" t="s">
        <v>442</v>
      </c>
      <c r="E219" t="s">
        <v>443</v>
      </c>
      <c r="F219">
        <f>HYPERLINK("http://clipc-services.ceda.ac.uk/dreq/u/6901f6894f7382d628084809e7208c4b.html","web")</f>
        <v>0</v>
      </c>
      <c r="G219" t="s">
        <v>57</v>
      </c>
      <c r="H219" t="s">
        <v>58</v>
      </c>
      <c r="I219" t="s">
        <v>444</v>
      </c>
      <c r="J219" t="s">
        <v>681</v>
      </c>
    </row>
    <row r="220" spans="1:10">
      <c r="A220" t="s">
        <v>664</v>
      </c>
      <c r="B220" t="s">
        <v>694</v>
      </c>
      <c r="C220" t="s">
        <v>12</v>
      </c>
      <c r="D220" t="s">
        <v>55</v>
      </c>
      <c r="E220" t="s">
        <v>695</v>
      </c>
      <c r="F220">
        <f>HYPERLINK("http://clipc-services.ceda.ac.uk/dreq/u/3a9ebed36fac6d76f1c7d70b6cf06991.html","web")</f>
        <v>0</v>
      </c>
      <c r="G220" t="s">
        <v>57</v>
      </c>
      <c r="H220" t="s">
        <v>58</v>
      </c>
      <c r="I220" t="s">
        <v>696</v>
      </c>
      <c r="J220" t="s">
        <v>681</v>
      </c>
    </row>
    <row r="221" spans="1:10">
      <c r="A221" t="s">
        <v>664</v>
      </c>
      <c r="B221" t="s">
        <v>445</v>
      </c>
      <c r="C221" t="s">
        <v>12</v>
      </c>
      <c r="D221" t="s">
        <v>442</v>
      </c>
      <c r="E221" t="s">
        <v>446</v>
      </c>
      <c r="F221">
        <f>HYPERLINK("http://clipc-services.ceda.ac.uk/dreq/u/dbba7f5717d68960a82b228e03dea7b7.html","web")</f>
        <v>0</v>
      </c>
      <c r="G221" t="s">
        <v>57</v>
      </c>
      <c r="H221" t="s">
        <v>58</v>
      </c>
      <c r="I221" t="s">
        <v>447</v>
      </c>
      <c r="J221" t="s">
        <v>681</v>
      </c>
    </row>
    <row r="222" spans="1:10">
      <c r="A222" t="s">
        <v>664</v>
      </c>
      <c r="B222" t="s">
        <v>697</v>
      </c>
      <c r="C222" t="s">
        <v>12</v>
      </c>
      <c r="D222" t="s">
        <v>55</v>
      </c>
      <c r="E222" t="s">
        <v>698</v>
      </c>
      <c r="F222">
        <f>HYPERLINK("http://clipc-services.ceda.ac.uk/dreq/u/0086e9daf8d4fb6cb305e03119d2ac2d.html","web")</f>
        <v>0</v>
      </c>
      <c r="G222" t="s">
        <v>57</v>
      </c>
      <c r="H222" t="s">
        <v>58</v>
      </c>
      <c r="I222" t="s">
        <v>699</v>
      </c>
      <c r="J222" t="s">
        <v>681</v>
      </c>
    </row>
    <row r="223" spans="1:10">
      <c r="A223" t="s">
        <v>664</v>
      </c>
      <c r="B223" t="s">
        <v>448</v>
      </c>
      <c r="C223" t="s">
        <v>12</v>
      </c>
      <c r="D223" t="s">
        <v>442</v>
      </c>
      <c r="E223" t="s">
        <v>449</v>
      </c>
      <c r="F223">
        <f>HYPERLINK("http://clipc-services.ceda.ac.uk/dreq/u/d4ee4806-b00f-11e6-a1f0-ac72891c3257.html","web")</f>
        <v>0</v>
      </c>
      <c r="G223" t="s">
        <v>57</v>
      </c>
      <c r="H223" t="s">
        <v>58</v>
      </c>
      <c r="I223" t="s">
        <v>450</v>
      </c>
      <c r="J223" t="s">
        <v>674</v>
      </c>
    </row>
    <row r="224" spans="1:10">
      <c r="A224" t="s">
        <v>664</v>
      </c>
      <c r="B224" t="s">
        <v>64</v>
      </c>
      <c r="C224" t="s">
        <v>54</v>
      </c>
      <c r="D224" t="s">
        <v>55</v>
      </c>
      <c r="E224" t="s">
        <v>65</v>
      </c>
      <c r="F224">
        <f>HYPERLINK("http://clipc-services.ceda.ac.uk/dreq/u/d4eb6956-b00f-11e6-a1f0-ac72891c3257.html","web")</f>
        <v>0</v>
      </c>
      <c r="G224" t="s">
        <v>57</v>
      </c>
      <c r="H224" t="s">
        <v>58</v>
      </c>
      <c r="J224" t="s">
        <v>674</v>
      </c>
    </row>
    <row r="225" spans="1:10">
      <c r="A225" t="s">
        <v>664</v>
      </c>
      <c r="B225" t="s">
        <v>451</v>
      </c>
      <c r="C225" t="s">
        <v>12</v>
      </c>
      <c r="D225" t="s">
        <v>87</v>
      </c>
      <c r="E225" t="s">
        <v>452</v>
      </c>
      <c r="F225">
        <f>HYPERLINK("http://clipc-services.ceda.ac.uk/dreq/u/1bb6dca6b08a4e887ded8a455ef04941.html","web")</f>
        <v>0</v>
      </c>
      <c r="G225" t="s">
        <v>57</v>
      </c>
      <c r="H225" t="s">
        <v>58</v>
      </c>
      <c r="I225" t="s">
        <v>453</v>
      </c>
      <c r="J225" t="s">
        <v>700</v>
      </c>
    </row>
    <row r="226" spans="1:10">
      <c r="A226" t="s">
        <v>664</v>
      </c>
      <c r="B226" t="s">
        <v>701</v>
      </c>
      <c r="C226" t="s">
        <v>12</v>
      </c>
      <c r="D226" t="s">
        <v>55</v>
      </c>
      <c r="E226" t="s">
        <v>702</v>
      </c>
      <c r="F226">
        <f>HYPERLINK("http://clipc-services.ceda.ac.uk/dreq/u/c96d62fe-c5f0-11e6-ac20-5404a60d96b5.html","web")</f>
        <v>0</v>
      </c>
      <c r="G226" t="s">
        <v>703</v>
      </c>
      <c r="H226" t="s">
        <v>672</v>
      </c>
      <c r="I226" t="s">
        <v>704</v>
      </c>
      <c r="J226" t="s">
        <v>674</v>
      </c>
    </row>
    <row r="227" spans="1:10">
      <c r="A227" t="s">
        <v>664</v>
      </c>
      <c r="B227" t="s">
        <v>705</v>
      </c>
      <c r="C227" t="s">
        <v>12</v>
      </c>
      <c r="D227" t="s">
        <v>55</v>
      </c>
      <c r="E227" t="s">
        <v>706</v>
      </c>
      <c r="F227">
        <f>HYPERLINK("http://clipc-services.ceda.ac.uk/dreq/u/5edcb9a162e51d0a2c8d42a75bed04ef.html","web")</f>
        <v>0</v>
      </c>
      <c r="G227" t="s">
        <v>57</v>
      </c>
      <c r="H227" t="s">
        <v>58</v>
      </c>
      <c r="I227" t="s">
        <v>707</v>
      </c>
      <c r="J227" t="s">
        <v>708</v>
      </c>
    </row>
    <row r="228" spans="1:10">
      <c r="A228" t="s">
        <v>664</v>
      </c>
      <c r="B228" t="s">
        <v>709</v>
      </c>
      <c r="C228" t="s">
        <v>54</v>
      </c>
      <c r="D228" t="s">
        <v>55</v>
      </c>
      <c r="E228" t="s">
        <v>710</v>
      </c>
      <c r="F228">
        <f>HYPERLINK("http://clipc-services.ceda.ac.uk/dreq/u/1c502fa4d453b20feafa63a862eaeb57.html","web")</f>
        <v>0</v>
      </c>
      <c r="G228" t="s">
        <v>57</v>
      </c>
      <c r="H228" t="s">
        <v>58</v>
      </c>
      <c r="I228" t="s">
        <v>711</v>
      </c>
      <c r="J228" t="s">
        <v>712</v>
      </c>
    </row>
    <row r="229" spans="1:10">
      <c r="A229" t="s">
        <v>664</v>
      </c>
      <c r="B229" t="s">
        <v>713</v>
      </c>
      <c r="C229" t="s">
        <v>12</v>
      </c>
      <c r="D229" t="s">
        <v>55</v>
      </c>
      <c r="E229" t="s">
        <v>714</v>
      </c>
      <c r="F229">
        <f>HYPERLINK("http://clipc-services.ceda.ac.uk/dreq/u/d4ee907c-b00f-11e6-a1f0-ac72891c3257.html","web")</f>
        <v>0</v>
      </c>
      <c r="G229" t="s">
        <v>57</v>
      </c>
      <c r="H229" t="s">
        <v>58</v>
      </c>
      <c r="I229" t="s">
        <v>715</v>
      </c>
      <c r="J229" t="s">
        <v>674</v>
      </c>
    </row>
    <row r="230" spans="1:10">
      <c r="A230" t="s">
        <v>664</v>
      </c>
      <c r="B230" t="s">
        <v>716</v>
      </c>
      <c r="C230" t="s">
        <v>12</v>
      </c>
      <c r="D230" t="s">
        <v>55</v>
      </c>
      <c r="E230" t="s">
        <v>717</v>
      </c>
      <c r="F230">
        <f>HYPERLINK("http://clipc-services.ceda.ac.uk/dreq/u/c96d9daa-c5f0-11e6-ac20-5404a60d96b5.html","web")</f>
        <v>0</v>
      </c>
      <c r="G230" t="s">
        <v>57</v>
      </c>
      <c r="H230" t="s">
        <v>58</v>
      </c>
      <c r="I230" t="s">
        <v>143</v>
      </c>
      <c r="J230" t="s">
        <v>674</v>
      </c>
    </row>
    <row r="231" spans="1:10">
      <c r="A231" t="s">
        <v>664</v>
      </c>
      <c r="B231" t="s">
        <v>718</v>
      </c>
      <c r="C231" t="s">
        <v>12</v>
      </c>
      <c r="D231" t="s">
        <v>55</v>
      </c>
      <c r="E231" t="s">
        <v>719</v>
      </c>
      <c r="F231">
        <f>HYPERLINK("http://clipc-services.ceda.ac.uk/dreq/u/d4ee9e5a-b00f-11e6-a1f0-ac72891c3257.html","web")</f>
        <v>0</v>
      </c>
      <c r="G231" t="s">
        <v>57</v>
      </c>
      <c r="H231" t="s">
        <v>58</v>
      </c>
      <c r="I231" t="s">
        <v>715</v>
      </c>
      <c r="J231" t="s">
        <v>674</v>
      </c>
    </row>
    <row r="232" spans="1:10">
      <c r="A232" t="s">
        <v>664</v>
      </c>
      <c r="B232" t="s">
        <v>720</v>
      </c>
      <c r="C232" t="s">
        <v>12</v>
      </c>
      <c r="D232" t="s">
        <v>55</v>
      </c>
      <c r="E232" t="s">
        <v>721</v>
      </c>
      <c r="F232">
        <f>HYPERLINK("http://clipc-services.ceda.ac.uk/dreq/u/c96db98e-c5f0-11e6-ac20-5404a60d96b5.html","web")</f>
        <v>0</v>
      </c>
      <c r="G232" t="s">
        <v>57</v>
      </c>
      <c r="H232" t="s">
        <v>58</v>
      </c>
      <c r="I232" t="s">
        <v>146</v>
      </c>
      <c r="J232" t="s">
        <v>674</v>
      </c>
    </row>
    <row r="233" spans="1:10">
      <c r="A233" t="s">
        <v>664</v>
      </c>
      <c r="B233" t="s">
        <v>722</v>
      </c>
      <c r="C233" t="s">
        <v>12</v>
      </c>
      <c r="D233" t="s">
        <v>87</v>
      </c>
      <c r="E233" t="s">
        <v>723</v>
      </c>
      <c r="F233">
        <f>HYPERLINK("http://clipc-services.ceda.ac.uk/dreq/u/d4eeac2e-b00f-11e6-a1f0-ac72891c3257.html","web")</f>
        <v>0</v>
      </c>
      <c r="G233" t="s">
        <v>57</v>
      </c>
      <c r="H233" t="s">
        <v>58</v>
      </c>
      <c r="I233" t="s">
        <v>724</v>
      </c>
      <c r="J233" t="s">
        <v>674</v>
      </c>
    </row>
    <row r="234" spans="1:10">
      <c r="A234" t="s">
        <v>664</v>
      </c>
      <c r="B234" t="s">
        <v>725</v>
      </c>
      <c r="C234" t="s">
        <v>12</v>
      </c>
      <c r="D234" t="s">
        <v>55</v>
      </c>
      <c r="E234" t="s">
        <v>726</v>
      </c>
      <c r="F234">
        <f>HYPERLINK("http://clipc-services.ceda.ac.uk/dreq/u/c96de29c-c5f0-11e6-ac20-5404a60d96b5.html","web")</f>
        <v>0</v>
      </c>
      <c r="G234" t="s">
        <v>57</v>
      </c>
      <c r="H234" t="s">
        <v>58</v>
      </c>
      <c r="I234" t="s">
        <v>727</v>
      </c>
      <c r="J234" t="s">
        <v>674</v>
      </c>
    </row>
    <row r="235" spans="1:10">
      <c r="A235" t="s">
        <v>664</v>
      </c>
      <c r="B235" t="s">
        <v>728</v>
      </c>
      <c r="C235" t="s">
        <v>12</v>
      </c>
      <c r="D235" t="s">
        <v>55</v>
      </c>
      <c r="E235" t="s">
        <v>729</v>
      </c>
      <c r="F235">
        <f>HYPERLINK("http://clipc-services.ceda.ac.uk/dreq/u/c96df0fc-c5f0-11e6-ac20-5404a60d96b5.html","web")</f>
        <v>0</v>
      </c>
      <c r="G235" t="s">
        <v>57</v>
      </c>
      <c r="H235" t="s">
        <v>58</v>
      </c>
      <c r="I235" t="s">
        <v>152</v>
      </c>
      <c r="J235" t="s">
        <v>674</v>
      </c>
    </row>
    <row r="236" spans="1:10">
      <c r="A236" t="s">
        <v>664</v>
      </c>
      <c r="B236" t="s">
        <v>53</v>
      </c>
      <c r="C236" t="s">
        <v>12</v>
      </c>
      <c r="D236" t="s">
        <v>55</v>
      </c>
      <c r="E236" t="s">
        <v>730</v>
      </c>
      <c r="F236">
        <f>HYPERLINK("http://clipc-services.ceda.ac.uk/dreq/u/1c757370cf83e5619efc0de4d1241f47.html","web")</f>
        <v>0</v>
      </c>
      <c r="G236" t="s">
        <v>57</v>
      </c>
      <c r="H236" t="s">
        <v>58</v>
      </c>
      <c r="I236" t="s">
        <v>59</v>
      </c>
      <c r="J236" t="s">
        <v>674</v>
      </c>
    </row>
    <row r="237" spans="1:10">
      <c r="A237" t="s">
        <v>664</v>
      </c>
      <c r="B237" t="s">
        <v>731</v>
      </c>
      <c r="C237" t="s">
        <v>54</v>
      </c>
      <c r="D237" t="s">
        <v>55</v>
      </c>
      <c r="E237" t="s">
        <v>732</v>
      </c>
      <c r="F237">
        <f>HYPERLINK("http://clipc-services.ceda.ac.uk/dreq/u/c96e0c22-c5f0-11e6-ac20-5404a60d96b5.html","web")</f>
        <v>0</v>
      </c>
      <c r="G237" t="s">
        <v>57</v>
      </c>
      <c r="H237" t="s">
        <v>58</v>
      </c>
      <c r="I237" t="s">
        <v>733</v>
      </c>
      <c r="J237" t="s">
        <v>674</v>
      </c>
    </row>
    <row r="238" spans="1:10">
      <c r="A238" t="s">
        <v>664</v>
      </c>
      <c r="B238" t="s">
        <v>734</v>
      </c>
      <c r="C238" t="s">
        <v>12</v>
      </c>
      <c r="D238" t="s">
        <v>735</v>
      </c>
      <c r="E238" t="s">
        <v>736</v>
      </c>
      <c r="F238">
        <f>HYPERLINK("http://clipc-services.ceda.ac.uk/dreq/u/59cc645887ed0a072bb553283e15f732.html","web")</f>
        <v>0</v>
      </c>
      <c r="G238" t="s">
        <v>57</v>
      </c>
      <c r="H238" t="s">
        <v>58</v>
      </c>
      <c r="I238" t="s">
        <v>737</v>
      </c>
      <c r="J238" t="s">
        <v>681</v>
      </c>
    </row>
    <row r="239" spans="1:10">
      <c r="A239" t="s">
        <v>664</v>
      </c>
      <c r="B239" t="s">
        <v>738</v>
      </c>
      <c r="C239" t="s">
        <v>54</v>
      </c>
      <c r="D239" t="s">
        <v>55</v>
      </c>
      <c r="E239" t="s">
        <v>739</v>
      </c>
      <c r="F239">
        <f>HYPERLINK("http://clipc-services.ceda.ac.uk/dreq/u/c96e439a-c5f0-11e6-ac20-5404a60d96b5.html","web")</f>
        <v>0</v>
      </c>
      <c r="G239" t="s">
        <v>57</v>
      </c>
      <c r="H239" t="s">
        <v>58</v>
      </c>
      <c r="I239" t="s">
        <v>740</v>
      </c>
      <c r="J239" t="s">
        <v>674</v>
      </c>
    </row>
    <row r="240" spans="1:10">
      <c r="A240" t="s">
        <v>664</v>
      </c>
      <c r="B240" t="s">
        <v>741</v>
      </c>
      <c r="C240" t="s">
        <v>54</v>
      </c>
      <c r="D240" t="s">
        <v>55</v>
      </c>
      <c r="E240" t="s">
        <v>742</v>
      </c>
      <c r="F240">
        <f>HYPERLINK("http://clipc-services.ceda.ac.uk/dreq/u/c96e6d66-c5f0-11e6-ac20-5404a60d96b5.html","web")</f>
        <v>0</v>
      </c>
      <c r="G240" t="s">
        <v>57</v>
      </c>
      <c r="H240" t="s">
        <v>58</v>
      </c>
      <c r="I240" t="s">
        <v>743</v>
      </c>
      <c r="J240" t="s">
        <v>674</v>
      </c>
    </row>
    <row r="241" spans="1:10">
      <c r="A241" t="s">
        <v>664</v>
      </c>
      <c r="B241" t="s">
        <v>744</v>
      </c>
      <c r="C241" t="s">
        <v>54</v>
      </c>
      <c r="D241" t="s">
        <v>55</v>
      </c>
      <c r="E241" t="s">
        <v>745</v>
      </c>
      <c r="F241">
        <f>HYPERLINK("http://clipc-services.ceda.ac.uk/dreq/u/c96e7b08-c5f0-11e6-ac20-5404a60d96b5.html","web")</f>
        <v>0</v>
      </c>
      <c r="G241" t="s">
        <v>57</v>
      </c>
      <c r="H241" t="s">
        <v>58</v>
      </c>
      <c r="I241" t="s">
        <v>746</v>
      </c>
      <c r="J241" t="s">
        <v>674</v>
      </c>
    </row>
    <row r="242" spans="1:10">
      <c r="A242" t="s">
        <v>664</v>
      </c>
      <c r="B242" t="s">
        <v>454</v>
      </c>
      <c r="C242" t="s">
        <v>12</v>
      </c>
      <c r="D242" t="s">
        <v>455</v>
      </c>
      <c r="E242" t="s">
        <v>456</v>
      </c>
      <c r="F242">
        <f>HYPERLINK("http://clipc-services.ceda.ac.uk/dreq/u/1f5bb8c9dd54043a9d5f71dfe38f5a19.html","web")</f>
        <v>0</v>
      </c>
      <c r="G242" t="s">
        <v>57</v>
      </c>
      <c r="H242" t="s">
        <v>58</v>
      </c>
      <c r="I242" t="s">
        <v>457</v>
      </c>
      <c r="J242" t="s">
        <v>747</v>
      </c>
    </row>
    <row r="243" spans="1:10">
      <c r="A243" t="s">
        <v>664</v>
      </c>
      <c r="B243" t="s">
        <v>748</v>
      </c>
      <c r="C243" t="s">
        <v>54</v>
      </c>
      <c r="D243" t="s">
        <v>55</v>
      </c>
      <c r="E243" t="s">
        <v>749</v>
      </c>
      <c r="F243">
        <f>HYPERLINK("http://clipc-services.ceda.ac.uk/dreq/u/c96ea5e2-c5f0-11e6-ac20-5404a60d96b5.html","web")</f>
        <v>0</v>
      </c>
      <c r="G243" t="s">
        <v>57</v>
      </c>
      <c r="H243" t="s">
        <v>58</v>
      </c>
      <c r="I243" t="s">
        <v>171</v>
      </c>
      <c r="J243" t="s">
        <v>674</v>
      </c>
    </row>
    <row r="244" spans="1:10">
      <c r="A244" t="s">
        <v>664</v>
      </c>
      <c r="B244" t="s">
        <v>750</v>
      </c>
      <c r="C244" t="s">
        <v>12</v>
      </c>
      <c r="D244" t="s">
        <v>455</v>
      </c>
      <c r="E244" t="s">
        <v>751</v>
      </c>
      <c r="F244">
        <f>HYPERLINK("http://clipc-services.ceda.ac.uk/dreq/u/32cbc6ae59c0abfe8e9c526e548452cc.html","web")</f>
        <v>0</v>
      </c>
      <c r="G244" t="s">
        <v>57</v>
      </c>
      <c r="H244" t="s">
        <v>58</v>
      </c>
      <c r="I244" t="s">
        <v>752</v>
      </c>
      <c r="J244" t="s">
        <v>681</v>
      </c>
    </row>
    <row r="245" spans="1:10">
      <c r="A245" t="s">
        <v>664</v>
      </c>
      <c r="B245" t="s">
        <v>753</v>
      </c>
      <c r="C245" t="s">
        <v>54</v>
      </c>
      <c r="D245" t="s">
        <v>55</v>
      </c>
      <c r="E245" t="s">
        <v>754</v>
      </c>
      <c r="F245">
        <f>HYPERLINK("http://clipc-services.ceda.ac.uk/dreq/u/c96eb3e8-c5f0-11e6-ac20-5404a60d96b5.html","web")</f>
        <v>0</v>
      </c>
      <c r="G245" t="s">
        <v>57</v>
      </c>
      <c r="H245" t="s">
        <v>58</v>
      </c>
      <c r="I245" t="s">
        <v>174</v>
      </c>
      <c r="J245" t="s">
        <v>674</v>
      </c>
    </row>
    <row r="246" spans="1:10">
      <c r="A246" t="s">
        <v>664</v>
      </c>
      <c r="B246" t="s">
        <v>755</v>
      </c>
      <c r="C246" t="s">
        <v>86</v>
      </c>
      <c r="D246" t="s">
        <v>55</v>
      </c>
      <c r="E246" t="s">
        <v>756</v>
      </c>
      <c r="F246">
        <f>HYPERLINK("http://clipc-services.ceda.ac.uk/dreq/u/26542cc98f984d1b098796374a7ed264.html","web")</f>
        <v>0</v>
      </c>
      <c r="G246" t="s">
        <v>57</v>
      </c>
      <c r="H246" t="s">
        <v>58</v>
      </c>
      <c r="I246" t="s">
        <v>757</v>
      </c>
      <c r="J246" t="s">
        <v>712</v>
      </c>
    </row>
    <row r="247" spans="1:10">
      <c r="A247" t="s">
        <v>664</v>
      </c>
      <c r="B247" t="s">
        <v>758</v>
      </c>
      <c r="C247" t="s">
        <v>86</v>
      </c>
      <c r="D247" t="s">
        <v>55</v>
      </c>
      <c r="E247" t="s">
        <v>759</v>
      </c>
      <c r="F247">
        <f>HYPERLINK("http://clipc-services.ceda.ac.uk/dreq/u/fa3149feef6236e0cc3207a977d2d0a5.html","web")</f>
        <v>0</v>
      </c>
      <c r="G247" t="s">
        <v>57</v>
      </c>
      <c r="H247" t="s">
        <v>58</v>
      </c>
      <c r="I247" t="s">
        <v>760</v>
      </c>
      <c r="J247" t="s">
        <v>712</v>
      </c>
    </row>
    <row r="248" spans="1:10">
      <c r="A248" t="s">
        <v>664</v>
      </c>
      <c r="B248" t="s">
        <v>761</v>
      </c>
      <c r="C248" t="s">
        <v>86</v>
      </c>
      <c r="D248" t="s">
        <v>455</v>
      </c>
      <c r="E248" t="s">
        <v>762</v>
      </c>
      <c r="F248">
        <f>HYPERLINK("http://clipc-services.ceda.ac.uk/dreq/u/e332882b170bce82d39f02b78fd87e79.html","web")</f>
        <v>0</v>
      </c>
      <c r="G248" t="s">
        <v>57</v>
      </c>
      <c r="H248" t="s">
        <v>58</v>
      </c>
      <c r="I248" t="s">
        <v>763</v>
      </c>
      <c r="J248" t="s">
        <v>764</v>
      </c>
    </row>
    <row r="249" spans="1:10">
      <c r="A249" t="s">
        <v>664</v>
      </c>
      <c r="B249" t="s">
        <v>765</v>
      </c>
      <c r="C249" t="s">
        <v>86</v>
      </c>
      <c r="D249" t="s">
        <v>455</v>
      </c>
      <c r="E249" t="s">
        <v>766</v>
      </c>
      <c r="F249">
        <f>HYPERLINK("http://clipc-services.ceda.ac.uk/dreq/u/2e1651d57e5cc5036810331a67ef6ed7.html","web")</f>
        <v>0</v>
      </c>
      <c r="G249" t="s">
        <v>57</v>
      </c>
      <c r="H249" t="s">
        <v>58</v>
      </c>
      <c r="I249" t="s">
        <v>763</v>
      </c>
      <c r="J249" t="s">
        <v>764</v>
      </c>
    </row>
    <row r="250" spans="1:10">
      <c r="A250" t="s">
        <v>664</v>
      </c>
      <c r="B250" t="s">
        <v>767</v>
      </c>
      <c r="C250" t="s">
        <v>86</v>
      </c>
      <c r="D250" t="s">
        <v>455</v>
      </c>
      <c r="E250" t="s">
        <v>768</v>
      </c>
      <c r="F250">
        <f>HYPERLINK("http://clipc-services.ceda.ac.uk/dreq/u/9e64d2aadc59070a13e29979b6c9541b.html","web")</f>
        <v>0</v>
      </c>
      <c r="G250" t="s">
        <v>57</v>
      </c>
      <c r="H250" t="s">
        <v>58</v>
      </c>
      <c r="I250" t="s">
        <v>763</v>
      </c>
      <c r="J250" t="s">
        <v>764</v>
      </c>
    </row>
    <row r="251" spans="1:10">
      <c r="A251" t="s">
        <v>664</v>
      </c>
      <c r="B251" t="s">
        <v>769</v>
      </c>
      <c r="C251" t="s">
        <v>86</v>
      </c>
      <c r="D251" t="s">
        <v>455</v>
      </c>
      <c r="E251" t="s">
        <v>770</v>
      </c>
      <c r="F251">
        <f>HYPERLINK("http://clipc-services.ceda.ac.uk/dreq/u/d0f7da4833bd90226f521ddbf0dbcb63.html","web")</f>
        <v>0</v>
      </c>
      <c r="G251" t="s">
        <v>57</v>
      </c>
      <c r="H251" t="s">
        <v>58</v>
      </c>
      <c r="I251" t="s">
        <v>763</v>
      </c>
      <c r="J251" t="s">
        <v>764</v>
      </c>
    </row>
    <row r="252" spans="1:10">
      <c r="A252" t="s">
        <v>664</v>
      </c>
      <c r="B252" t="s">
        <v>205</v>
      </c>
      <c r="C252" t="s">
        <v>86</v>
      </c>
      <c r="D252" t="s">
        <v>55</v>
      </c>
      <c r="E252" t="s">
        <v>771</v>
      </c>
      <c r="F252">
        <f>HYPERLINK("http://clipc-services.ceda.ac.uk/dreq/u/5912cab4-9e49-11e5-803c-0d0b866b59f3.html","web")</f>
        <v>0</v>
      </c>
      <c r="G252" t="s">
        <v>208</v>
      </c>
      <c r="H252" t="s">
        <v>209</v>
      </c>
      <c r="I252" t="s">
        <v>210</v>
      </c>
      <c r="J252" t="s">
        <v>772</v>
      </c>
    </row>
    <row r="253" spans="1:10">
      <c r="A253" t="s">
        <v>664</v>
      </c>
      <c r="B253" t="s">
        <v>773</v>
      </c>
      <c r="C253" t="s">
        <v>86</v>
      </c>
      <c r="D253" t="s">
        <v>55</v>
      </c>
      <c r="E253" t="s">
        <v>774</v>
      </c>
      <c r="F253">
        <f>HYPERLINK("http://clipc-services.ceda.ac.uk/dreq/u/70ecea904324e6f3b891276634412350.html","web")</f>
        <v>0</v>
      </c>
      <c r="G253" t="s">
        <v>57</v>
      </c>
      <c r="H253" t="s">
        <v>58</v>
      </c>
      <c r="I253" t="s">
        <v>775</v>
      </c>
      <c r="J253" t="s">
        <v>764</v>
      </c>
    </row>
    <row r="254" spans="1:10">
      <c r="A254" t="s">
        <v>664</v>
      </c>
      <c r="B254" t="s">
        <v>776</v>
      </c>
      <c r="C254" t="s">
        <v>12</v>
      </c>
      <c r="D254" t="s">
        <v>55</v>
      </c>
      <c r="E254" t="s">
        <v>777</v>
      </c>
      <c r="F254">
        <f>HYPERLINK("http://clipc-services.ceda.ac.uk/dreq/u/f718ef1940e6feab018d81f508bd87c2.html","web")</f>
        <v>0</v>
      </c>
      <c r="G254" t="s">
        <v>57</v>
      </c>
      <c r="H254" t="s">
        <v>58</v>
      </c>
      <c r="I254" t="s">
        <v>778</v>
      </c>
      <c r="J254" t="s">
        <v>708</v>
      </c>
    </row>
    <row r="255" spans="1:10">
      <c r="A255" t="s">
        <v>664</v>
      </c>
      <c r="B255" t="s">
        <v>779</v>
      </c>
      <c r="C255" t="s">
        <v>12</v>
      </c>
      <c r="D255" t="s">
        <v>55</v>
      </c>
      <c r="E255" t="s">
        <v>780</v>
      </c>
      <c r="F255">
        <f>HYPERLINK("http://clipc-services.ceda.ac.uk/dreq/u/4d42d6e262fdc2c20cf8e2e82826e0c8.html","web")</f>
        <v>0</v>
      </c>
      <c r="G255" t="s">
        <v>57</v>
      </c>
      <c r="H255" t="s">
        <v>58</v>
      </c>
      <c r="I255" t="s">
        <v>781</v>
      </c>
      <c r="J255" t="s">
        <v>782</v>
      </c>
    </row>
    <row r="256" spans="1:10">
      <c r="A256" t="s">
        <v>664</v>
      </c>
      <c r="B256" t="s">
        <v>783</v>
      </c>
      <c r="C256" t="s">
        <v>12</v>
      </c>
      <c r="D256" t="s">
        <v>55</v>
      </c>
      <c r="E256" t="s">
        <v>784</v>
      </c>
      <c r="F256">
        <f>HYPERLINK("http://clipc-services.ceda.ac.uk/dreq/u/604242476d85346b48bd6d791ed05583.html","web")</f>
        <v>0</v>
      </c>
      <c r="G256" t="s">
        <v>785</v>
      </c>
      <c r="H256" t="s">
        <v>786</v>
      </c>
      <c r="I256" t="s">
        <v>787</v>
      </c>
      <c r="J256" t="s">
        <v>782</v>
      </c>
    </row>
    <row r="257" spans="1:10">
      <c r="A257" t="s">
        <v>664</v>
      </c>
      <c r="B257" t="s">
        <v>788</v>
      </c>
      <c r="C257" t="s">
        <v>86</v>
      </c>
      <c r="D257" t="s">
        <v>55</v>
      </c>
      <c r="E257" t="s">
        <v>789</v>
      </c>
      <c r="F257">
        <f>HYPERLINK("http://clipc-services.ceda.ac.uk/dreq/u/1418ccb847c5c235176620baf22d7b33.html","web")</f>
        <v>0</v>
      </c>
      <c r="G257" t="s">
        <v>57</v>
      </c>
      <c r="H257" t="s">
        <v>58</v>
      </c>
      <c r="I257" t="s">
        <v>790</v>
      </c>
      <c r="J257" t="s">
        <v>791</v>
      </c>
    </row>
    <row r="258" spans="1:10">
      <c r="A258" t="s">
        <v>664</v>
      </c>
      <c r="B258" t="s">
        <v>792</v>
      </c>
      <c r="C258" t="s">
        <v>86</v>
      </c>
      <c r="D258" t="s">
        <v>55</v>
      </c>
      <c r="E258" t="s">
        <v>793</v>
      </c>
      <c r="F258">
        <f>HYPERLINK("http://clipc-services.ceda.ac.uk/dreq/u/af7707ac309cab4b2f2ce461f89ab741.html","web")</f>
        <v>0</v>
      </c>
      <c r="G258" t="s">
        <v>57</v>
      </c>
      <c r="H258" t="s">
        <v>58</v>
      </c>
      <c r="I258" t="s">
        <v>794</v>
      </c>
      <c r="J258" t="s">
        <v>764</v>
      </c>
    </row>
    <row r="259" spans="1:10">
      <c r="A259" t="s">
        <v>664</v>
      </c>
      <c r="B259" t="s">
        <v>795</v>
      </c>
      <c r="C259" t="s">
        <v>86</v>
      </c>
      <c r="D259" t="s">
        <v>55</v>
      </c>
      <c r="E259" t="s">
        <v>796</v>
      </c>
      <c r="F259">
        <f>HYPERLINK("http://clipc-services.ceda.ac.uk/dreq/u/11f31866ee4fca2f68e25ccd529ede8a.html","web")</f>
        <v>0</v>
      </c>
      <c r="G259" t="s">
        <v>57</v>
      </c>
      <c r="H259" t="s">
        <v>58</v>
      </c>
      <c r="I259" t="s">
        <v>797</v>
      </c>
      <c r="J259" t="s">
        <v>764</v>
      </c>
    </row>
    <row r="260" spans="1:10">
      <c r="A260" t="s">
        <v>664</v>
      </c>
      <c r="B260" t="s">
        <v>798</v>
      </c>
      <c r="C260" t="s">
        <v>86</v>
      </c>
      <c r="D260" t="s">
        <v>55</v>
      </c>
      <c r="E260" t="s">
        <v>799</v>
      </c>
      <c r="F260">
        <f>HYPERLINK("http://clipc-services.ceda.ac.uk/dreq/u/155ede0bff2578a736e6379552483f4e.html","web")</f>
        <v>0</v>
      </c>
      <c r="G260" t="s">
        <v>57</v>
      </c>
      <c r="H260" t="s">
        <v>58</v>
      </c>
      <c r="I260" t="s">
        <v>800</v>
      </c>
      <c r="J260" t="s">
        <v>772</v>
      </c>
    </row>
    <row r="261" spans="1:10">
      <c r="A261" t="s">
        <v>664</v>
      </c>
      <c r="B261" t="s">
        <v>801</v>
      </c>
      <c r="C261" t="s">
        <v>86</v>
      </c>
      <c r="D261" t="s">
        <v>55</v>
      </c>
      <c r="E261" t="s">
        <v>802</v>
      </c>
      <c r="F261">
        <f>HYPERLINK("http://clipc-services.ceda.ac.uk/dreq/u/22fae57fa6f2e7e2744a3a9fe3c0dbca.html","web")</f>
        <v>0</v>
      </c>
      <c r="G261" t="s">
        <v>57</v>
      </c>
      <c r="H261" t="s">
        <v>58</v>
      </c>
      <c r="I261" t="s">
        <v>803</v>
      </c>
      <c r="J261" t="s">
        <v>772</v>
      </c>
    </row>
    <row r="262" spans="1:10">
      <c r="A262" t="s">
        <v>664</v>
      </c>
      <c r="B262" t="s">
        <v>804</v>
      </c>
      <c r="C262" t="s">
        <v>86</v>
      </c>
      <c r="D262" t="s">
        <v>87</v>
      </c>
      <c r="E262" t="s">
        <v>805</v>
      </c>
      <c r="F262">
        <f>HYPERLINK("http://clipc-services.ceda.ac.uk/dreq/u/bd938fec017c18d3eee106db55f924c5.html","web")</f>
        <v>0</v>
      </c>
      <c r="G262" t="s">
        <v>806</v>
      </c>
      <c r="H262" t="s">
        <v>807</v>
      </c>
      <c r="I262" t="s">
        <v>808</v>
      </c>
      <c r="J262" t="s">
        <v>772</v>
      </c>
    </row>
    <row r="263" spans="1:10">
      <c r="A263" t="s">
        <v>664</v>
      </c>
      <c r="B263" t="s">
        <v>809</v>
      </c>
      <c r="C263" t="s">
        <v>86</v>
      </c>
      <c r="D263" t="s">
        <v>55</v>
      </c>
      <c r="E263" t="s">
        <v>805</v>
      </c>
      <c r="F263">
        <f>HYPERLINK("http://clipc-services.ceda.ac.uk/dreq/u/bd938fec017c18d3eee106db55f924c5.html","web")</f>
        <v>0</v>
      </c>
      <c r="G263" t="s">
        <v>57</v>
      </c>
      <c r="H263" t="s">
        <v>58</v>
      </c>
      <c r="I263" t="s">
        <v>808</v>
      </c>
      <c r="J263" t="s">
        <v>772</v>
      </c>
    </row>
    <row r="264" spans="1:10">
      <c r="A264" t="s">
        <v>664</v>
      </c>
      <c r="B264" t="s">
        <v>810</v>
      </c>
      <c r="C264" t="s">
        <v>86</v>
      </c>
      <c r="D264" t="s">
        <v>55</v>
      </c>
      <c r="E264" t="s">
        <v>811</v>
      </c>
      <c r="F264">
        <f>HYPERLINK("http://clipc-services.ceda.ac.uk/dreq/u/b16fab4e82317586d4bc72d786a6a1db.html","web")</f>
        <v>0</v>
      </c>
      <c r="G264" t="s">
        <v>812</v>
      </c>
      <c r="H264" t="s">
        <v>807</v>
      </c>
      <c r="I264" t="s">
        <v>797</v>
      </c>
      <c r="J264" t="s">
        <v>772</v>
      </c>
    </row>
    <row r="265" spans="1:10">
      <c r="A265" t="s">
        <v>664</v>
      </c>
      <c r="B265" t="s">
        <v>813</v>
      </c>
      <c r="C265" t="s">
        <v>86</v>
      </c>
      <c r="D265" t="s">
        <v>55</v>
      </c>
      <c r="E265" t="s">
        <v>814</v>
      </c>
      <c r="F265">
        <f>HYPERLINK("http://clipc-services.ceda.ac.uk/dreq/u/ad2c59f6784b7b6a8b2a95424a1a642d.html","web")</f>
        <v>0</v>
      </c>
      <c r="G265" t="s">
        <v>815</v>
      </c>
      <c r="H265" t="s">
        <v>807</v>
      </c>
      <c r="I265" t="s">
        <v>816</v>
      </c>
      <c r="J265" t="s">
        <v>772</v>
      </c>
    </row>
    <row r="266" spans="1:10">
      <c r="A266" t="s">
        <v>664</v>
      </c>
      <c r="B266" t="s">
        <v>817</v>
      </c>
      <c r="C266" t="s">
        <v>86</v>
      </c>
      <c r="D266" t="s">
        <v>55</v>
      </c>
      <c r="E266" t="s">
        <v>818</v>
      </c>
      <c r="F266">
        <f>HYPERLINK("http://clipc-services.ceda.ac.uk/dreq/u/e60a812c3a4351f1747a8bf9fb48aec8.html","web")</f>
        <v>0</v>
      </c>
      <c r="G266" t="s">
        <v>819</v>
      </c>
      <c r="H266" t="s">
        <v>807</v>
      </c>
      <c r="I266" t="s">
        <v>797</v>
      </c>
      <c r="J266" t="s">
        <v>772</v>
      </c>
    </row>
    <row r="267" spans="1:10">
      <c r="A267" t="s">
        <v>664</v>
      </c>
      <c r="B267" t="s">
        <v>820</v>
      </c>
      <c r="C267" t="s">
        <v>12</v>
      </c>
      <c r="D267" t="s">
        <v>55</v>
      </c>
      <c r="E267" t="s">
        <v>821</v>
      </c>
      <c r="F267">
        <f>HYPERLINK("http://clipc-services.ceda.ac.uk/dreq/u/0312fb7cbaaff353e66b17c21fb13482.html","web")</f>
        <v>0</v>
      </c>
      <c r="G267" t="s">
        <v>822</v>
      </c>
      <c r="H267" t="s">
        <v>786</v>
      </c>
      <c r="I267" t="s">
        <v>823</v>
      </c>
      <c r="J267" t="s">
        <v>708</v>
      </c>
    </row>
    <row r="268" spans="1:10">
      <c r="A268" t="s">
        <v>664</v>
      </c>
      <c r="B268" t="s">
        <v>199</v>
      </c>
      <c r="C268" t="s">
        <v>54</v>
      </c>
      <c r="D268" t="s">
        <v>87</v>
      </c>
      <c r="E268" t="s">
        <v>200</v>
      </c>
      <c r="F268">
        <f>HYPERLINK("http://clipc-services.ceda.ac.uk/dreq/u/28a54e8b5b73c4ae915a82ed99c74459.html","web")</f>
        <v>0</v>
      </c>
      <c r="G268" t="s">
        <v>57</v>
      </c>
      <c r="H268" t="s">
        <v>58</v>
      </c>
      <c r="I268" t="s">
        <v>194</v>
      </c>
      <c r="J268" t="s">
        <v>674</v>
      </c>
    </row>
    <row r="269" spans="1:10">
      <c r="A269" t="s">
        <v>664</v>
      </c>
      <c r="B269" t="s">
        <v>189</v>
      </c>
      <c r="C269" t="s">
        <v>54</v>
      </c>
      <c r="D269" t="s">
        <v>87</v>
      </c>
      <c r="E269" t="s">
        <v>190</v>
      </c>
      <c r="F269">
        <f>HYPERLINK("http://clipc-services.ceda.ac.uk/dreq/u/4f309d6b2d689c19254dccc24c66e32d.html","web")</f>
        <v>0</v>
      </c>
      <c r="G269" t="s">
        <v>57</v>
      </c>
      <c r="H269" t="s">
        <v>58</v>
      </c>
      <c r="I269" t="s">
        <v>191</v>
      </c>
      <c r="J269" t="s">
        <v>824</v>
      </c>
    </row>
    <row r="270" spans="1:10">
      <c r="A270" t="s">
        <v>664</v>
      </c>
      <c r="B270" t="s">
        <v>825</v>
      </c>
      <c r="C270" t="s">
        <v>86</v>
      </c>
      <c r="D270" t="s">
        <v>55</v>
      </c>
      <c r="E270" t="s">
        <v>826</v>
      </c>
      <c r="F270">
        <f>HYPERLINK("http://clipc-services.ceda.ac.uk/dreq/u/f1b2785c2f21b3ca1fbe97a1152920f6.html","web")</f>
        <v>0</v>
      </c>
      <c r="G270" t="s">
        <v>57</v>
      </c>
      <c r="H270" t="s">
        <v>58</v>
      </c>
      <c r="I270" t="s">
        <v>827</v>
      </c>
      <c r="J270" t="s">
        <v>828</v>
      </c>
    </row>
    <row r="271" spans="1:10">
      <c r="A271" t="s">
        <v>664</v>
      </c>
      <c r="B271" t="s">
        <v>829</v>
      </c>
      <c r="C271" t="s">
        <v>54</v>
      </c>
      <c r="D271" t="s">
        <v>55</v>
      </c>
      <c r="E271" t="s">
        <v>830</v>
      </c>
      <c r="F271">
        <f>HYPERLINK("http://clipc-services.ceda.ac.uk/dreq/u/ba8065ebbce734a631b427699ddbaf7e.html","web")</f>
        <v>0</v>
      </c>
      <c r="G271" t="s">
        <v>57</v>
      </c>
      <c r="H271" t="s">
        <v>58</v>
      </c>
      <c r="I271" t="s">
        <v>831</v>
      </c>
      <c r="J271" t="s">
        <v>828</v>
      </c>
    </row>
    <row r="272" spans="1:10">
      <c r="A272" t="s">
        <v>664</v>
      </c>
      <c r="B272" t="s">
        <v>832</v>
      </c>
      <c r="C272" t="s">
        <v>86</v>
      </c>
      <c r="D272" t="s">
        <v>55</v>
      </c>
      <c r="E272" t="s">
        <v>833</v>
      </c>
      <c r="F272">
        <f>HYPERLINK("http://clipc-services.ceda.ac.uk/dreq/u/3f25d295551edcd3949776cccca7656c.html","web")</f>
        <v>0</v>
      </c>
      <c r="G272" t="s">
        <v>57</v>
      </c>
      <c r="H272" t="s">
        <v>58</v>
      </c>
      <c r="I272" t="s">
        <v>834</v>
      </c>
      <c r="J272" t="s">
        <v>828</v>
      </c>
    </row>
    <row r="273" spans="1:10">
      <c r="A273" t="s">
        <v>664</v>
      </c>
      <c r="B273" t="s">
        <v>835</v>
      </c>
      <c r="C273" t="s">
        <v>54</v>
      </c>
      <c r="D273" t="s">
        <v>55</v>
      </c>
      <c r="E273" t="s">
        <v>836</v>
      </c>
      <c r="F273">
        <f>HYPERLINK("http://clipc-services.ceda.ac.uk/dreq/u/883fe8c76f1bd133e9075182240b1ca0.html","web")</f>
        <v>0</v>
      </c>
      <c r="G273" t="s">
        <v>57</v>
      </c>
      <c r="H273" t="s">
        <v>58</v>
      </c>
      <c r="I273" t="s">
        <v>837</v>
      </c>
      <c r="J273" t="s">
        <v>828</v>
      </c>
    </row>
    <row r="274" spans="1:10">
      <c r="A274" t="s">
        <v>664</v>
      </c>
      <c r="B274" t="s">
        <v>838</v>
      </c>
      <c r="C274" t="s">
        <v>86</v>
      </c>
      <c r="D274" t="s">
        <v>55</v>
      </c>
      <c r="E274" t="s">
        <v>839</v>
      </c>
      <c r="F274">
        <f>HYPERLINK("http://clipc-services.ceda.ac.uk/dreq/u/1dfd4bb59374157f2bcd5338c90a54b4.html","web")</f>
        <v>0</v>
      </c>
      <c r="G274" t="s">
        <v>57</v>
      </c>
      <c r="H274" t="s">
        <v>58</v>
      </c>
      <c r="I274" t="s">
        <v>840</v>
      </c>
      <c r="J274" t="s">
        <v>828</v>
      </c>
    </row>
    <row r="275" spans="1:10">
      <c r="A275" t="s">
        <v>664</v>
      </c>
      <c r="B275" t="s">
        <v>841</v>
      </c>
      <c r="C275" t="s">
        <v>54</v>
      </c>
      <c r="D275" t="s">
        <v>55</v>
      </c>
      <c r="E275" t="s">
        <v>842</v>
      </c>
      <c r="F275">
        <f>HYPERLINK("http://clipc-services.ceda.ac.uk/dreq/u/86b89f8138a6ec9830def56892753017.html","web")</f>
        <v>0</v>
      </c>
      <c r="G275" t="s">
        <v>57</v>
      </c>
      <c r="H275" t="s">
        <v>58</v>
      </c>
      <c r="I275" t="s">
        <v>843</v>
      </c>
      <c r="J275" t="s">
        <v>828</v>
      </c>
    </row>
    <row r="276" spans="1:10">
      <c r="A276" t="s">
        <v>664</v>
      </c>
      <c r="B276" t="s">
        <v>844</v>
      </c>
      <c r="C276" t="s">
        <v>12</v>
      </c>
      <c r="D276" t="s">
        <v>55</v>
      </c>
      <c r="E276" t="s">
        <v>845</v>
      </c>
      <c r="F276">
        <f>HYPERLINK("http://clipc-services.ceda.ac.uk/dreq/u/f240d371c4585a7647bd775cc97abbee.html","web")</f>
        <v>0</v>
      </c>
      <c r="G276" t="s">
        <v>57</v>
      </c>
      <c r="H276" t="s">
        <v>58</v>
      </c>
      <c r="I276" t="s">
        <v>846</v>
      </c>
      <c r="J276" t="s">
        <v>847</v>
      </c>
    </row>
    <row r="277" spans="1:10">
      <c r="A277" t="s">
        <v>664</v>
      </c>
      <c r="B277" t="s">
        <v>848</v>
      </c>
      <c r="C277" t="s">
        <v>86</v>
      </c>
      <c r="D277" t="s">
        <v>55</v>
      </c>
      <c r="E277" t="s">
        <v>849</v>
      </c>
      <c r="F277">
        <f>HYPERLINK("http://clipc-services.ceda.ac.uk/dreq/u/c971e98c-c5f0-11e6-ac20-5404a60d96b5.html","web")</f>
        <v>0</v>
      </c>
      <c r="G277" t="s">
        <v>57</v>
      </c>
      <c r="H277" t="s">
        <v>58</v>
      </c>
      <c r="I277" t="s">
        <v>850</v>
      </c>
      <c r="J277" t="s">
        <v>674</v>
      </c>
    </row>
    <row r="278" spans="1:10">
      <c r="A278" t="s">
        <v>664</v>
      </c>
      <c r="B278" t="s">
        <v>851</v>
      </c>
      <c r="C278" t="s">
        <v>86</v>
      </c>
      <c r="D278" t="s">
        <v>55</v>
      </c>
      <c r="E278" t="s">
        <v>852</v>
      </c>
      <c r="F278">
        <f>HYPERLINK("http://clipc-services.ceda.ac.uk/dreq/u/e527e1f0-dd83-11e5-9194-ac72891c3257.html","web")</f>
        <v>0</v>
      </c>
      <c r="G278" t="s">
        <v>57</v>
      </c>
      <c r="H278" t="s">
        <v>58</v>
      </c>
      <c r="I278" t="s">
        <v>853</v>
      </c>
      <c r="J278" t="s">
        <v>674</v>
      </c>
    </row>
    <row r="279" spans="1:10">
      <c r="A279" t="s">
        <v>664</v>
      </c>
      <c r="B279" t="s">
        <v>854</v>
      </c>
      <c r="C279" t="s">
        <v>54</v>
      </c>
      <c r="D279" t="s">
        <v>55</v>
      </c>
      <c r="E279" t="s">
        <v>855</v>
      </c>
      <c r="F279">
        <f>HYPERLINK("http://clipc-services.ceda.ac.uk/dreq/u/e5289ab4-dd83-11e5-9194-ac72891c3257.html","web")</f>
        <v>0</v>
      </c>
      <c r="G279" t="s">
        <v>57</v>
      </c>
      <c r="H279" t="s">
        <v>58</v>
      </c>
      <c r="I279" t="s">
        <v>856</v>
      </c>
      <c r="J279" t="s">
        <v>674</v>
      </c>
    </row>
    <row r="280" spans="1:10">
      <c r="A280" t="s">
        <v>664</v>
      </c>
      <c r="B280" t="s">
        <v>857</v>
      </c>
      <c r="C280" t="s">
        <v>54</v>
      </c>
      <c r="D280" t="s">
        <v>55</v>
      </c>
      <c r="E280" t="s">
        <v>858</v>
      </c>
      <c r="F280">
        <f>HYPERLINK("http://clipc-services.ceda.ac.uk/dreq/u/28d5c13c016320943983914bc63e6abd.html","web")</f>
        <v>0</v>
      </c>
      <c r="G280" t="s">
        <v>57</v>
      </c>
      <c r="H280" t="s">
        <v>58</v>
      </c>
      <c r="I280" t="s">
        <v>859</v>
      </c>
      <c r="J280" t="s">
        <v>712</v>
      </c>
    </row>
    <row r="281" spans="1:10">
      <c r="A281" t="s">
        <v>664</v>
      </c>
      <c r="B281" t="s">
        <v>860</v>
      </c>
      <c r="C281" t="s">
        <v>54</v>
      </c>
      <c r="D281" t="s">
        <v>55</v>
      </c>
      <c r="E281" t="s">
        <v>861</v>
      </c>
      <c r="F281">
        <f>HYPERLINK("http://clipc-services.ceda.ac.uk/dreq/u/351cb82f1f858d9c0e1094eaf477c9bc.html","web")</f>
        <v>0</v>
      </c>
      <c r="G281" t="s">
        <v>57</v>
      </c>
      <c r="H281" t="s">
        <v>58</v>
      </c>
      <c r="I281" t="s">
        <v>862</v>
      </c>
      <c r="J281" t="s">
        <v>712</v>
      </c>
    </row>
    <row r="282" spans="1:10">
      <c r="A282" t="s">
        <v>664</v>
      </c>
      <c r="B282" t="s">
        <v>863</v>
      </c>
      <c r="C282" t="s">
        <v>54</v>
      </c>
      <c r="D282" t="s">
        <v>55</v>
      </c>
      <c r="E282" t="s">
        <v>187</v>
      </c>
      <c r="F282">
        <f>HYPERLINK("http://clipc-services.ceda.ac.uk/dreq/u/c1a2f2eeee3b74cd94a2946050785278.html","web")</f>
        <v>0</v>
      </c>
      <c r="G282" t="s">
        <v>57</v>
      </c>
      <c r="H282" t="s">
        <v>58</v>
      </c>
      <c r="I282" t="s">
        <v>864</v>
      </c>
      <c r="J282" t="s">
        <v>712</v>
      </c>
    </row>
    <row r="283" spans="1:10">
      <c r="A283" t="s">
        <v>664</v>
      </c>
      <c r="B283" t="s">
        <v>865</v>
      </c>
      <c r="C283" t="s">
        <v>12</v>
      </c>
      <c r="D283" t="s">
        <v>866</v>
      </c>
      <c r="E283" t="s">
        <v>867</v>
      </c>
      <c r="F283">
        <f>HYPERLINK("http://clipc-services.ceda.ac.uk/dreq/u/4500aac3ce5985eff562e6a170a88574.html","web")</f>
        <v>0</v>
      </c>
      <c r="G283" t="s">
        <v>57</v>
      </c>
      <c r="H283" t="s">
        <v>58</v>
      </c>
      <c r="I283" t="s">
        <v>868</v>
      </c>
      <c r="J283" t="s">
        <v>869</v>
      </c>
    </row>
    <row r="284" spans="1:10">
      <c r="A284" t="s">
        <v>664</v>
      </c>
      <c r="B284" t="s">
        <v>870</v>
      </c>
      <c r="C284" t="s">
        <v>54</v>
      </c>
      <c r="D284" t="s">
        <v>866</v>
      </c>
      <c r="E284" t="s">
        <v>871</v>
      </c>
      <c r="F284">
        <f>HYPERLINK("http://clipc-services.ceda.ac.uk/dreq/u/5ad003b9cbc58ca2c9117bb2d144605f.html","web")</f>
        <v>0</v>
      </c>
      <c r="G284" t="s">
        <v>57</v>
      </c>
      <c r="H284" t="s">
        <v>58</v>
      </c>
      <c r="I284" t="s">
        <v>872</v>
      </c>
      <c r="J284" t="s">
        <v>712</v>
      </c>
    </row>
    <row r="285" spans="1:10">
      <c r="A285" t="s">
        <v>664</v>
      </c>
      <c r="B285" t="s">
        <v>873</v>
      </c>
      <c r="C285" t="s">
        <v>54</v>
      </c>
      <c r="D285" t="s">
        <v>866</v>
      </c>
      <c r="E285" t="s">
        <v>874</v>
      </c>
      <c r="F285">
        <f>HYPERLINK("http://clipc-services.ceda.ac.uk/dreq/u/f0260f7e851aaf39ac2349b365db89b5.html","web")</f>
        <v>0</v>
      </c>
      <c r="G285" t="s">
        <v>57</v>
      </c>
      <c r="H285" t="s">
        <v>58</v>
      </c>
      <c r="I285" t="s">
        <v>872</v>
      </c>
      <c r="J285" t="s">
        <v>875</v>
      </c>
    </row>
    <row r="286" spans="1:10">
      <c r="A286" t="s">
        <v>664</v>
      </c>
      <c r="B286" t="s">
        <v>876</v>
      </c>
      <c r="C286" t="s">
        <v>12</v>
      </c>
      <c r="D286" t="s">
        <v>866</v>
      </c>
      <c r="E286" t="s">
        <v>877</v>
      </c>
      <c r="F286">
        <f>HYPERLINK("http://clipc-services.ceda.ac.uk/dreq/u/6308b546e0eb4e1962d36ba5b98904ee.html","web")</f>
        <v>0</v>
      </c>
      <c r="G286" t="s">
        <v>57</v>
      </c>
      <c r="H286" t="s">
        <v>58</v>
      </c>
      <c r="I286" t="s">
        <v>878</v>
      </c>
      <c r="J286" t="s">
        <v>869</v>
      </c>
    </row>
    <row r="287" spans="1:10">
      <c r="A287" t="s">
        <v>664</v>
      </c>
      <c r="B287" t="s">
        <v>879</v>
      </c>
      <c r="C287" t="s">
        <v>86</v>
      </c>
      <c r="D287" t="s">
        <v>55</v>
      </c>
      <c r="E287" t="s">
        <v>880</v>
      </c>
      <c r="F287">
        <f>HYPERLINK("http://clipc-services.ceda.ac.uk/dreq/u/5fc649c5cc7f4737f3a81d1c6b151b26.html","web")</f>
        <v>0</v>
      </c>
      <c r="G287" t="s">
        <v>57</v>
      </c>
      <c r="H287" t="s">
        <v>58</v>
      </c>
      <c r="I287" t="s">
        <v>881</v>
      </c>
      <c r="J287" t="s">
        <v>712</v>
      </c>
    </row>
    <row r="288" spans="1:10">
      <c r="A288" t="s">
        <v>664</v>
      </c>
      <c r="B288" t="s">
        <v>882</v>
      </c>
      <c r="C288" t="s">
        <v>12</v>
      </c>
      <c r="D288" t="s">
        <v>883</v>
      </c>
      <c r="E288" t="s">
        <v>884</v>
      </c>
      <c r="F288">
        <f>HYPERLINK("http://clipc-services.ceda.ac.uk/dreq/u/88d79ec028b6e797cd2db6f00f9b6910.html","web")</f>
        <v>0</v>
      </c>
      <c r="G288" t="s">
        <v>57</v>
      </c>
      <c r="H288" t="s">
        <v>58</v>
      </c>
      <c r="I288" t="s">
        <v>885</v>
      </c>
      <c r="J288" t="s">
        <v>847</v>
      </c>
    </row>
    <row r="289" spans="1:10">
      <c r="A289" t="s">
        <v>664</v>
      </c>
      <c r="B289" t="s">
        <v>886</v>
      </c>
      <c r="C289" t="s">
        <v>54</v>
      </c>
      <c r="D289" t="s">
        <v>883</v>
      </c>
      <c r="E289" t="s">
        <v>887</v>
      </c>
      <c r="F289">
        <f>HYPERLINK("http://clipc-services.ceda.ac.uk/dreq/u/011e37046b327b256ca0e6b5f8722699.html","web")</f>
        <v>0</v>
      </c>
      <c r="G289" t="s">
        <v>57</v>
      </c>
      <c r="H289" t="s">
        <v>58</v>
      </c>
      <c r="I289" t="s">
        <v>888</v>
      </c>
      <c r="J289" t="s">
        <v>889</v>
      </c>
    </row>
    <row r="290" spans="1:10">
      <c r="A290" t="s">
        <v>664</v>
      </c>
      <c r="B290" t="s">
        <v>890</v>
      </c>
      <c r="C290" t="s">
        <v>54</v>
      </c>
      <c r="D290" t="s">
        <v>883</v>
      </c>
      <c r="E290" t="s">
        <v>891</v>
      </c>
      <c r="F290">
        <f>HYPERLINK("http://clipc-services.ceda.ac.uk/dreq/u/abe5993d07b8b52e770ed957b060f9ed.html","web")</f>
        <v>0</v>
      </c>
      <c r="G290" t="s">
        <v>57</v>
      </c>
      <c r="H290" t="s">
        <v>58</v>
      </c>
      <c r="I290" t="s">
        <v>892</v>
      </c>
      <c r="J290" t="s">
        <v>674</v>
      </c>
    </row>
    <row r="291" spans="1:10">
      <c r="A291" t="s">
        <v>664</v>
      </c>
      <c r="B291" t="s">
        <v>201</v>
      </c>
      <c r="C291" t="s">
        <v>12</v>
      </c>
      <c r="D291" t="s">
        <v>883</v>
      </c>
      <c r="E291" t="s">
        <v>202</v>
      </c>
      <c r="F291">
        <f>HYPERLINK("http://clipc-services.ceda.ac.uk/dreq/u/f64c4ac230024801b1f140d806a00972.html","web")</f>
        <v>0</v>
      </c>
      <c r="G291" t="s">
        <v>57</v>
      </c>
      <c r="H291" t="s">
        <v>58</v>
      </c>
      <c r="I291" t="s">
        <v>203</v>
      </c>
      <c r="J291" t="s">
        <v>893</v>
      </c>
    </row>
    <row r="292" spans="1:10">
      <c r="A292" t="s">
        <v>664</v>
      </c>
      <c r="B292" t="s">
        <v>894</v>
      </c>
      <c r="C292" t="s">
        <v>12</v>
      </c>
      <c r="D292" t="s">
        <v>883</v>
      </c>
      <c r="E292" t="s">
        <v>895</v>
      </c>
      <c r="F292">
        <f>HYPERLINK("http://clipc-services.ceda.ac.uk/dreq/u/02e40424bc4b63c1ae535165def98421.html","web")</f>
        <v>0</v>
      </c>
      <c r="G292" t="s">
        <v>57</v>
      </c>
      <c r="H292" t="s">
        <v>58</v>
      </c>
      <c r="I292" t="s">
        <v>896</v>
      </c>
      <c r="J292" t="s">
        <v>708</v>
      </c>
    </row>
    <row r="293" spans="1:10">
      <c r="A293" t="s">
        <v>664</v>
      </c>
      <c r="B293" t="s">
        <v>897</v>
      </c>
      <c r="C293" t="s">
        <v>54</v>
      </c>
      <c r="D293" t="s">
        <v>55</v>
      </c>
      <c r="E293" t="s">
        <v>898</v>
      </c>
      <c r="F293">
        <f>HYPERLINK("http://clipc-services.ceda.ac.uk/dreq/u/e799552047be54bf13ccbe494c73cc81.html","web")</f>
        <v>0</v>
      </c>
      <c r="G293" t="s">
        <v>57</v>
      </c>
      <c r="H293" t="s">
        <v>58</v>
      </c>
      <c r="I293" t="s">
        <v>899</v>
      </c>
      <c r="J293" t="s">
        <v>828</v>
      </c>
    </row>
    <row r="294" spans="1:10">
      <c r="A294" t="s">
        <v>664</v>
      </c>
      <c r="B294" t="s">
        <v>900</v>
      </c>
      <c r="C294" t="s">
        <v>54</v>
      </c>
      <c r="D294" t="s">
        <v>55</v>
      </c>
      <c r="E294" t="s">
        <v>901</v>
      </c>
      <c r="F294">
        <f>HYPERLINK("http://clipc-services.ceda.ac.uk/dreq/u/5895b847e6247f0058199d1b26772655.html","web")</f>
        <v>0</v>
      </c>
      <c r="G294" t="s">
        <v>57</v>
      </c>
      <c r="H294" t="s">
        <v>58</v>
      </c>
      <c r="I294" t="s">
        <v>902</v>
      </c>
      <c r="J294" t="s">
        <v>903</v>
      </c>
    </row>
    <row r="295" spans="1:10">
      <c r="A295" t="s">
        <v>664</v>
      </c>
      <c r="B295" t="s">
        <v>904</v>
      </c>
      <c r="C295" t="s">
        <v>54</v>
      </c>
      <c r="D295" t="s">
        <v>55</v>
      </c>
      <c r="E295" t="s">
        <v>905</v>
      </c>
      <c r="F295">
        <f>HYPERLINK("http://clipc-services.ceda.ac.uk/dreq/u/6c2e81334ca2f0de1813f46d64ee1924.html","web")</f>
        <v>0</v>
      </c>
      <c r="G295" t="s">
        <v>57</v>
      </c>
      <c r="H295" t="s">
        <v>58</v>
      </c>
      <c r="I295" t="s">
        <v>906</v>
      </c>
      <c r="J295" t="s">
        <v>712</v>
      </c>
    </row>
    <row r="296" spans="1:10">
      <c r="A296" t="s">
        <v>664</v>
      </c>
      <c r="B296" t="s">
        <v>907</v>
      </c>
      <c r="C296" t="s">
        <v>54</v>
      </c>
      <c r="D296" t="s">
        <v>883</v>
      </c>
      <c r="E296" t="s">
        <v>908</v>
      </c>
      <c r="F296">
        <f>HYPERLINK("http://clipc-services.ceda.ac.uk/dreq/u/96b53e6411f945d703ee5d081faee987.html","web")</f>
        <v>0</v>
      </c>
      <c r="G296" t="s">
        <v>57</v>
      </c>
      <c r="H296" t="s">
        <v>58</v>
      </c>
      <c r="I296" t="s">
        <v>909</v>
      </c>
      <c r="J296" t="s">
        <v>712</v>
      </c>
    </row>
    <row r="297" spans="1:10">
      <c r="A297" t="s">
        <v>664</v>
      </c>
      <c r="B297" t="s">
        <v>910</v>
      </c>
      <c r="C297" t="s">
        <v>54</v>
      </c>
      <c r="D297" t="s">
        <v>883</v>
      </c>
      <c r="E297" t="s">
        <v>911</v>
      </c>
      <c r="F297">
        <f>HYPERLINK("http://clipc-services.ceda.ac.uk/dreq/u/b385b4f43e7385eb7bfe4e2175bb086d.html","web")</f>
        <v>0</v>
      </c>
      <c r="G297" t="s">
        <v>57</v>
      </c>
      <c r="H297" t="s">
        <v>58</v>
      </c>
      <c r="I297" t="s">
        <v>912</v>
      </c>
      <c r="J297" t="s">
        <v>712</v>
      </c>
    </row>
    <row r="298" spans="1:10">
      <c r="A298" t="s">
        <v>664</v>
      </c>
      <c r="B298" t="s">
        <v>913</v>
      </c>
      <c r="C298" t="s">
        <v>54</v>
      </c>
      <c r="D298" t="s">
        <v>55</v>
      </c>
      <c r="E298" t="s">
        <v>914</v>
      </c>
      <c r="F298">
        <f>HYPERLINK("http://clipc-services.ceda.ac.uk/dreq/u/01f509c26cfbd2f30789d91b026e0016.html","web")</f>
        <v>0</v>
      </c>
      <c r="G298" t="s">
        <v>57</v>
      </c>
      <c r="H298" t="s">
        <v>58</v>
      </c>
      <c r="I298" t="s">
        <v>915</v>
      </c>
      <c r="J298" t="s">
        <v>764</v>
      </c>
    </row>
    <row r="299" spans="1:10">
      <c r="A299" t="s">
        <v>664</v>
      </c>
      <c r="B299" t="s">
        <v>916</v>
      </c>
      <c r="C299" t="s">
        <v>54</v>
      </c>
      <c r="D299" t="s">
        <v>55</v>
      </c>
      <c r="E299" t="s">
        <v>917</v>
      </c>
      <c r="F299">
        <f>HYPERLINK("http://clipc-services.ceda.ac.uk/dreq/u/d254e68c03491d17660ec44e7565f9e2.html","web")</f>
        <v>0</v>
      </c>
      <c r="G299" t="s">
        <v>57</v>
      </c>
      <c r="H299" t="s">
        <v>58</v>
      </c>
      <c r="I299" t="s">
        <v>918</v>
      </c>
      <c r="J299" t="s">
        <v>712</v>
      </c>
    </row>
    <row r="300" spans="1:10">
      <c r="A300" t="s">
        <v>664</v>
      </c>
      <c r="B300" t="s">
        <v>919</v>
      </c>
      <c r="C300" t="s">
        <v>86</v>
      </c>
      <c r="D300" t="s">
        <v>883</v>
      </c>
      <c r="E300" t="s">
        <v>920</v>
      </c>
      <c r="F300">
        <f>HYPERLINK("http://clipc-services.ceda.ac.uk/dreq/u/13654e951d583dc7d02b5c23485e6eb5.html","web")</f>
        <v>0</v>
      </c>
      <c r="G300" t="s">
        <v>57</v>
      </c>
      <c r="H300" t="s">
        <v>58</v>
      </c>
      <c r="I300" t="s">
        <v>921</v>
      </c>
      <c r="J300" t="s">
        <v>922</v>
      </c>
    </row>
    <row r="301" spans="1:10">
      <c r="A301" t="s">
        <v>664</v>
      </c>
      <c r="B301" t="s">
        <v>923</v>
      </c>
      <c r="C301" t="s">
        <v>86</v>
      </c>
      <c r="D301" t="s">
        <v>883</v>
      </c>
      <c r="E301" t="s">
        <v>924</v>
      </c>
      <c r="F301">
        <f>HYPERLINK("http://clipc-services.ceda.ac.uk/dreq/u/b4ae9d56d038ff977f0db7f578841c5a.html","web")</f>
        <v>0</v>
      </c>
      <c r="G301" t="s">
        <v>57</v>
      </c>
      <c r="H301" t="s">
        <v>58</v>
      </c>
      <c r="I301" t="s">
        <v>925</v>
      </c>
      <c r="J301" t="s">
        <v>824</v>
      </c>
    </row>
    <row r="302" spans="1:10">
      <c r="A302" t="s">
        <v>664</v>
      </c>
      <c r="B302" t="s">
        <v>97</v>
      </c>
      <c r="C302" t="s">
        <v>86</v>
      </c>
      <c r="D302" t="s">
        <v>883</v>
      </c>
      <c r="E302" t="s">
        <v>98</v>
      </c>
      <c r="F302">
        <f>HYPERLINK("http://clipc-services.ceda.ac.uk/dreq/u/54eb2f6651441ff52f9aea4d43a83024.html","web")</f>
        <v>0</v>
      </c>
      <c r="G302" t="s">
        <v>57</v>
      </c>
      <c r="H302" t="s">
        <v>58</v>
      </c>
      <c r="I302" t="s">
        <v>99</v>
      </c>
      <c r="J302" t="s">
        <v>926</v>
      </c>
    </row>
    <row r="303" spans="1:10">
      <c r="A303" t="s">
        <v>664</v>
      </c>
      <c r="B303" t="s">
        <v>927</v>
      </c>
      <c r="C303" t="s">
        <v>86</v>
      </c>
      <c r="D303" t="s">
        <v>883</v>
      </c>
      <c r="E303" t="s">
        <v>928</v>
      </c>
      <c r="F303">
        <f>HYPERLINK("http://clipc-services.ceda.ac.uk/dreq/u/be62c57dff12142bf51fc73c70cfb050.html","web")</f>
        <v>0</v>
      </c>
      <c r="G303" t="s">
        <v>57</v>
      </c>
      <c r="H303" t="s">
        <v>58</v>
      </c>
      <c r="I303" t="s">
        <v>929</v>
      </c>
      <c r="J303" t="s">
        <v>926</v>
      </c>
    </row>
    <row r="304" spans="1:10">
      <c r="A304" t="s">
        <v>664</v>
      </c>
      <c r="B304" t="s">
        <v>930</v>
      </c>
      <c r="C304" t="s">
        <v>86</v>
      </c>
      <c r="D304" t="s">
        <v>883</v>
      </c>
      <c r="E304" t="s">
        <v>931</v>
      </c>
      <c r="F304">
        <f>HYPERLINK("http://clipc-services.ceda.ac.uk/dreq/u/b0a9616ddee15d1f3740ce445bd82fb1.html","web")</f>
        <v>0</v>
      </c>
      <c r="G304" t="s">
        <v>57</v>
      </c>
      <c r="H304" t="s">
        <v>58</v>
      </c>
      <c r="I304" t="s">
        <v>932</v>
      </c>
      <c r="J304" t="s">
        <v>674</v>
      </c>
    </row>
    <row r="305" spans="1:10">
      <c r="A305" t="s">
        <v>664</v>
      </c>
      <c r="B305" t="s">
        <v>933</v>
      </c>
      <c r="C305" t="s">
        <v>86</v>
      </c>
      <c r="D305" t="s">
        <v>883</v>
      </c>
      <c r="E305" t="s">
        <v>934</v>
      </c>
      <c r="F305">
        <f>HYPERLINK("http://clipc-services.ceda.ac.uk/dreq/u/c85ac4ad4664c34898cdb9af2418c45a.html","web")</f>
        <v>0</v>
      </c>
      <c r="G305" t="s">
        <v>57</v>
      </c>
      <c r="H305" t="s">
        <v>58</v>
      </c>
      <c r="I305" t="s">
        <v>935</v>
      </c>
      <c r="J305" t="s">
        <v>674</v>
      </c>
    </row>
    <row r="306" spans="1:10">
      <c r="A306" t="s">
        <v>664</v>
      </c>
      <c r="B306" t="s">
        <v>936</v>
      </c>
      <c r="C306" t="s">
        <v>86</v>
      </c>
      <c r="D306" t="s">
        <v>883</v>
      </c>
      <c r="E306" t="s">
        <v>937</v>
      </c>
      <c r="F306">
        <f>HYPERLINK("http://clipc-services.ceda.ac.uk/dreq/u/5880ab9386066d5d620774a46840cc25.html","web")</f>
        <v>0</v>
      </c>
      <c r="G306" t="s">
        <v>57</v>
      </c>
      <c r="H306" t="s">
        <v>58</v>
      </c>
      <c r="I306" t="s">
        <v>938</v>
      </c>
      <c r="J306" t="s">
        <v>674</v>
      </c>
    </row>
    <row r="307" spans="1:10">
      <c r="A307" t="s">
        <v>664</v>
      </c>
      <c r="B307" t="s">
        <v>939</v>
      </c>
      <c r="C307" t="s">
        <v>86</v>
      </c>
      <c r="D307" t="s">
        <v>883</v>
      </c>
      <c r="E307" t="s">
        <v>940</v>
      </c>
      <c r="F307">
        <f>HYPERLINK("http://clipc-services.ceda.ac.uk/dreq/u/9a7cb6c8481412d525ba1101f82b892d.html","web")</f>
        <v>0</v>
      </c>
      <c r="G307" t="s">
        <v>57</v>
      </c>
      <c r="H307" t="s">
        <v>58</v>
      </c>
      <c r="I307" t="s">
        <v>941</v>
      </c>
      <c r="J307" t="s">
        <v>674</v>
      </c>
    </row>
    <row r="308" spans="1:10">
      <c r="A308" t="s">
        <v>664</v>
      </c>
      <c r="B308" t="s">
        <v>942</v>
      </c>
      <c r="C308" t="s">
        <v>86</v>
      </c>
      <c r="D308" t="s">
        <v>883</v>
      </c>
      <c r="E308" t="s">
        <v>943</v>
      </c>
      <c r="F308">
        <f>HYPERLINK("http://clipc-services.ceda.ac.uk/dreq/u/e9dc036ef43db84bc4651ce95b0fed94.html","web")</f>
        <v>0</v>
      </c>
      <c r="G308" t="s">
        <v>57</v>
      </c>
      <c r="H308" t="s">
        <v>58</v>
      </c>
      <c r="I308" t="s">
        <v>944</v>
      </c>
      <c r="J308" t="s">
        <v>674</v>
      </c>
    </row>
    <row r="309" spans="1:10">
      <c r="A309" t="s">
        <v>664</v>
      </c>
      <c r="B309" t="s">
        <v>945</v>
      </c>
      <c r="C309" t="s">
        <v>86</v>
      </c>
      <c r="D309" t="s">
        <v>883</v>
      </c>
      <c r="E309" t="s">
        <v>946</v>
      </c>
      <c r="F309">
        <f>HYPERLINK("http://clipc-services.ceda.ac.uk/dreq/u/30a7a10d4c71066f19eae9a89ddfafba.html","web")</f>
        <v>0</v>
      </c>
      <c r="G309" t="s">
        <v>57</v>
      </c>
      <c r="H309" t="s">
        <v>58</v>
      </c>
      <c r="I309" t="s">
        <v>947</v>
      </c>
      <c r="J309" t="s">
        <v>674</v>
      </c>
    </row>
    <row r="310" spans="1:10">
      <c r="A310" t="s">
        <v>664</v>
      </c>
      <c r="B310" t="s">
        <v>948</v>
      </c>
      <c r="C310" t="s">
        <v>86</v>
      </c>
      <c r="D310" t="s">
        <v>883</v>
      </c>
      <c r="E310" t="s">
        <v>949</v>
      </c>
      <c r="F310">
        <f>HYPERLINK("http://clipc-services.ceda.ac.uk/dreq/u/d90bac355dae4e53a6d0e5df81a090ad.html","web")</f>
        <v>0</v>
      </c>
      <c r="G310" t="s">
        <v>57</v>
      </c>
      <c r="H310" t="s">
        <v>58</v>
      </c>
      <c r="I310" t="s">
        <v>950</v>
      </c>
      <c r="J310" t="s">
        <v>922</v>
      </c>
    </row>
    <row r="311" spans="1:10">
      <c r="A311" t="s">
        <v>664</v>
      </c>
      <c r="B311" t="s">
        <v>951</v>
      </c>
      <c r="C311" t="s">
        <v>86</v>
      </c>
      <c r="D311" t="s">
        <v>883</v>
      </c>
      <c r="E311" t="s">
        <v>952</v>
      </c>
      <c r="F311">
        <f>HYPERLINK("http://clipc-services.ceda.ac.uk/dreq/u/b50af258aff9f9ca19fdf1ec4b039a55.html","web")</f>
        <v>0</v>
      </c>
      <c r="G311" t="s">
        <v>57</v>
      </c>
      <c r="H311" t="s">
        <v>58</v>
      </c>
      <c r="I311" t="s">
        <v>953</v>
      </c>
      <c r="J311" t="s">
        <v>954</v>
      </c>
    </row>
    <row r="312" spans="1:10">
      <c r="A312" t="s">
        <v>664</v>
      </c>
      <c r="B312" t="s">
        <v>141</v>
      </c>
      <c r="C312" t="s">
        <v>86</v>
      </c>
      <c r="D312" t="s">
        <v>883</v>
      </c>
      <c r="E312" t="s">
        <v>142</v>
      </c>
      <c r="F312">
        <f>HYPERLINK("http://clipc-services.ceda.ac.uk/dreq/u/c2705ac5fb7561a3aa5744c1163bf2d7.html","web")</f>
        <v>0</v>
      </c>
      <c r="G312" t="s">
        <v>57</v>
      </c>
      <c r="H312" t="s">
        <v>58</v>
      </c>
      <c r="I312" t="s">
        <v>143</v>
      </c>
      <c r="J312" t="s">
        <v>955</v>
      </c>
    </row>
    <row r="313" spans="1:10">
      <c r="A313" t="s">
        <v>664</v>
      </c>
      <c r="B313" t="s">
        <v>144</v>
      </c>
      <c r="C313" t="s">
        <v>86</v>
      </c>
      <c r="D313" t="s">
        <v>883</v>
      </c>
      <c r="E313" t="s">
        <v>145</v>
      </c>
      <c r="F313">
        <f>HYPERLINK("http://clipc-services.ceda.ac.uk/dreq/u/96acc3ed79b2bd5e4dbd613a4c27720f.html","web")</f>
        <v>0</v>
      </c>
      <c r="G313" t="s">
        <v>57</v>
      </c>
      <c r="H313" t="s">
        <v>58</v>
      </c>
      <c r="I313" t="s">
        <v>146</v>
      </c>
      <c r="J313" t="s">
        <v>922</v>
      </c>
    </row>
    <row r="314" spans="1:10">
      <c r="A314" t="s">
        <v>664</v>
      </c>
      <c r="B314" t="s">
        <v>956</v>
      </c>
      <c r="C314" t="s">
        <v>86</v>
      </c>
      <c r="D314" t="s">
        <v>883</v>
      </c>
      <c r="E314" t="s">
        <v>957</v>
      </c>
      <c r="F314">
        <f>HYPERLINK("http://clipc-services.ceda.ac.uk/dreq/u/5a887812bc95f4c8377af5051a2566fe.html","web")</f>
        <v>0</v>
      </c>
      <c r="G314" t="s">
        <v>57</v>
      </c>
      <c r="H314" t="s">
        <v>58</v>
      </c>
      <c r="I314" t="s">
        <v>146</v>
      </c>
      <c r="J314" t="s">
        <v>824</v>
      </c>
    </row>
    <row r="315" spans="1:10">
      <c r="A315" t="s">
        <v>664</v>
      </c>
      <c r="B315" t="s">
        <v>958</v>
      </c>
      <c r="C315" t="s">
        <v>86</v>
      </c>
      <c r="D315" t="s">
        <v>883</v>
      </c>
      <c r="E315" t="s">
        <v>959</v>
      </c>
      <c r="F315">
        <f>HYPERLINK("http://clipc-services.ceda.ac.uk/dreq/u/72366111fcb3d2a0d14dc917e8fca8eb.html","web")</f>
        <v>0</v>
      </c>
      <c r="G315" t="s">
        <v>57</v>
      </c>
      <c r="H315" t="s">
        <v>58</v>
      </c>
      <c r="I315" t="s">
        <v>960</v>
      </c>
      <c r="J315" t="s">
        <v>922</v>
      </c>
    </row>
    <row r="316" spans="1:10">
      <c r="A316" t="s">
        <v>664</v>
      </c>
      <c r="B316" t="s">
        <v>147</v>
      </c>
      <c r="C316" t="s">
        <v>86</v>
      </c>
      <c r="D316" t="s">
        <v>883</v>
      </c>
      <c r="E316" t="s">
        <v>148</v>
      </c>
      <c r="F316">
        <f>HYPERLINK("http://clipc-services.ceda.ac.uk/dreq/u/5250c73892803497448e18ba0310c423.html","web")</f>
        <v>0</v>
      </c>
      <c r="G316" t="s">
        <v>57</v>
      </c>
      <c r="H316" t="s">
        <v>58</v>
      </c>
      <c r="I316" t="s">
        <v>149</v>
      </c>
      <c r="J316" t="s">
        <v>922</v>
      </c>
    </row>
    <row r="317" spans="1:10">
      <c r="A317" t="s">
        <v>664</v>
      </c>
      <c r="B317" t="s">
        <v>150</v>
      </c>
      <c r="C317" t="s">
        <v>86</v>
      </c>
      <c r="D317" t="s">
        <v>883</v>
      </c>
      <c r="E317" t="s">
        <v>151</v>
      </c>
      <c r="F317">
        <f>HYPERLINK("http://clipc-services.ceda.ac.uk/dreq/u/56a5fa6dd6b7c4aa711f362d5d5414f6.html","web")</f>
        <v>0</v>
      </c>
      <c r="G317" t="s">
        <v>57</v>
      </c>
      <c r="H317" t="s">
        <v>58</v>
      </c>
      <c r="I317" t="s">
        <v>152</v>
      </c>
      <c r="J317" t="s">
        <v>922</v>
      </c>
    </row>
    <row r="318" spans="1:10">
      <c r="A318" t="s">
        <v>664</v>
      </c>
      <c r="B318" t="s">
        <v>153</v>
      </c>
      <c r="C318" t="s">
        <v>86</v>
      </c>
      <c r="D318" t="s">
        <v>883</v>
      </c>
      <c r="E318" t="s">
        <v>154</v>
      </c>
      <c r="F318">
        <f>HYPERLINK("http://clipc-services.ceda.ac.uk/dreq/u/ab60603d901dfa1c47f4d2fd7784f8ea.html","web")</f>
        <v>0</v>
      </c>
      <c r="G318" t="s">
        <v>57</v>
      </c>
      <c r="H318" t="s">
        <v>58</v>
      </c>
      <c r="I318" t="s">
        <v>155</v>
      </c>
      <c r="J318" t="s">
        <v>922</v>
      </c>
    </row>
    <row r="319" spans="1:10">
      <c r="A319" t="s">
        <v>664</v>
      </c>
      <c r="B319" t="s">
        <v>156</v>
      </c>
      <c r="C319" t="s">
        <v>86</v>
      </c>
      <c r="D319" t="s">
        <v>883</v>
      </c>
      <c r="E319" t="s">
        <v>157</v>
      </c>
      <c r="F319">
        <f>HYPERLINK("http://clipc-services.ceda.ac.uk/dreq/u/c947141b54f1ab48dba4a84cec99c5d3.html","web")</f>
        <v>0</v>
      </c>
      <c r="G319" t="s">
        <v>57</v>
      </c>
      <c r="H319" t="s">
        <v>58</v>
      </c>
      <c r="I319" t="s">
        <v>158</v>
      </c>
      <c r="J319" t="s">
        <v>674</v>
      </c>
    </row>
    <row r="320" spans="1:10">
      <c r="A320" t="s">
        <v>664</v>
      </c>
      <c r="B320" t="s">
        <v>160</v>
      </c>
      <c r="C320" t="s">
        <v>86</v>
      </c>
      <c r="D320" t="s">
        <v>883</v>
      </c>
      <c r="E320" t="s">
        <v>161</v>
      </c>
      <c r="F320">
        <f>HYPERLINK("http://clipc-services.ceda.ac.uk/dreq/u/98fab6148c36b25a158062a11c0c5965.html","web")</f>
        <v>0</v>
      </c>
      <c r="G320" t="s">
        <v>57</v>
      </c>
      <c r="H320" t="s">
        <v>58</v>
      </c>
      <c r="I320" t="s">
        <v>162</v>
      </c>
      <c r="J320" t="s">
        <v>674</v>
      </c>
    </row>
    <row r="321" spans="1:10">
      <c r="A321" t="s">
        <v>664</v>
      </c>
      <c r="B321" t="s">
        <v>163</v>
      </c>
      <c r="C321" t="s">
        <v>86</v>
      </c>
      <c r="D321" t="s">
        <v>883</v>
      </c>
      <c r="E321" t="s">
        <v>164</v>
      </c>
      <c r="F321">
        <f>HYPERLINK("http://clipc-services.ceda.ac.uk/dreq/u/f108633dc7e1585498ceccc06bdfd263.html","web")</f>
        <v>0</v>
      </c>
      <c r="G321" t="s">
        <v>57</v>
      </c>
      <c r="H321" t="s">
        <v>58</v>
      </c>
      <c r="I321" t="s">
        <v>165</v>
      </c>
      <c r="J321" t="s">
        <v>674</v>
      </c>
    </row>
    <row r="322" spans="1:10">
      <c r="A322" t="s">
        <v>664</v>
      </c>
      <c r="B322" t="s">
        <v>166</v>
      </c>
      <c r="C322" t="s">
        <v>86</v>
      </c>
      <c r="D322" t="s">
        <v>883</v>
      </c>
      <c r="E322" t="s">
        <v>167</v>
      </c>
      <c r="F322">
        <f>HYPERLINK("http://clipc-services.ceda.ac.uk/dreq/u/dcd2298237af35be0ed71c92ee9e7e79.html","web")</f>
        <v>0</v>
      </c>
      <c r="G322" t="s">
        <v>57</v>
      </c>
      <c r="H322" t="s">
        <v>58</v>
      </c>
      <c r="I322" t="s">
        <v>168</v>
      </c>
      <c r="J322" t="s">
        <v>674</v>
      </c>
    </row>
    <row r="323" spans="1:10">
      <c r="A323" t="s">
        <v>664</v>
      </c>
      <c r="B323" t="s">
        <v>169</v>
      </c>
      <c r="C323" t="s">
        <v>86</v>
      </c>
      <c r="D323" t="s">
        <v>883</v>
      </c>
      <c r="E323" t="s">
        <v>170</v>
      </c>
      <c r="F323">
        <f>HYPERLINK("http://clipc-services.ceda.ac.uk/dreq/u/87f531b94bd9ca68e33e89d7e3e81be4.html","web")</f>
        <v>0</v>
      </c>
      <c r="G323" t="s">
        <v>57</v>
      </c>
      <c r="H323" t="s">
        <v>58</v>
      </c>
      <c r="I323" t="s">
        <v>171</v>
      </c>
      <c r="J323" t="s">
        <v>674</v>
      </c>
    </row>
    <row r="324" spans="1:10">
      <c r="A324" t="s">
        <v>664</v>
      </c>
      <c r="B324" t="s">
        <v>172</v>
      </c>
      <c r="C324" t="s">
        <v>86</v>
      </c>
      <c r="D324" t="s">
        <v>883</v>
      </c>
      <c r="E324" t="s">
        <v>173</v>
      </c>
      <c r="F324">
        <f>HYPERLINK("http://clipc-services.ceda.ac.uk/dreq/u/6cde3055df67931d84608fc5b7694f65.html","web")</f>
        <v>0</v>
      </c>
      <c r="G324" t="s">
        <v>57</v>
      </c>
      <c r="H324" t="s">
        <v>58</v>
      </c>
      <c r="I324" t="s">
        <v>174</v>
      </c>
      <c r="J324" t="s">
        <v>674</v>
      </c>
    </row>
    <row r="325" spans="1:10">
      <c r="A325" t="s">
        <v>664</v>
      </c>
      <c r="B325" t="s">
        <v>961</v>
      </c>
      <c r="C325" t="s">
        <v>86</v>
      </c>
      <c r="D325" t="s">
        <v>883</v>
      </c>
      <c r="E325" t="s">
        <v>962</v>
      </c>
      <c r="F325">
        <f>HYPERLINK("http://clipc-services.ceda.ac.uk/dreq/u/9791ce56083fe450761a27a7dc158225.html","web")</f>
        <v>0</v>
      </c>
      <c r="G325" t="s">
        <v>57</v>
      </c>
      <c r="H325" t="s">
        <v>58</v>
      </c>
      <c r="I325" t="s">
        <v>963</v>
      </c>
      <c r="J325" t="s">
        <v>674</v>
      </c>
    </row>
    <row r="326" spans="1:10">
      <c r="A326" t="s">
        <v>664</v>
      </c>
      <c r="B326" t="s">
        <v>964</v>
      </c>
      <c r="C326" t="s">
        <v>86</v>
      </c>
      <c r="D326" t="s">
        <v>883</v>
      </c>
      <c r="E326" t="s">
        <v>965</v>
      </c>
      <c r="F326">
        <f>HYPERLINK("http://clipc-services.ceda.ac.uk/dreq/u/28907f4f1855d3d22166c87b8e5300be.html","web")</f>
        <v>0</v>
      </c>
      <c r="G326" t="s">
        <v>57</v>
      </c>
      <c r="H326" t="s">
        <v>58</v>
      </c>
      <c r="I326" t="s">
        <v>966</v>
      </c>
      <c r="J326" t="s">
        <v>674</v>
      </c>
    </row>
    <row r="327" spans="1:10">
      <c r="A327" t="s">
        <v>664</v>
      </c>
      <c r="B327" t="s">
        <v>175</v>
      </c>
      <c r="C327" t="s">
        <v>86</v>
      </c>
      <c r="D327" t="s">
        <v>883</v>
      </c>
      <c r="E327" t="s">
        <v>176</v>
      </c>
      <c r="F327">
        <f>HYPERLINK("http://clipc-services.ceda.ac.uk/dreq/u/41cef8aa37d1f0164ae061f293d4361c.html","web")</f>
        <v>0</v>
      </c>
      <c r="G327" t="s">
        <v>57</v>
      </c>
      <c r="H327" t="s">
        <v>58</v>
      </c>
      <c r="I327" t="s">
        <v>177</v>
      </c>
      <c r="J327" t="s">
        <v>824</v>
      </c>
    </row>
    <row r="329" spans="1:10">
      <c r="A329" t="s">
        <v>967</v>
      </c>
      <c r="B329" t="s">
        <v>79</v>
      </c>
      <c r="C329" t="s">
        <v>12</v>
      </c>
      <c r="D329" t="s">
        <v>80</v>
      </c>
      <c r="E329" t="s">
        <v>81</v>
      </c>
      <c r="F329">
        <f>HYPERLINK("http://clipc-services.ceda.ac.uk/dreq/u/e9b495e2-5989-11e6-a4be-ac72891c3257.html","web")</f>
        <v>0</v>
      </c>
      <c r="G329" t="s">
        <v>82</v>
      </c>
      <c r="H329" t="s">
        <v>16</v>
      </c>
      <c r="I329" t="s">
        <v>83</v>
      </c>
      <c r="J329" t="s">
        <v>18</v>
      </c>
    </row>
    <row r="331" spans="1:10">
      <c r="A331" t="s">
        <v>968</v>
      </c>
      <c r="B331" t="s">
        <v>969</v>
      </c>
      <c r="C331" t="s">
        <v>86</v>
      </c>
      <c r="D331" t="s">
        <v>455</v>
      </c>
      <c r="E331" t="s">
        <v>970</v>
      </c>
      <c r="F331">
        <f>HYPERLINK("http://clipc-services.ceda.ac.uk/dreq/u/59171588-9e49-11e5-803c-0d0b866b59f3.html","web")</f>
        <v>0</v>
      </c>
      <c r="G331" t="s">
        <v>57</v>
      </c>
      <c r="H331" t="s">
        <v>58</v>
      </c>
      <c r="I331" t="s">
        <v>971</v>
      </c>
      <c r="J331" t="s">
        <v>972</v>
      </c>
    </row>
    <row r="332" spans="1:10">
      <c r="A332" t="s">
        <v>968</v>
      </c>
      <c r="B332" t="s">
        <v>399</v>
      </c>
      <c r="C332" t="s">
        <v>12</v>
      </c>
      <c r="D332" t="s">
        <v>973</v>
      </c>
      <c r="E332" t="s">
        <v>400</v>
      </c>
      <c r="F332">
        <f>HYPERLINK("http://clipc-services.ceda.ac.uk/dreq/u/52f043533a691ca5721460e316c3a328.html","web")</f>
        <v>0</v>
      </c>
      <c r="G332" t="s">
        <v>401</v>
      </c>
      <c r="H332" t="s">
        <v>402</v>
      </c>
      <c r="I332" t="s">
        <v>403</v>
      </c>
      <c r="J332" t="s">
        <v>974</v>
      </c>
    </row>
    <row r="333" spans="1:10">
      <c r="A333" t="s">
        <v>968</v>
      </c>
      <c r="B333" t="s">
        <v>975</v>
      </c>
      <c r="C333" t="s">
        <v>12</v>
      </c>
      <c r="D333" t="s">
        <v>455</v>
      </c>
      <c r="E333" t="s">
        <v>976</v>
      </c>
      <c r="F333">
        <f>HYPERLINK("http://clipc-services.ceda.ac.uk/dreq/u/16566aed8c1a15e598240020f11b8fd4.html","web")</f>
        <v>0</v>
      </c>
      <c r="G333" t="s">
        <v>57</v>
      </c>
      <c r="H333" t="s">
        <v>58</v>
      </c>
      <c r="J333" t="s">
        <v>972</v>
      </c>
    </row>
    <row r="335" spans="1:10">
      <c r="A335" t="s">
        <v>977</v>
      </c>
      <c r="B335" t="s">
        <v>423</v>
      </c>
      <c r="C335" t="s">
        <v>12</v>
      </c>
      <c r="D335" t="s">
        <v>55</v>
      </c>
      <c r="E335" t="s">
        <v>425</v>
      </c>
      <c r="F335">
        <f>HYPERLINK("http://clipc-services.ceda.ac.uk/dreq/u/cc1b9e3073d751143fe8ab63ca9fcc45.html","web")</f>
        <v>0</v>
      </c>
      <c r="G335" t="s">
        <v>426</v>
      </c>
      <c r="H335" t="s">
        <v>75</v>
      </c>
      <c r="I335" t="s">
        <v>427</v>
      </c>
      <c r="J335" t="s">
        <v>978</v>
      </c>
    </row>
    <row r="336" spans="1:10">
      <c r="A336" t="s">
        <v>977</v>
      </c>
      <c r="B336" t="s">
        <v>428</v>
      </c>
      <c r="C336" t="s">
        <v>12</v>
      </c>
      <c r="D336" t="s">
        <v>55</v>
      </c>
      <c r="E336" t="s">
        <v>429</v>
      </c>
      <c r="F336">
        <f>HYPERLINK("http://clipc-services.ceda.ac.uk/dreq/u/5e49c0b73ac161d5e5dd05173416c400.html","web")</f>
        <v>0</v>
      </c>
      <c r="G336" t="s">
        <v>430</v>
      </c>
      <c r="H336" t="s">
        <v>75</v>
      </c>
      <c r="I336" t="s">
        <v>431</v>
      </c>
      <c r="J336" t="s">
        <v>978</v>
      </c>
    </row>
    <row r="337" spans="1:10">
      <c r="A337" t="s">
        <v>977</v>
      </c>
      <c r="B337" t="s">
        <v>432</v>
      </c>
      <c r="C337" t="s">
        <v>12</v>
      </c>
      <c r="D337" t="s">
        <v>55</v>
      </c>
      <c r="E337" t="s">
        <v>433</v>
      </c>
      <c r="F337">
        <f>HYPERLINK("http://clipc-services.ceda.ac.uk/dreq/u/299fb9d19040c4aa3862644286261ad2.html","web")</f>
        <v>0</v>
      </c>
      <c r="G337" t="s">
        <v>434</v>
      </c>
      <c r="H337" t="s">
        <v>75</v>
      </c>
      <c r="I337" t="s">
        <v>435</v>
      </c>
      <c r="J337" t="s">
        <v>978</v>
      </c>
    </row>
    <row r="338" spans="1:10">
      <c r="A338" t="s">
        <v>977</v>
      </c>
      <c r="B338" t="s">
        <v>979</v>
      </c>
      <c r="C338" t="s">
        <v>12</v>
      </c>
      <c r="D338" t="s">
        <v>980</v>
      </c>
      <c r="E338" t="s">
        <v>981</v>
      </c>
      <c r="F338">
        <f>HYPERLINK("http://clipc-services.ceda.ac.uk/dreq/u/1d4594c97188efd47935238a429e02e4.html","web")</f>
        <v>0</v>
      </c>
      <c r="G338" t="s">
        <v>74</v>
      </c>
      <c r="H338" t="s">
        <v>75</v>
      </c>
      <c r="I338" t="s">
        <v>982</v>
      </c>
      <c r="J338" t="s">
        <v>983</v>
      </c>
    </row>
    <row r="339" spans="1:10">
      <c r="A339" t="s">
        <v>977</v>
      </c>
      <c r="B339" t="s">
        <v>984</v>
      </c>
      <c r="C339" t="s">
        <v>12</v>
      </c>
      <c r="D339" t="s">
        <v>985</v>
      </c>
      <c r="E339" t="s">
        <v>981</v>
      </c>
      <c r="F339">
        <f>HYPERLINK("http://clipc-services.ceda.ac.uk/dreq/u/1d4594c97188efd47935238a429e02e4.html","web")</f>
        <v>0</v>
      </c>
      <c r="G339" t="s">
        <v>986</v>
      </c>
      <c r="H339" t="s">
        <v>75</v>
      </c>
      <c r="I339" t="s">
        <v>982</v>
      </c>
      <c r="J339" t="s">
        <v>983</v>
      </c>
    </row>
    <row r="340" spans="1:10">
      <c r="A340" t="s">
        <v>977</v>
      </c>
      <c r="B340" t="s">
        <v>987</v>
      </c>
      <c r="C340" t="s">
        <v>12</v>
      </c>
      <c r="D340" t="s">
        <v>980</v>
      </c>
      <c r="E340" t="s">
        <v>988</v>
      </c>
      <c r="F340">
        <f>HYPERLINK("http://clipc-services.ceda.ac.uk/dreq/u/9bb9a503065dfbd30c9bbe5c3c6abf99.html","web")</f>
        <v>0</v>
      </c>
      <c r="G340" t="s">
        <v>74</v>
      </c>
      <c r="H340" t="s">
        <v>75</v>
      </c>
      <c r="I340" t="s">
        <v>982</v>
      </c>
      <c r="J340" t="s">
        <v>989</v>
      </c>
    </row>
    <row r="341" spans="1:10">
      <c r="A341" t="s">
        <v>977</v>
      </c>
      <c r="B341" t="s">
        <v>990</v>
      </c>
      <c r="C341" t="s">
        <v>12</v>
      </c>
      <c r="D341" t="s">
        <v>985</v>
      </c>
      <c r="E341" t="s">
        <v>988</v>
      </c>
      <c r="F341">
        <f>HYPERLINK("http://clipc-services.ceda.ac.uk/dreq/u/9bb9a503065dfbd30c9bbe5c3c6abf99.html","web")</f>
        <v>0</v>
      </c>
      <c r="G341" t="s">
        <v>986</v>
      </c>
      <c r="H341" t="s">
        <v>75</v>
      </c>
      <c r="I341" t="s">
        <v>982</v>
      </c>
      <c r="J341" t="s">
        <v>989</v>
      </c>
    </row>
    <row r="342" spans="1:10">
      <c r="A342" t="s">
        <v>977</v>
      </c>
      <c r="B342" t="s">
        <v>991</v>
      </c>
      <c r="C342" t="s">
        <v>12</v>
      </c>
      <c r="D342" t="s">
        <v>442</v>
      </c>
      <c r="E342" t="s">
        <v>992</v>
      </c>
      <c r="F342">
        <f>HYPERLINK("http://clipc-services.ceda.ac.uk/dreq/u/ddf060894b16cf89e906ecfedbba4ffb.html","web")</f>
        <v>0</v>
      </c>
      <c r="G342" t="s">
        <v>986</v>
      </c>
      <c r="H342" t="s">
        <v>75</v>
      </c>
      <c r="I342" t="s">
        <v>993</v>
      </c>
      <c r="J342" t="s">
        <v>989</v>
      </c>
    </row>
    <row r="343" spans="1:10">
      <c r="A343" t="s">
        <v>977</v>
      </c>
      <c r="B343" t="s">
        <v>994</v>
      </c>
      <c r="C343" t="s">
        <v>12</v>
      </c>
      <c r="D343" t="s">
        <v>995</v>
      </c>
      <c r="E343" t="s">
        <v>992</v>
      </c>
      <c r="F343">
        <f>HYPERLINK("http://clipc-services.ceda.ac.uk/dreq/u/ddf060894b16cf89e906ecfedbba4ffb.html","web")</f>
        <v>0</v>
      </c>
      <c r="G343" t="s">
        <v>986</v>
      </c>
      <c r="H343" t="s">
        <v>75</v>
      </c>
      <c r="I343" t="s">
        <v>993</v>
      </c>
      <c r="J343" t="s">
        <v>989</v>
      </c>
    </row>
    <row r="344" spans="1:10">
      <c r="A344" t="s">
        <v>977</v>
      </c>
      <c r="B344" t="s">
        <v>996</v>
      </c>
      <c r="C344" t="s">
        <v>12</v>
      </c>
      <c r="D344" t="s">
        <v>980</v>
      </c>
      <c r="E344" t="s">
        <v>997</v>
      </c>
      <c r="F344">
        <f>HYPERLINK("http://clipc-services.ceda.ac.uk/dreq/u/7f4c49e8abe3230e87fa7299b73448fa.html","web")</f>
        <v>0</v>
      </c>
      <c r="G344" t="s">
        <v>74</v>
      </c>
      <c r="H344" t="s">
        <v>75</v>
      </c>
      <c r="I344" t="s">
        <v>982</v>
      </c>
      <c r="J344" t="s">
        <v>989</v>
      </c>
    </row>
    <row r="345" spans="1:10">
      <c r="A345" t="s">
        <v>977</v>
      </c>
      <c r="B345" t="s">
        <v>998</v>
      </c>
      <c r="C345" t="s">
        <v>12</v>
      </c>
      <c r="D345" t="s">
        <v>985</v>
      </c>
      <c r="E345" t="s">
        <v>997</v>
      </c>
      <c r="F345">
        <f>HYPERLINK("http://clipc-services.ceda.ac.uk/dreq/u/7f4c49e8abe3230e87fa7299b73448fa.html","web")</f>
        <v>0</v>
      </c>
      <c r="G345" t="s">
        <v>986</v>
      </c>
      <c r="H345" t="s">
        <v>75</v>
      </c>
      <c r="I345" t="s">
        <v>982</v>
      </c>
      <c r="J345" t="s">
        <v>989</v>
      </c>
    </row>
    <row r="346" spans="1:10">
      <c r="A346" t="s">
        <v>977</v>
      </c>
      <c r="B346" t="s">
        <v>999</v>
      </c>
      <c r="C346" t="s">
        <v>12</v>
      </c>
      <c r="D346" t="s">
        <v>442</v>
      </c>
      <c r="E346" t="s">
        <v>1000</v>
      </c>
      <c r="F346">
        <f>HYPERLINK("http://clipc-services.ceda.ac.uk/dreq/u/dbc244f3e0bae5b1397ad42fb6cd6db3.html","web")</f>
        <v>0</v>
      </c>
      <c r="G346" t="s">
        <v>986</v>
      </c>
      <c r="H346" t="s">
        <v>75</v>
      </c>
      <c r="I346" t="s">
        <v>1000</v>
      </c>
      <c r="J346" t="s">
        <v>989</v>
      </c>
    </row>
    <row r="347" spans="1:10">
      <c r="A347" t="s">
        <v>977</v>
      </c>
      <c r="B347" t="s">
        <v>1001</v>
      </c>
      <c r="C347" t="s">
        <v>12</v>
      </c>
      <c r="D347" t="s">
        <v>995</v>
      </c>
      <c r="E347" t="s">
        <v>1000</v>
      </c>
      <c r="F347">
        <f>HYPERLINK("http://clipc-services.ceda.ac.uk/dreq/u/dbc244f3e0bae5b1397ad42fb6cd6db3.html","web")</f>
        <v>0</v>
      </c>
      <c r="G347" t="s">
        <v>986</v>
      </c>
      <c r="H347" t="s">
        <v>75</v>
      </c>
      <c r="I347" t="s">
        <v>1000</v>
      </c>
      <c r="J347" t="s">
        <v>989</v>
      </c>
    </row>
    <row r="348" spans="1:10">
      <c r="A348" t="s">
        <v>977</v>
      </c>
      <c r="B348" t="s">
        <v>248</v>
      </c>
      <c r="C348" t="s">
        <v>12</v>
      </c>
      <c r="D348" t="s">
        <v>1002</v>
      </c>
      <c r="E348" t="s">
        <v>250</v>
      </c>
      <c r="F348">
        <f>HYPERLINK("http://clipc-services.ceda.ac.uk/dreq/u/154ab10964742eaff37de9cc5beef39c.html","web")</f>
        <v>0</v>
      </c>
      <c r="G348" t="s">
        <v>74</v>
      </c>
      <c r="H348" t="s">
        <v>75</v>
      </c>
      <c r="I348" t="s">
        <v>251</v>
      </c>
      <c r="J348" t="s">
        <v>1003</v>
      </c>
    </row>
    <row r="350" spans="1:10">
      <c r="A350" t="s">
        <v>1004</v>
      </c>
      <c r="B350" t="s">
        <v>459</v>
      </c>
      <c r="C350" t="s">
        <v>12</v>
      </c>
      <c r="D350" t="s">
        <v>55</v>
      </c>
      <c r="E350" t="s">
        <v>460</v>
      </c>
      <c r="F350">
        <f>HYPERLINK("http://clipc-services.ceda.ac.uk/dreq/u/590e8b2a-9e49-11e5-803c-0d0b866b59f3.html","web")</f>
        <v>0</v>
      </c>
      <c r="G350" t="s">
        <v>57</v>
      </c>
      <c r="H350" t="s">
        <v>58</v>
      </c>
      <c r="I350" t="s">
        <v>461</v>
      </c>
      <c r="J350" t="s">
        <v>1005</v>
      </c>
    </row>
    <row r="351" spans="1:10">
      <c r="A351" t="s">
        <v>1004</v>
      </c>
      <c r="B351" t="s">
        <v>485</v>
      </c>
      <c r="C351" t="s">
        <v>12</v>
      </c>
      <c r="D351" t="s">
        <v>55</v>
      </c>
      <c r="E351" t="s">
        <v>486</v>
      </c>
      <c r="F351">
        <f>HYPERLINK("http://clipc-services.ceda.ac.uk/dreq/u/5914a456-9e49-11e5-803c-0d0b866b59f3.html","web")</f>
        <v>0</v>
      </c>
      <c r="G351" t="s">
        <v>57</v>
      </c>
      <c r="H351" t="s">
        <v>58</v>
      </c>
      <c r="I351" t="s">
        <v>487</v>
      </c>
      <c r="J351" t="s">
        <v>1006</v>
      </c>
    </row>
    <row r="352" spans="1:10">
      <c r="A352" t="s">
        <v>1004</v>
      </c>
      <c r="B352" t="s">
        <v>579</v>
      </c>
      <c r="C352" t="s">
        <v>12</v>
      </c>
      <c r="D352" t="s">
        <v>55</v>
      </c>
      <c r="E352" t="s">
        <v>580</v>
      </c>
      <c r="F352">
        <f>HYPERLINK("http://clipc-services.ceda.ac.uk/dreq/u/590f4f2e-9e49-11e5-803c-0d0b866b59f3.html","web")</f>
        <v>0</v>
      </c>
      <c r="G352" t="s">
        <v>57</v>
      </c>
      <c r="H352" t="s">
        <v>58</v>
      </c>
      <c r="I352" t="s">
        <v>581</v>
      </c>
      <c r="J352" t="s">
        <v>1005</v>
      </c>
    </row>
    <row r="354" spans="1:10">
      <c r="A354" t="s">
        <v>1007</v>
      </c>
      <c r="B354" t="s">
        <v>1008</v>
      </c>
      <c r="C354" t="s">
        <v>86</v>
      </c>
      <c r="D354" t="s">
        <v>55</v>
      </c>
      <c r="E354" t="s">
        <v>1009</v>
      </c>
      <c r="F354">
        <f>HYPERLINK("http://clipc-services.ceda.ac.uk/dreq/u/590e3c7e-9e49-11e5-803c-0d0b866b59f3.html","web")</f>
        <v>0</v>
      </c>
      <c r="G354" t="s">
        <v>74</v>
      </c>
      <c r="H354" t="s">
        <v>75</v>
      </c>
      <c r="I354" t="s">
        <v>1010</v>
      </c>
      <c r="J354" t="s">
        <v>1011</v>
      </c>
    </row>
    <row r="356" spans="1:10">
      <c r="A356" t="s">
        <v>1012</v>
      </c>
      <c r="B356" t="s">
        <v>1013</v>
      </c>
      <c r="C356" t="s">
        <v>12</v>
      </c>
      <c r="D356" t="s">
        <v>55</v>
      </c>
      <c r="E356" t="s">
        <v>1014</v>
      </c>
      <c r="F356">
        <f>HYPERLINK("http://clipc-services.ceda.ac.uk/dreq/u/fe6ca864-a41f-11e5-9025-ac72891c3257.html","web")</f>
        <v>0</v>
      </c>
      <c r="G356" t="s">
        <v>74</v>
      </c>
      <c r="H356" t="s">
        <v>75</v>
      </c>
      <c r="I356" t="s">
        <v>982</v>
      </c>
      <c r="J356" t="s">
        <v>77</v>
      </c>
    </row>
    <row r="357" spans="1:10">
      <c r="A357" t="s">
        <v>1012</v>
      </c>
      <c r="B357" t="s">
        <v>1015</v>
      </c>
      <c r="C357" t="s">
        <v>12</v>
      </c>
      <c r="D357" t="s">
        <v>55</v>
      </c>
      <c r="E357" t="s">
        <v>1016</v>
      </c>
      <c r="F357">
        <f>HYPERLINK("http://clipc-services.ceda.ac.uk/dreq/u/fe6cecca-a41f-11e5-9025-ac72891c3257.html","web")</f>
        <v>0</v>
      </c>
      <c r="G357" t="s">
        <v>74</v>
      </c>
      <c r="H357" t="s">
        <v>75</v>
      </c>
      <c r="I357" t="s">
        <v>982</v>
      </c>
      <c r="J357" t="s">
        <v>77</v>
      </c>
    </row>
    <row r="358" spans="1:10">
      <c r="A358" t="s">
        <v>1012</v>
      </c>
      <c r="B358" t="s">
        <v>1017</v>
      </c>
      <c r="C358" t="s">
        <v>12</v>
      </c>
      <c r="D358" t="s">
        <v>55</v>
      </c>
      <c r="E358" t="s">
        <v>1018</v>
      </c>
      <c r="F358">
        <f>HYPERLINK("http://clipc-services.ceda.ac.uk/dreq/u/fe6cc8a8-a41f-11e5-9025-ac72891c3257.html","web")</f>
        <v>0</v>
      </c>
      <c r="G358" t="s">
        <v>74</v>
      </c>
      <c r="H358" t="s">
        <v>75</v>
      </c>
      <c r="I358" t="s">
        <v>1019</v>
      </c>
      <c r="J358" t="s">
        <v>77</v>
      </c>
    </row>
    <row r="360" spans="1:10">
      <c r="A360" t="s">
        <v>1020</v>
      </c>
      <c r="B360" t="s">
        <v>1021</v>
      </c>
      <c r="C360" t="s">
        <v>12</v>
      </c>
      <c r="D360" t="s">
        <v>1022</v>
      </c>
      <c r="E360" t="s">
        <v>1023</v>
      </c>
      <c r="F360">
        <f>HYPERLINK("http://clipc-services.ceda.ac.uk/dreq/u/0baf6a333b91c4db341b515c28cd2c05.html","web")</f>
        <v>0</v>
      </c>
      <c r="G360" t="s">
        <v>74</v>
      </c>
      <c r="H360" t="s">
        <v>75</v>
      </c>
      <c r="I360" t="s">
        <v>1024</v>
      </c>
      <c r="J360" t="s">
        <v>1025</v>
      </c>
    </row>
    <row r="361" spans="1:10">
      <c r="A361" t="s">
        <v>1020</v>
      </c>
      <c r="B361" t="s">
        <v>1026</v>
      </c>
      <c r="C361" t="s">
        <v>12</v>
      </c>
      <c r="D361" t="s">
        <v>655</v>
      </c>
      <c r="E361" t="s">
        <v>1027</v>
      </c>
      <c r="F361">
        <f>HYPERLINK("http://clipc-services.ceda.ac.uk/dreq/u/5eac89f6f61b0e154c5add397fc41c46.html","web")</f>
        <v>0</v>
      </c>
      <c r="G361" t="s">
        <v>74</v>
      </c>
      <c r="H361" t="s">
        <v>75</v>
      </c>
      <c r="I361" t="s">
        <v>1028</v>
      </c>
      <c r="J361" t="s">
        <v>1029</v>
      </c>
    </row>
    <row r="362" spans="1:10">
      <c r="A362" t="s">
        <v>1020</v>
      </c>
      <c r="B362" t="s">
        <v>1008</v>
      </c>
      <c r="C362" t="s">
        <v>12</v>
      </c>
      <c r="D362" t="s">
        <v>55</v>
      </c>
      <c r="E362" t="s">
        <v>1009</v>
      </c>
      <c r="F362">
        <f>HYPERLINK("http://clipc-services.ceda.ac.uk/dreq/u/590e3c7e-9e49-11e5-803c-0d0b866b59f3.html","web")</f>
        <v>0</v>
      </c>
      <c r="G362" t="s">
        <v>74</v>
      </c>
      <c r="H362" t="s">
        <v>75</v>
      </c>
      <c r="I362" t="s">
        <v>1010</v>
      </c>
      <c r="J362" t="s">
        <v>1030</v>
      </c>
    </row>
    <row r="363" spans="1:10">
      <c r="A363" t="s">
        <v>1020</v>
      </c>
      <c r="B363" t="s">
        <v>1031</v>
      </c>
      <c r="C363" t="s">
        <v>12</v>
      </c>
      <c r="D363" t="s">
        <v>655</v>
      </c>
      <c r="E363" t="s">
        <v>1032</v>
      </c>
      <c r="F363">
        <f>HYPERLINK("http://clipc-services.ceda.ac.uk/dreq/u/7ec31850a34ee43e98c5d526770fb581.html","web")</f>
        <v>0</v>
      </c>
      <c r="G363" t="s">
        <v>74</v>
      </c>
      <c r="H363" t="s">
        <v>75</v>
      </c>
      <c r="I363" t="s">
        <v>982</v>
      </c>
      <c r="J363" t="s">
        <v>1029</v>
      </c>
    </row>
    <row r="364" spans="1:10">
      <c r="A364" t="s">
        <v>1020</v>
      </c>
      <c r="B364" t="s">
        <v>1033</v>
      </c>
      <c r="C364" t="s">
        <v>12</v>
      </c>
      <c r="D364" t="s">
        <v>655</v>
      </c>
      <c r="E364" t="s">
        <v>1034</v>
      </c>
      <c r="F364">
        <f>HYPERLINK("http://clipc-services.ceda.ac.uk/dreq/u/fe6b44a6-a41f-11e5-9025-ac72891c3257.html","web")</f>
        <v>0</v>
      </c>
      <c r="G364" t="s">
        <v>74</v>
      </c>
      <c r="H364" t="s">
        <v>75</v>
      </c>
      <c r="I364" t="s">
        <v>982</v>
      </c>
      <c r="J364" t="s">
        <v>1029</v>
      </c>
    </row>
    <row r="365" spans="1:10">
      <c r="A365" t="s">
        <v>1020</v>
      </c>
      <c r="B365" t="s">
        <v>1035</v>
      </c>
      <c r="C365" t="s">
        <v>12</v>
      </c>
      <c r="D365" t="s">
        <v>655</v>
      </c>
      <c r="E365" t="s">
        <v>1036</v>
      </c>
      <c r="F365">
        <f>HYPERLINK("http://clipc-services.ceda.ac.uk/dreq/u/fe6c7b96-a41f-11e5-9025-ac72891c3257.html","web")</f>
        <v>0</v>
      </c>
      <c r="G365" t="s">
        <v>74</v>
      </c>
      <c r="H365" t="s">
        <v>75</v>
      </c>
      <c r="I365" t="s">
        <v>982</v>
      </c>
      <c r="J365" t="s">
        <v>1029</v>
      </c>
    </row>
    <row r="366" spans="1:10">
      <c r="A366" t="s">
        <v>1020</v>
      </c>
      <c r="B366" t="s">
        <v>1037</v>
      </c>
      <c r="C366" t="s">
        <v>12</v>
      </c>
      <c r="D366" t="s">
        <v>655</v>
      </c>
      <c r="E366" t="s">
        <v>1038</v>
      </c>
      <c r="F366">
        <f>HYPERLINK("http://clipc-services.ceda.ac.uk/dreq/u/cfe4bddb7dbbfc57c19837e7f99d2dda.html","web")</f>
        <v>0</v>
      </c>
      <c r="G366" t="s">
        <v>1039</v>
      </c>
      <c r="H366" t="s">
        <v>402</v>
      </c>
      <c r="I366" t="s">
        <v>1040</v>
      </c>
      <c r="J366" t="s">
        <v>1041</v>
      </c>
    </row>
    <row r="367" spans="1:10">
      <c r="A367" t="s">
        <v>1020</v>
      </c>
      <c r="B367" t="s">
        <v>1042</v>
      </c>
      <c r="C367" t="s">
        <v>12</v>
      </c>
      <c r="D367" t="s">
        <v>655</v>
      </c>
      <c r="E367" t="s">
        <v>1043</v>
      </c>
      <c r="F367">
        <f>HYPERLINK("http://clipc-services.ceda.ac.uk/dreq/u/fe6c8d8e-a41f-11e5-9025-ac72891c3257.html","web")</f>
        <v>0</v>
      </c>
      <c r="G367" t="s">
        <v>74</v>
      </c>
      <c r="H367" t="s">
        <v>75</v>
      </c>
      <c r="I367" t="s">
        <v>1044</v>
      </c>
      <c r="J367" t="s">
        <v>1029</v>
      </c>
    </row>
    <row r="368" spans="1:10">
      <c r="A368" t="s">
        <v>1020</v>
      </c>
      <c r="B368" t="s">
        <v>996</v>
      </c>
      <c r="C368" t="s">
        <v>12</v>
      </c>
      <c r="D368" t="s">
        <v>655</v>
      </c>
      <c r="E368" t="s">
        <v>1045</v>
      </c>
      <c r="F368">
        <f>HYPERLINK("http://clipc-services.ceda.ac.uk/dreq/u/7f4c49e8abe3230e87fa7299b73448fa.html","web")</f>
        <v>0</v>
      </c>
      <c r="G368" t="s">
        <v>74</v>
      </c>
      <c r="H368" t="s">
        <v>75</v>
      </c>
      <c r="I368" t="s">
        <v>982</v>
      </c>
      <c r="J368" t="s">
        <v>1029</v>
      </c>
    </row>
    <row r="369" spans="1:10">
      <c r="A369" t="s">
        <v>1020</v>
      </c>
      <c r="B369" t="s">
        <v>1046</v>
      </c>
      <c r="C369" t="s">
        <v>12</v>
      </c>
      <c r="D369" t="s">
        <v>655</v>
      </c>
      <c r="E369" t="s">
        <v>1047</v>
      </c>
      <c r="F369">
        <f>HYPERLINK("http://clipc-services.ceda.ac.uk/dreq/u/5b189f73a6cbef54f224217d8a6b284a.html","web")</f>
        <v>0</v>
      </c>
      <c r="G369" t="s">
        <v>74</v>
      </c>
      <c r="H369" t="s">
        <v>75</v>
      </c>
      <c r="I369" t="s">
        <v>1048</v>
      </c>
      <c r="J369" t="s">
        <v>1029</v>
      </c>
    </row>
    <row r="370" spans="1:10">
      <c r="A370" t="s">
        <v>1020</v>
      </c>
      <c r="B370" t="s">
        <v>1049</v>
      </c>
      <c r="C370" t="s">
        <v>12</v>
      </c>
      <c r="D370" t="s">
        <v>655</v>
      </c>
      <c r="E370" t="s">
        <v>1050</v>
      </c>
      <c r="F370">
        <f>HYPERLINK("http://clipc-services.ceda.ac.uk/dreq/u/ef1d823bb688b3e2a3f8374bb29fe0bf.html","web")</f>
        <v>0</v>
      </c>
      <c r="G370" t="s">
        <v>74</v>
      </c>
      <c r="H370" t="s">
        <v>75</v>
      </c>
      <c r="I370" t="s">
        <v>1051</v>
      </c>
      <c r="J370" t="s">
        <v>1029</v>
      </c>
    </row>
    <row r="371" spans="1:10">
      <c r="A371" t="s">
        <v>1020</v>
      </c>
      <c r="B371" t="s">
        <v>1052</v>
      </c>
      <c r="C371" t="s">
        <v>12</v>
      </c>
      <c r="D371" t="s">
        <v>55</v>
      </c>
      <c r="E371" t="s">
        <v>1053</v>
      </c>
      <c r="F371">
        <f>HYPERLINK("http://clipc-services.ceda.ac.uk/dreq/u/6b9531f047e39c91d82d58852a429555.html","web")</f>
        <v>0</v>
      </c>
      <c r="G371" t="s">
        <v>74</v>
      </c>
      <c r="H371" t="s">
        <v>75</v>
      </c>
      <c r="I371" t="s">
        <v>1054</v>
      </c>
      <c r="J371" t="s">
        <v>1030</v>
      </c>
    </row>
    <row r="372" spans="1:10">
      <c r="A372" t="s">
        <v>1020</v>
      </c>
      <c r="B372" t="s">
        <v>1055</v>
      </c>
      <c r="C372" t="s">
        <v>12</v>
      </c>
      <c r="D372" t="s">
        <v>55</v>
      </c>
      <c r="E372" t="s">
        <v>1056</v>
      </c>
      <c r="F372">
        <f>HYPERLINK("http://clipc-services.ceda.ac.uk/dreq/u/4e6ce0bc3ad0814b4c0523304965513f.html","web")</f>
        <v>0</v>
      </c>
      <c r="G372" t="s">
        <v>1057</v>
      </c>
      <c r="H372" t="s">
        <v>50</v>
      </c>
      <c r="I372" t="s">
        <v>1058</v>
      </c>
      <c r="J372" t="s">
        <v>1030</v>
      </c>
    </row>
    <row r="373" spans="1:10">
      <c r="A373" t="s">
        <v>1020</v>
      </c>
      <c r="B373" t="s">
        <v>1059</v>
      </c>
      <c r="C373" t="s">
        <v>12</v>
      </c>
      <c r="D373" t="s">
        <v>655</v>
      </c>
      <c r="E373" t="s">
        <v>1060</v>
      </c>
      <c r="F373">
        <f>HYPERLINK("http://clipc-services.ceda.ac.uk/dreq/u/fe6c8654-a41f-11e5-9025-ac72891c3257.html","web")</f>
        <v>0</v>
      </c>
      <c r="G373" t="s">
        <v>74</v>
      </c>
      <c r="H373" t="s">
        <v>75</v>
      </c>
      <c r="I373" t="s">
        <v>982</v>
      </c>
      <c r="J373" t="s">
        <v>1029</v>
      </c>
    </row>
    <row r="374" spans="1:10">
      <c r="A374" t="s">
        <v>1020</v>
      </c>
      <c r="B374" t="s">
        <v>987</v>
      </c>
      <c r="C374" t="s">
        <v>12</v>
      </c>
      <c r="D374" t="s">
        <v>655</v>
      </c>
      <c r="E374" t="s">
        <v>1061</v>
      </c>
      <c r="F374">
        <f>HYPERLINK("http://clipc-services.ceda.ac.uk/dreq/u/9bb9a503065dfbd30c9bbe5c3c6abf99.html","web")</f>
        <v>0</v>
      </c>
      <c r="G374" t="s">
        <v>74</v>
      </c>
      <c r="H374" t="s">
        <v>75</v>
      </c>
      <c r="I374" t="s">
        <v>982</v>
      </c>
      <c r="J374" t="s">
        <v>1029</v>
      </c>
    </row>
    <row r="375" spans="1:10">
      <c r="A375" t="s">
        <v>1020</v>
      </c>
      <c r="B375" t="s">
        <v>1062</v>
      </c>
      <c r="C375" t="s">
        <v>12</v>
      </c>
      <c r="D375" t="s">
        <v>655</v>
      </c>
      <c r="E375" t="s">
        <v>1063</v>
      </c>
      <c r="F375">
        <f>HYPERLINK("http://clipc-services.ceda.ac.uk/dreq/u/04f25e5e4c98a0a98575bc3d805bb03a.html","web")</f>
        <v>0</v>
      </c>
      <c r="G375" t="s">
        <v>74</v>
      </c>
      <c r="H375" t="s">
        <v>75</v>
      </c>
      <c r="I375" t="s">
        <v>982</v>
      </c>
      <c r="J375" t="s">
        <v>1041</v>
      </c>
    </row>
    <row r="376" spans="1:10">
      <c r="A376" t="s">
        <v>1020</v>
      </c>
      <c r="B376" t="s">
        <v>1064</v>
      </c>
      <c r="C376" t="s">
        <v>12</v>
      </c>
      <c r="D376" t="s">
        <v>55</v>
      </c>
      <c r="E376" t="s">
        <v>1065</v>
      </c>
      <c r="F376">
        <f>HYPERLINK("http://clipc-services.ceda.ac.uk/dreq/u/f17637206609c6f9e14190d3ac6a1e6b.html","web")</f>
        <v>0</v>
      </c>
      <c r="G376" t="s">
        <v>74</v>
      </c>
      <c r="H376" t="s">
        <v>75</v>
      </c>
      <c r="I376" t="s">
        <v>1066</v>
      </c>
      <c r="J376" t="s">
        <v>1030</v>
      </c>
    </row>
    <row r="377" spans="1:10">
      <c r="A377" t="s">
        <v>1020</v>
      </c>
      <c r="B377" t="s">
        <v>1067</v>
      </c>
      <c r="C377" t="s">
        <v>12</v>
      </c>
      <c r="D377" t="s">
        <v>55</v>
      </c>
      <c r="E377" t="s">
        <v>1068</v>
      </c>
      <c r="F377">
        <f>HYPERLINK("http://clipc-services.ceda.ac.uk/dreq/u/6444d8c6e394c5d66ae3f732f0ede043.html","web")</f>
        <v>0</v>
      </c>
      <c r="G377" t="s">
        <v>74</v>
      </c>
      <c r="H377" t="s">
        <v>75</v>
      </c>
      <c r="I377" t="s">
        <v>1066</v>
      </c>
      <c r="J377" t="s">
        <v>1069</v>
      </c>
    </row>
    <row r="378" spans="1:10">
      <c r="A378" t="s">
        <v>1020</v>
      </c>
      <c r="B378" t="s">
        <v>1070</v>
      </c>
      <c r="C378" t="s">
        <v>12</v>
      </c>
      <c r="D378" t="s">
        <v>55</v>
      </c>
      <c r="E378" t="s">
        <v>1071</v>
      </c>
      <c r="F378">
        <f>HYPERLINK("http://clipc-services.ceda.ac.uk/dreq/u/9fd5c69c5f00bd2434436f2e9033f545.html","web")</f>
        <v>0</v>
      </c>
      <c r="G378" t="s">
        <v>74</v>
      </c>
      <c r="H378" t="s">
        <v>75</v>
      </c>
      <c r="I378" t="s">
        <v>1072</v>
      </c>
      <c r="J378" t="s">
        <v>1030</v>
      </c>
    </row>
    <row r="379" spans="1:10">
      <c r="A379" t="s">
        <v>1020</v>
      </c>
      <c r="B379" t="s">
        <v>1073</v>
      </c>
      <c r="C379" t="s">
        <v>12</v>
      </c>
      <c r="D379" t="s">
        <v>55</v>
      </c>
      <c r="E379" t="s">
        <v>1074</v>
      </c>
      <c r="F379">
        <f>HYPERLINK("http://clipc-services.ceda.ac.uk/dreq/u/8e67a3e82efbb02a7efe67da456408fa.html","web")</f>
        <v>0</v>
      </c>
      <c r="G379" t="s">
        <v>74</v>
      </c>
      <c r="H379" t="s">
        <v>75</v>
      </c>
      <c r="I379" t="s">
        <v>1072</v>
      </c>
      <c r="J379" t="s">
        <v>1030</v>
      </c>
    </row>
    <row r="380" spans="1:10">
      <c r="A380" t="s">
        <v>1020</v>
      </c>
      <c r="B380" t="s">
        <v>1075</v>
      </c>
      <c r="C380" t="s">
        <v>12</v>
      </c>
      <c r="D380" t="s">
        <v>55</v>
      </c>
      <c r="E380" t="s">
        <v>1076</v>
      </c>
      <c r="F380">
        <f>HYPERLINK("http://clipc-services.ceda.ac.uk/dreq/u/f4e5c381e643cd68d3104cf75cc675bd.html","web")</f>
        <v>0</v>
      </c>
      <c r="G380" t="s">
        <v>74</v>
      </c>
      <c r="H380" t="s">
        <v>75</v>
      </c>
      <c r="I380" t="s">
        <v>1077</v>
      </c>
      <c r="J380" t="s">
        <v>1030</v>
      </c>
    </row>
    <row r="381" spans="1:10">
      <c r="A381" t="s">
        <v>1020</v>
      </c>
      <c r="B381" t="s">
        <v>1078</v>
      </c>
      <c r="C381" t="s">
        <v>12</v>
      </c>
      <c r="D381" t="s">
        <v>55</v>
      </c>
      <c r="E381" t="s">
        <v>1079</v>
      </c>
      <c r="F381">
        <f>HYPERLINK("http://clipc-services.ceda.ac.uk/dreq/u/88cfa07efc9539cfb8c465a664f63e55.html","web")</f>
        <v>0</v>
      </c>
      <c r="G381" t="s">
        <v>74</v>
      </c>
      <c r="H381" t="s">
        <v>75</v>
      </c>
      <c r="I381" t="s">
        <v>1080</v>
      </c>
      <c r="J381" t="s">
        <v>1030</v>
      </c>
    </row>
    <row r="382" spans="1:10">
      <c r="A382" t="s">
        <v>1020</v>
      </c>
      <c r="B382" t="s">
        <v>1081</v>
      </c>
      <c r="C382" t="s">
        <v>12</v>
      </c>
      <c r="D382" t="s">
        <v>55</v>
      </c>
      <c r="E382" t="s">
        <v>1082</v>
      </c>
      <c r="F382">
        <f>HYPERLINK("http://clipc-services.ceda.ac.uk/dreq/u/6f095163598ce89d463f74ae2a096270.html","web")</f>
        <v>0</v>
      </c>
      <c r="G382" t="s">
        <v>74</v>
      </c>
      <c r="H382" t="s">
        <v>75</v>
      </c>
      <c r="I382" t="s">
        <v>1083</v>
      </c>
      <c r="J382" t="s">
        <v>1030</v>
      </c>
    </row>
    <row r="383" spans="1:10">
      <c r="A383" t="s">
        <v>1020</v>
      </c>
      <c r="B383" t="s">
        <v>1084</v>
      </c>
      <c r="C383" t="s">
        <v>12</v>
      </c>
      <c r="D383" t="s">
        <v>55</v>
      </c>
      <c r="E383" t="s">
        <v>1085</v>
      </c>
      <c r="F383">
        <f>HYPERLINK("http://clipc-services.ceda.ac.uk/dreq/u/e49733975533eeec7407d54d8373b155.html","web")</f>
        <v>0</v>
      </c>
      <c r="G383" t="s">
        <v>74</v>
      </c>
      <c r="H383" t="s">
        <v>75</v>
      </c>
      <c r="I383" t="s">
        <v>1072</v>
      </c>
      <c r="J383" t="s">
        <v>1086</v>
      </c>
    </row>
    <row r="384" spans="1:10">
      <c r="A384" t="s">
        <v>1020</v>
      </c>
      <c r="B384" t="s">
        <v>1087</v>
      </c>
      <c r="C384" t="s">
        <v>12</v>
      </c>
      <c r="D384" t="s">
        <v>55</v>
      </c>
      <c r="E384" t="s">
        <v>1088</v>
      </c>
      <c r="F384">
        <f>HYPERLINK("http://clipc-services.ceda.ac.uk/dreq/u/1e4b4b00e55243dc7815c0ffc015faee.html","web")</f>
        <v>0</v>
      </c>
      <c r="G384" t="s">
        <v>74</v>
      </c>
      <c r="H384" t="s">
        <v>75</v>
      </c>
      <c r="I384" t="s">
        <v>1072</v>
      </c>
      <c r="J384" t="s">
        <v>1086</v>
      </c>
    </row>
    <row r="385" spans="1:10">
      <c r="A385" t="s">
        <v>1020</v>
      </c>
      <c r="B385" t="s">
        <v>1089</v>
      </c>
      <c r="C385" t="s">
        <v>12</v>
      </c>
      <c r="D385" t="s">
        <v>55</v>
      </c>
      <c r="E385" t="s">
        <v>1090</v>
      </c>
      <c r="F385">
        <f>HYPERLINK("http://clipc-services.ceda.ac.uk/dreq/u/9b53f7b02bc4f1e2af69632f52a18b28.html","web")</f>
        <v>0</v>
      </c>
      <c r="G385" t="s">
        <v>74</v>
      </c>
      <c r="H385" t="s">
        <v>75</v>
      </c>
      <c r="I385" t="s">
        <v>1066</v>
      </c>
      <c r="J385" t="s">
        <v>1086</v>
      </c>
    </row>
    <row r="386" spans="1:10">
      <c r="A386" t="s">
        <v>1020</v>
      </c>
      <c r="B386" t="s">
        <v>1091</v>
      </c>
      <c r="C386" t="s">
        <v>12</v>
      </c>
      <c r="D386" t="s">
        <v>55</v>
      </c>
      <c r="E386" t="s">
        <v>1092</v>
      </c>
      <c r="F386">
        <f>HYPERLINK("http://clipc-services.ceda.ac.uk/dreq/u/4d3400f4c74e9cd4d4100da7a915e6d9.html","web")</f>
        <v>0</v>
      </c>
      <c r="G386" t="s">
        <v>74</v>
      </c>
      <c r="H386" t="s">
        <v>75</v>
      </c>
      <c r="I386" t="s">
        <v>1093</v>
      </c>
      <c r="J386" t="s">
        <v>1030</v>
      </c>
    </row>
    <row r="387" spans="1:10">
      <c r="A387" t="s">
        <v>1020</v>
      </c>
      <c r="B387" t="s">
        <v>1094</v>
      </c>
      <c r="C387" t="s">
        <v>12</v>
      </c>
      <c r="D387" t="s">
        <v>55</v>
      </c>
      <c r="E387" t="s">
        <v>1095</v>
      </c>
      <c r="F387">
        <f>HYPERLINK("http://clipc-services.ceda.ac.uk/dreq/u/27f1a04b96a7ee0c588ad33c6e1f30fe.html","web")</f>
        <v>0</v>
      </c>
      <c r="G387" t="s">
        <v>74</v>
      </c>
      <c r="H387" t="s">
        <v>75</v>
      </c>
      <c r="I387" t="s">
        <v>1096</v>
      </c>
      <c r="J387" t="s">
        <v>1030</v>
      </c>
    </row>
    <row r="388" spans="1:10">
      <c r="A388" t="s">
        <v>1020</v>
      </c>
      <c r="B388" t="s">
        <v>1097</v>
      </c>
      <c r="C388" t="s">
        <v>12</v>
      </c>
      <c r="D388" t="s">
        <v>55</v>
      </c>
      <c r="E388" t="s">
        <v>1098</v>
      </c>
      <c r="F388">
        <f>HYPERLINK("http://clipc-services.ceda.ac.uk/dreq/u/754b682975aaa6baabc618db3903bba8.html","web")</f>
        <v>0</v>
      </c>
      <c r="G388" t="s">
        <v>74</v>
      </c>
      <c r="H388" t="s">
        <v>75</v>
      </c>
      <c r="I388" t="s">
        <v>1093</v>
      </c>
      <c r="J388" t="s">
        <v>1030</v>
      </c>
    </row>
    <row r="389" spans="1:10">
      <c r="A389" t="s">
        <v>1020</v>
      </c>
      <c r="B389" t="s">
        <v>1099</v>
      </c>
      <c r="C389" t="s">
        <v>12</v>
      </c>
      <c r="D389" t="s">
        <v>55</v>
      </c>
      <c r="E389" t="s">
        <v>1100</v>
      </c>
      <c r="F389">
        <f>HYPERLINK("http://clipc-services.ceda.ac.uk/dreq/u/280c4503513a8be95b5cbfc157615c6e.html","web")</f>
        <v>0</v>
      </c>
      <c r="G389" t="s">
        <v>74</v>
      </c>
      <c r="H389" t="s">
        <v>75</v>
      </c>
      <c r="I389" t="s">
        <v>1093</v>
      </c>
      <c r="J389" t="s">
        <v>1030</v>
      </c>
    </row>
    <row r="390" spans="1:10">
      <c r="A390" t="s">
        <v>1020</v>
      </c>
      <c r="B390" t="s">
        <v>1101</v>
      </c>
      <c r="C390" t="s">
        <v>12</v>
      </c>
      <c r="D390" t="s">
        <v>55</v>
      </c>
      <c r="E390" t="s">
        <v>1102</v>
      </c>
      <c r="F390">
        <f>HYPERLINK("http://clipc-services.ceda.ac.uk/dreq/u/96d843d6b5a59d1e53e07df9641def86.html","web")</f>
        <v>0</v>
      </c>
      <c r="G390" t="s">
        <v>74</v>
      </c>
      <c r="H390" t="s">
        <v>75</v>
      </c>
      <c r="I390" t="s">
        <v>1093</v>
      </c>
      <c r="J390" t="s">
        <v>1069</v>
      </c>
    </row>
    <row r="391" spans="1:10">
      <c r="A391" t="s">
        <v>1020</v>
      </c>
      <c r="B391" t="s">
        <v>1103</v>
      </c>
      <c r="C391" t="s">
        <v>12</v>
      </c>
      <c r="D391" t="s">
        <v>55</v>
      </c>
      <c r="E391" t="s">
        <v>1104</v>
      </c>
      <c r="F391">
        <f>HYPERLINK("http://clipc-services.ceda.ac.uk/dreq/u/811a140bb9962156e6c3cbc16a144f8d.html","web")</f>
        <v>0</v>
      </c>
      <c r="G391" t="s">
        <v>74</v>
      </c>
      <c r="H391" t="s">
        <v>75</v>
      </c>
      <c r="I391" t="s">
        <v>1105</v>
      </c>
      <c r="J391" t="s">
        <v>1030</v>
      </c>
    </row>
    <row r="392" spans="1:10">
      <c r="A392" t="s">
        <v>1020</v>
      </c>
      <c r="B392" t="s">
        <v>1106</v>
      </c>
      <c r="C392" t="s">
        <v>12</v>
      </c>
      <c r="D392" t="s">
        <v>655</v>
      </c>
      <c r="E392" t="s">
        <v>1107</v>
      </c>
      <c r="F392">
        <f>HYPERLINK("http://clipc-services.ceda.ac.uk/dreq/u/534001c2fd879bfda1d9b66d0a61144c.html","web")</f>
        <v>0</v>
      </c>
      <c r="G392" t="s">
        <v>74</v>
      </c>
      <c r="H392" t="s">
        <v>75</v>
      </c>
      <c r="I392" t="s">
        <v>1108</v>
      </c>
      <c r="J392" t="s">
        <v>1029</v>
      </c>
    </row>
    <row r="393" spans="1:10">
      <c r="A393" t="s">
        <v>1020</v>
      </c>
      <c r="B393" t="s">
        <v>1109</v>
      </c>
      <c r="C393" t="s">
        <v>12</v>
      </c>
      <c r="D393" t="s">
        <v>55</v>
      </c>
      <c r="E393" t="s">
        <v>1110</v>
      </c>
      <c r="F393">
        <f>HYPERLINK("http://clipc-services.ceda.ac.uk/dreq/u/0f732311bca54b8620535615258be52d.html","web")</f>
        <v>0</v>
      </c>
      <c r="G393" t="s">
        <v>74</v>
      </c>
      <c r="H393" t="s">
        <v>75</v>
      </c>
      <c r="I393" t="s">
        <v>1093</v>
      </c>
      <c r="J393" t="s">
        <v>1030</v>
      </c>
    </row>
    <row r="394" spans="1:10">
      <c r="A394" t="s">
        <v>1020</v>
      </c>
      <c r="B394" t="s">
        <v>1111</v>
      </c>
      <c r="C394" t="s">
        <v>12</v>
      </c>
      <c r="D394" t="s">
        <v>55</v>
      </c>
      <c r="E394" t="s">
        <v>1112</v>
      </c>
      <c r="F394">
        <f>HYPERLINK("http://clipc-services.ceda.ac.uk/dreq/u/9a6a4f8bd6adfd9c68cb6a7961f295ea.html","web")</f>
        <v>0</v>
      </c>
      <c r="G394" t="s">
        <v>74</v>
      </c>
      <c r="H394" t="s">
        <v>75</v>
      </c>
      <c r="I394" t="s">
        <v>1113</v>
      </c>
      <c r="J394" t="s">
        <v>1030</v>
      </c>
    </row>
    <row r="395" spans="1:10">
      <c r="A395" t="s">
        <v>1020</v>
      </c>
      <c r="B395" t="s">
        <v>1114</v>
      </c>
      <c r="C395" t="s">
        <v>12</v>
      </c>
      <c r="D395" t="s">
        <v>55</v>
      </c>
      <c r="E395" t="s">
        <v>1115</v>
      </c>
      <c r="F395">
        <f>HYPERLINK("http://clipc-services.ceda.ac.uk/dreq/u/523886b41b608ce9215833b0406b9c27.html","web")</f>
        <v>0</v>
      </c>
      <c r="G395" t="s">
        <v>74</v>
      </c>
      <c r="H395" t="s">
        <v>75</v>
      </c>
      <c r="I395" t="s">
        <v>1116</v>
      </c>
      <c r="J395" t="s">
        <v>1030</v>
      </c>
    </row>
    <row r="396" spans="1:10">
      <c r="A396" t="s">
        <v>1020</v>
      </c>
      <c r="B396" t="s">
        <v>1117</v>
      </c>
      <c r="C396" t="s">
        <v>12</v>
      </c>
      <c r="D396" t="s">
        <v>55</v>
      </c>
      <c r="E396" t="s">
        <v>1118</v>
      </c>
      <c r="F396">
        <f>HYPERLINK("http://clipc-services.ceda.ac.uk/dreq/u/e35112d35f6f5cc88e1ebceefbd09133.html","web")</f>
        <v>0</v>
      </c>
      <c r="G396" t="s">
        <v>74</v>
      </c>
      <c r="H396" t="s">
        <v>75</v>
      </c>
      <c r="I396" t="s">
        <v>1093</v>
      </c>
      <c r="J396" t="s">
        <v>1086</v>
      </c>
    </row>
    <row r="397" spans="1:10">
      <c r="A397" t="s">
        <v>1020</v>
      </c>
      <c r="B397" t="s">
        <v>1119</v>
      </c>
      <c r="C397" t="s">
        <v>12</v>
      </c>
      <c r="D397" t="s">
        <v>55</v>
      </c>
      <c r="E397" t="s">
        <v>1120</v>
      </c>
      <c r="F397">
        <f>HYPERLINK("http://clipc-services.ceda.ac.uk/dreq/u/e479e7abd9bcef1806494ce9b50f39b3.html","web")</f>
        <v>0</v>
      </c>
      <c r="G397" t="s">
        <v>74</v>
      </c>
      <c r="H397" t="s">
        <v>75</v>
      </c>
      <c r="I397" t="s">
        <v>1121</v>
      </c>
      <c r="J397" t="s">
        <v>1086</v>
      </c>
    </row>
    <row r="398" spans="1:10">
      <c r="A398" t="s">
        <v>1020</v>
      </c>
      <c r="B398" t="s">
        <v>1122</v>
      </c>
      <c r="C398" t="s">
        <v>12</v>
      </c>
      <c r="D398" t="s">
        <v>55</v>
      </c>
      <c r="E398" t="s">
        <v>1123</v>
      </c>
      <c r="F398">
        <f>HYPERLINK("http://clipc-services.ceda.ac.uk/dreq/u/377058633cbc6b6700caad600fb06009.html","web")</f>
        <v>0</v>
      </c>
      <c r="G398" t="s">
        <v>74</v>
      </c>
      <c r="H398" t="s">
        <v>75</v>
      </c>
      <c r="I398" t="s">
        <v>1093</v>
      </c>
      <c r="J398" t="s">
        <v>1086</v>
      </c>
    </row>
    <row r="399" spans="1:10">
      <c r="A399" t="s">
        <v>1020</v>
      </c>
      <c r="B399" t="s">
        <v>1124</v>
      </c>
      <c r="C399" t="s">
        <v>12</v>
      </c>
      <c r="D399" t="s">
        <v>55</v>
      </c>
      <c r="E399" t="s">
        <v>1125</v>
      </c>
      <c r="F399">
        <f>HYPERLINK("http://clipc-services.ceda.ac.uk/dreq/u/8198a7882dd91603f07b93e929ccdbd0.html","web")</f>
        <v>0</v>
      </c>
      <c r="G399" t="s">
        <v>74</v>
      </c>
      <c r="H399" t="s">
        <v>75</v>
      </c>
      <c r="I399" t="s">
        <v>1126</v>
      </c>
      <c r="J399" t="s">
        <v>1030</v>
      </c>
    </row>
    <row r="400" spans="1:10">
      <c r="A400" t="s">
        <v>1020</v>
      </c>
      <c r="B400" t="s">
        <v>1127</v>
      </c>
      <c r="C400" t="s">
        <v>12</v>
      </c>
      <c r="D400" t="s">
        <v>655</v>
      </c>
      <c r="E400" t="s">
        <v>1128</v>
      </c>
      <c r="F400">
        <f>HYPERLINK("http://clipc-services.ceda.ac.uk/dreq/u/a7cf325e9bf994ade073a1297378a57c.html","web")</f>
        <v>0</v>
      </c>
      <c r="G400" t="s">
        <v>74</v>
      </c>
      <c r="H400" t="s">
        <v>75</v>
      </c>
      <c r="I400" t="s">
        <v>1129</v>
      </c>
      <c r="J400" t="s">
        <v>1029</v>
      </c>
    </row>
    <row r="401" spans="1:10">
      <c r="A401" t="s">
        <v>1020</v>
      </c>
      <c r="B401" t="s">
        <v>1130</v>
      </c>
      <c r="C401" t="s">
        <v>12</v>
      </c>
      <c r="D401" t="s">
        <v>655</v>
      </c>
      <c r="E401" t="s">
        <v>1131</v>
      </c>
      <c r="F401">
        <f>HYPERLINK("http://clipc-services.ceda.ac.uk/dreq/u/fe6bdb96-a41f-11e5-9025-ac72891c3257.html","web")</f>
        <v>0</v>
      </c>
      <c r="G401" t="s">
        <v>74</v>
      </c>
      <c r="H401" t="s">
        <v>1132</v>
      </c>
      <c r="I401" t="s">
        <v>982</v>
      </c>
      <c r="J401" t="s">
        <v>1029</v>
      </c>
    </row>
    <row r="402" spans="1:10">
      <c r="A402" t="s">
        <v>1020</v>
      </c>
      <c r="B402" t="s">
        <v>1133</v>
      </c>
      <c r="C402" t="s">
        <v>12</v>
      </c>
      <c r="D402" t="s">
        <v>655</v>
      </c>
      <c r="E402" t="s">
        <v>1134</v>
      </c>
      <c r="F402">
        <f>HYPERLINK("http://clipc-services.ceda.ac.uk/dreq/u/07ae8a0c132c9bf65a2722885a2fcd08.html","web")</f>
        <v>0</v>
      </c>
      <c r="G402" t="s">
        <v>74</v>
      </c>
      <c r="H402" t="s">
        <v>75</v>
      </c>
      <c r="I402" t="s">
        <v>982</v>
      </c>
      <c r="J402" t="s">
        <v>1029</v>
      </c>
    </row>
    <row r="403" spans="1:10">
      <c r="A403" t="s">
        <v>1020</v>
      </c>
      <c r="B403" t="s">
        <v>1135</v>
      </c>
      <c r="C403" t="s">
        <v>12</v>
      </c>
      <c r="D403" t="s">
        <v>655</v>
      </c>
      <c r="E403" t="s">
        <v>1136</v>
      </c>
      <c r="F403">
        <f>HYPERLINK("http://clipc-services.ceda.ac.uk/dreq/u/d9c1ba0b5e1b43f738cd1fbe4a765906.html","web")</f>
        <v>0</v>
      </c>
      <c r="G403" t="s">
        <v>74</v>
      </c>
      <c r="H403" t="s">
        <v>75</v>
      </c>
      <c r="I403" t="s">
        <v>982</v>
      </c>
      <c r="J403" t="s">
        <v>1029</v>
      </c>
    </row>
    <row r="404" spans="1:10">
      <c r="A404" t="s">
        <v>1020</v>
      </c>
      <c r="B404" t="s">
        <v>1137</v>
      </c>
      <c r="C404" t="s">
        <v>12</v>
      </c>
      <c r="D404" t="s">
        <v>655</v>
      </c>
      <c r="E404" t="s">
        <v>1138</v>
      </c>
      <c r="F404">
        <f>HYPERLINK("http://clipc-services.ceda.ac.uk/dreq/u/dd6aa1c1ecadd98014d1c1a7bbcb0429.html","web")</f>
        <v>0</v>
      </c>
      <c r="G404" t="s">
        <v>74</v>
      </c>
      <c r="H404" t="s">
        <v>75</v>
      </c>
      <c r="I404" t="s">
        <v>1139</v>
      </c>
      <c r="J404" t="s">
        <v>1029</v>
      </c>
    </row>
    <row r="405" spans="1:10">
      <c r="A405" t="s">
        <v>1020</v>
      </c>
      <c r="B405" t="s">
        <v>1140</v>
      </c>
      <c r="C405" t="s">
        <v>12</v>
      </c>
      <c r="D405" t="s">
        <v>655</v>
      </c>
      <c r="E405" t="s">
        <v>1141</v>
      </c>
      <c r="F405">
        <f>HYPERLINK("http://clipc-services.ceda.ac.uk/dreq/u/83a106b1a10c23b2891aabceec43a873.html","web")</f>
        <v>0</v>
      </c>
      <c r="G405" t="s">
        <v>1142</v>
      </c>
      <c r="H405" t="s">
        <v>402</v>
      </c>
      <c r="I405" t="s">
        <v>1143</v>
      </c>
      <c r="J405" t="s">
        <v>1029</v>
      </c>
    </row>
    <row r="406" spans="1:10">
      <c r="A406" t="s">
        <v>1020</v>
      </c>
      <c r="B406" t="s">
        <v>1144</v>
      </c>
      <c r="C406" t="s">
        <v>12</v>
      </c>
      <c r="D406" t="s">
        <v>655</v>
      </c>
      <c r="E406" t="s">
        <v>1145</v>
      </c>
      <c r="F406">
        <f>HYPERLINK("http://clipc-services.ceda.ac.uk/dreq/u/4b34ac408326ab2ca7b58f2ac846f3e5.html","web")</f>
        <v>0</v>
      </c>
      <c r="G406" t="s">
        <v>1142</v>
      </c>
      <c r="H406" t="s">
        <v>402</v>
      </c>
      <c r="I406" t="s">
        <v>1143</v>
      </c>
      <c r="J406" t="s">
        <v>1029</v>
      </c>
    </row>
    <row r="407" spans="1:10">
      <c r="A407" t="s">
        <v>1020</v>
      </c>
      <c r="B407" t="s">
        <v>1146</v>
      </c>
      <c r="C407" t="s">
        <v>12</v>
      </c>
      <c r="D407" t="s">
        <v>55</v>
      </c>
      <c r="E407" t="s">
        <v>1147</v>
      </c>
      <c r="F407">
        <f>HYPERLINK("http://clipc-services.ceda.ac.uk/dreq/u/e6b31a1928879fcd3c92fe7b592f070e.html","web")</f>
        <v>0</v>
      </c>
      <c r="G407" t="s">
        <v>1148</v>
      </c>
      <c r="H407" t="s">
        <v>402</v>
      </c>
      <c r="I407" t="s">
        <v>1149</v>
      </c>
      <c r="J407" t="s">
        <v>1150</v>
      </c>
    </row>
    <row r="408" spans="1:10">
      <c r="A408" t="s">
        <v>1020</v>
      </c>
      <c r="B408" t="s">
        <v>1151</v>
      </c>
      <c r="C408" t="s">
        <v>12</v>
      </c>
      <c r="D408" t="s">
        <v>655</v>
      </c>
      <c r="E408" t="s">
        <v>1152</v>
      </c>
      <c r="F408">
        <f>HYPERLINK("http://clipc-services.ceda.ac.uk/dreq/u/e3fdfe758c0165caf74dcbb2531c83b3.html","web")</f>
        <v>0</v>
      </c>
      <c r="G408" t="s">
        <v>74</v>
      </c>
      <c r="H408" t="s">
        <v>75</v>
      </c>
      <c r="I408" t="s">
        <v>1153</v>
      </c>
      <c r="J408" t="s">
        <v>1154</v>
      </c>
    </row>
    <row r="409" spans="1:10">
      <c r="A409" t="s">
        <v>1020</v>
      </c>
      <c r="B409" t="s">
        <v>1155</v>
      </c>
      <c r="C409" t="s">
        <v>12</v>
      </c>
      <c r="D409" t="s">
        <v>655</v>
      </c>
      <c r="E409" t="s">
        <v>1156</v>
      </c>
      <c r="F409">
        <f>HYPERLINK("http://clipc-services.ceda.ac.uk/dreq/u/d63c4dd912d79edc6221c0e09da24a79.html","web")</f>
        <v>0</v>
      </c>
      <c r="G409" t="s">
        <v>74</v>
      </c>
      <c r="H409" t="s">
        <v>75</v>
      </c>
      <c r="I409" t="s">
        <v>1157</v>
      </c>
      <c r="J409" t="s">
        <v>1158</v>
      </c>
    </row>
    <row r="410" spans="1:10">
      <c r="A410" t="s">
        <v>1020</v>
      </c>
      <c r="B410" t="s">
        <v>1159</v>
      </c>
      <c r="C410" t="s">
        <v>12</v>
      </c>
      <c r="D410" t="s">
        <v>655</v>
      </c>
      <c r="E410" t="s">
        <v>1160</v>
      </c>
      <c r="F410">
        <f>HYPERLINK("http://clipc-services.ceda.ac.uk/dreq/u/dcecb293537e640a0bfc8f88a92967fe.html","web")</f>
        <v>0</v>
      </c>
      <c r="G410" t="s">
        <v>74</v>
      </c>
      <c r="H410" t="s">
        <v>75</v>
      </c>
      <c r="I410" t="s">
        <v>1161</v>
      </c>
      <c r="J410" t="s">
        <v>1162</v>
      </c>
    </row>
    <row r="411" spans="1:10">
      <c r="A411" t="s">
        <v>1020</v>
      </c>
      <c r="B411" t="s">
        <v>1163</v>
      </c>
      <c r="C411" t="s">
        <v>12</v>
      </c>
      <c r="D411" t="s">
        <v>655</v>
      </c>
      <c r="E411" t="s">
        <v>1164</v>
      </c>
      <c r="F411">
        <f>HYPERLINK("http://clipc-services.ceda.ac.uk/dreq/u/fe6ccf42-a41f-11e5-9025-ac72891c3257.html","web")</f>
        <v>0</v>
      </c>
      <c r="G411" t="s">
        <v>74</v>
      </c>
      <c r="H411" t="s">
        <v>75</v>
      </c>
      <c r="I411" t="s">
        <v>1165</v>
      </c>
      <c r="J411" t="s">
        <v>1041</v>
      </c>
    </row>
    <row r="412" spans="1:10">
      <c r="A412" t="s">
        <v>1020</v>
      </c>
      <c r="B412" t="s">
        <v>1166</v>
      </c>
      <c r="C412" t="s">
        <v>12</v>
      </c>
      <c r="D412" t="s">
        <v>655</v>
      </c>
      <c r="E412" t="s">
        <v>1167</v>
      </c>
      <c r="F412">
        <f>HYPERLINK("http://clipc-services.ceda.ac.uk/dreq/u/11619ca70c37ffd25d5b234c03ca4d4f.html","web")</f>
        <v>0</v>
      </c>
      <c r="G412" t="s">
        <v>74</v>
      </c>
      <c r="H412" t="s">
        <v>75</v>
      </c>
      <c r="I412" t="s">
        <v>1168</v>
      </c>
      <c r="J412" t="s">
        <v>1169</v>
      </c>
    </row>
    <row r="413" spans="1:10">
      <c r="A413" t="s">
        <v>1020</v>
      </c>
      <c r="B413" t="s">
        <v>1170</v>
      </c>
      <c r="C413" t="s">
        <v>12</v>
      </c>
      <c r="D413" t="s">
        <v>655</v>
      </c>
      <c r="E413" t="s">
        <v>1171</v>
      </c>
      <c r="F413">
        <f>HYPERLINK("http://clipc-services.ceda.ac.uk/dreq/u/79433cf8854f00ee833d6c2979fa5eb1.html","web")</f>
        <v>0</v>
      </c>
      <c r="G413" t="s">
        <v>74</v>
      </c>
      <c r="H413" t="s">
        <v>75</v>
      </c>
      <c r="I413" t="s">
        <v>1172</v>
      </c>
      <c r="J413" t="s">
        <v>1169</v>
      </c>
    </row>
    <row r="414" spans="1:10">
      <c r="A414" t="s">
        <v>1020</v>
      </c>
      <c r="B414" t="s">
        <v>1173</v>
      </c>
      <c r="C414" t="s">
        <v>12</v>
      </c>
      <c r="D414" t="s">
        <v>655</v>
      </c>
      <c r="E414" t="s">
        <v>1174</v>
      </c>
      <c r="F414">
        <f>HYPERLINK("http://clipc-services.ceda.ac.uk/dreq/u/e3e6208c3cf8ae5ac917ee971cb42e29.html","web")</f>
        <v>0</v>
      </c>
      <c r="G414" t="s">
        <v>74</v>
      </c>
      <c r="H414" t="s">
        <v>75</v>
      </c>
      <c r="I414" t="s">
        <v>1175</v>
      </c>
      <c r="J414" t="s">
        <v>1029</v>
      </c>
    </row>
    <row r="415" spans="1:10">
      <c r="A415" t="s">
        <v>1020</v>
      </c>
      <c r="B415" t="s">
        <v>1176</v>
      </c>
      <c r="C415" t="s">
        <v>12</v>
      </c>
      <c r="D415" t="s">
        <v>655</v>
      </c>
      <c r="E415" t="s">
        <v>1177</v>
      </c>
      <c r="F415">
        <f>HYPERLINK("http://clipc-services.ceda.ac.uk/dreq/u/6aee2e2f22bb5a7a9aee1f88926dfd92.html","web")</f>
        <v>0</v>
      </c>
      <c r="G415" t="s">
        <v>74</v>
      </c>
      <c r="H415" t="s">
        <v>75</v>
      </c>
      <c r="I415" t="s">
        <v>1178</v>
      </c>
      <c r="J415" t="s">
        <v>1029</v>
      </c>
    </row>
    <row r="416" spans="1:10">
      <c r="A416" t="s">
        <v>1020</v>
      </c>
      <c r="B416" t="s">
        <v>1179</v>
      </c>
      <c r="C416" t="s">
        <v>12</v>
      </c>
      <c r="D416" t="s">
        <v>655</v>
      </c>
      <c r="E416" t="s">
        <v>1180</v>
      </c>
      <c r="F416">
        <f>HYPERLINK("http://clipc-services.ceda.ac.uk/dreq/u/4ff3e42362266bd75ad3bcfc785465a3.html","web")</f>
        <v>0</v>
      </c>
      <c r="G416" t="s">
        <v>74</v>
      </c>
      <c r="H416" t="s">
        <v>75</v>
      </c>
      <c r="I416" t="s">
        <v>1181</v>
      </c>
      <c r="J416" t="s">
        <v>1029</v>
      </c>
    </row>
    <row r="417" spans="1:10">
      <c r="A417" t="s">
        <v>1020</v>
      </c>
      <c r="B417" t="s">
        <v>1182</v>
      </c>
      <c r="C417" t="s">
        <v>12</v>
      </c>
      <c r="D417" t="s">
        <v>655</v>
      </c>
      <c r="E417" t="s">
        <v>1183</v>
      </c>
      <c r="F417">
        <f>HYPERLINK("http://clipc-services.ceda.ac.uk/dreq/u/fe6ca6e8-a41f-11e5-9025-ac72891c3257.html","web")</f>
        <v>0</v>
      </c>
      <c r="G417" t="s">
        <v>74</v>
      </c>
      <c r="H417" t="s">
        <v>75</v>
      </c>
      <c r="I417" t="s">
        <v>1184</v>
      </c>
      <c r="J417" t="s">
        <v>1158</v>
      </c>
    </row>
    <row r="418" spans="1:10">
      <c r="A418" t="s">
        <v>1020</v>
      </c>
      <c r="B418" t="s">
        <v>1185</v>
      </c>
      <c r="C418" t="s">
        <v>12</v>
      </c>
      <c r="D418" t="s">
        <v>655</v>
      </c>
      <c r="E418" t="s">
        <v>1186</v>
      </c>
      <c r="F418">
        <f>HYPERLINK("http://clipc-services.ceda.ac.uk/dreq/u/8c58644da8e357d61b70eac2a0afb4f9.html","web")</f>
        <v>0</v>
      </c>
      <c r="G418" t="s">
        <v>74</v>
      </c>
      <c r="H418" t="s">
        <v>75</v>
      </c>
      <c r="I418" t="s">
        <v>1187</v>
      </c>
      <c r="J418" t="s">
        <v>1169</v>
      </c>
    </row>
    <row r="419" spans="1:10">
      <c r="A419" t="s">
        <v>1020</v>
      </c>
      <c r="B419" t="s">
        <v>1188</v>
      </c>
      <c r="C419" t="s">
        <v>12</v>
      </c>
      <c r="D419" t="s">
        <v>655</v>
      </c>
      <c r="E419" t="s">
        <v>1189</v>
      </c>
      <c r="F419">
        <f>HYPERLINK("http://clipc-services.ceda.ac.uk/dreq/u/5980f8e283fd4709e4542c0652756dc1.html","web")</f>
        <v>0</v>
      </c>
      <c r="G419" t="s">
        <v>74</v>
      </c>
      <c r="H419" t="s">
        <v>75</v>
      </c>
      <c r="I419" t="s">
        <v>1190</v>
      </c>
      <c r="J419" t="s">
        <v>1162</v>
      </c>
    </row>
    <row r="420" spans="1:10">
      <c r="A420" t="s">
        <v>1020</v>
      </c>
      <c r="B420" t="s">
        <v>1191</v>
      </c>
      <c r="C420" t="s">
        <v>12</v>
      </c>
      <c r="D420" t="s">
        <v>655</v>
      </c>
      <c r="E420" t="s">
        <v>1192</v>
      </c>
      <c r="F420">
        <f>HYPERLINK("http://clipc-services.ceda.ac.uk/dreq/u/97bf948c-b896-11e6-a189-5404a60d96b5.html","web")</f>
        <v>0</v>
      </c>
      <c r="G420" t="s">
        <v>74</v>
      </c>
      <c r="H420" t="s">
        <v>75</v>
      </c>
      <c r="I420" t="s">
        <v>1193</v>
      </c>
      <c r="J420" t="s">
        <v>1029</v>
      </c>
    </row>
    <row r="421" spans="1:10">
      <c r="A421" t="s">
        <v>1020</v>
      </c>
      <c r="B421" t="s">
        <v>1194</v>
      </c>
      <c r="C421" t="s">
        <v>12</v>
      </c>
      <c r="D421" t="s">
        <v>655</v>
      </c>
      <c r="E421" t="s">
        <v>1195</v>
      </c>
      <c r="F421">
        <f>HYPERLINK("http://clipc-services.ceda.ac.uk/dreq/u/fe6ce54a-a41f-11e5-9025-ac72891c3257.html","web")</f>
        <v>0</v>
      </c>
      <c r="G421" t="s">
        <v>74</v>
      </c>
      <c r="H421" t="s">
        <v>75</v>
      </c>
      <c r="I421" t="s">
        <v>982</v>
      </c>
      <c r="J421" t="s">
        <v>1029</v>
      </c>
    </row>
    <row r="422" spans="1:10">
      <c r="A422" t="s">
        <v>1020</v>
      </c>
      <c r="B422" t="s">
        <v>1196</v>
      </c>
      <c r="C422" t="s">
        <v>12</v>
      </c>
      <c r="D422" t="s">
        <v>655</v>
      </c>
      <c r="E422" t="s">
        <v>1197</v>
      </c>
      <c r="F422">
        <f>HYPERLINK("http://clipc-services.ceda.ac.uk/dreq/u/648f83bb87b09bb8c24aaf82bf3c9aef.html","web")</f>
        <v>0</v>
      </c>
      <c r="G422" t="s">
        <v>74</v>
      </c>
      <c r="H422" t="s">
        <v>75</v>
      </c>
      <c r="I422" t="s">
        <v>982</v>
      </c>
      <c r="J422" t="s">
        <v>1029</v>
      </c>
    </row>
    <row r="423" spans="1:10">
      <c r="A423" t="s">
        <v>1020</v>
      </c>
      <c r="B423" t="s">
        <v>979</v>
      </c>
      <c r="C423" t="s">
        <v>12</v>
      </c>
      <c r="D423" t="s">
        <v>655</v>
      </c>
      <c r="E423" t="s">
        <v>1198</v>
      </c>
      <c r="F423">
        <f>HYPERLINK("http://clipc-services.ceda.ac.uk/dreq/u/1d4594c97188efd47935238a429e02e4.html","web")</f>
        <v>0</v>
      </c>
      <c r="G423" t="s">
        <v>74</v>
      </c>
      <c r="H423" t="s">
        <v>75</v>
      </c>
      <c r="I423" t="s">
        <v>982</v>
      </c>
      <c r="J423" t="s">
        <v>1029</v>
      </c>
    </row>
    <row r="424" spans="1:10">
      <c r="A424" t="s">
        <v>1020</v>
      </c>
      <c r="B424" t="s">
        <v>1199</v>
      </c>
      <c r="C424" t="s">
        <v>12</v>
      </c>
      <c r="D424" t="s">
        <v>655</v>
      </c>
      <c r="E424" t="s">
        <v>1200</v>
      </c>
      <c r="F424">
        <f>HYPERLINK("http://clipc-services.ceda.ac.uk/dreq/u/8f702d9afa69b3f0e0fb2a64470e12d8.html","web")</f>
        <v>0</v>
      </c>
      <c r="G424" t="s">
        <v>1142</v>
      </c>
      <c r="H424" t="s">
        <v>402</v>
      </c>
      <c r="I424" t="s">
        <v>1201</v>
      </c>
      <c r="J424" t="s">
        <v>1029</v>
      </c>
    </row>
    <row r="425" spans="1:10">
      <c r="A425" t="s">
        <v>1020</v>
      </c>
      <c r="B425" t="s">
        <v>1202</v>
      </c>
      <c r="C425" t="s">
        <v>12</v>
      </c>
      <c r="D425" t="s">
        <v>655</v>
      </c>
      <c r="E425" t="s">
        <v>1203</v>
      </c>
      <c r="F425">
        <f>HYPERLINK("http://clipc-services.ceda.ac.uk/dreq/u/9799d95c5c691eec9bb4c1bf9b050191.html","web")</f>
        <v>0</v>
      </c>
      <c r="G425" t="s">
        <v>1142</v>
      </c>
      <c r="H425" t="s">
        <v>402</v>
      </c>
      <c r="I425" t="s">
        <v>1204</v>
      </c>
      <c r="J425" t="s">
        <v>1029</v>
      </c>
    </row>
    <row r="426" spans="1:10">
      <c r="A426" t="s">
        <v>1020</v>
      </c>
      <c r="B426" t="s">
        <v>1205</v>
      </c>
      <c r="C426" t="s">
        <v>12</v>
      </c>
      <c r="D426" t="s">
        <v>655</v>
      </c>
      <c r="E426" t="s">
        <v>1198</v>
      </c>
      <c r="F426">
        <f>HYPERLINK("http://clipc-services.ceda.ac.uk/dreq/u/218a6b28-8995-11e6-b63d-5404a60d96b5.html","web")</f>
        <v>0</v>
      </c>
      <c r="G426" t="s">
        <v>74</v>
      </c>
      <c r="H426" t="s">
        <v>1132</v>
      </c>
      <c r="I426" t="s">
        <v>1206</v>
      </c>
      <c r="J426" t="s">
        <v>1029</v>
      </c>
    </row>
    <row r="427" spans="1:10">
      <c r="A427" t="s">
        <v>1020</v>
      </c>
      <c r="B427" t="s">
        <v>1207</v>
      </c>
      <c r="C427" t="s">
        <v>12</v>
      </c>
      <c r="D427" t="s">
        <v>55</v>
      </c>
      <c r="E427" t="s">
        <v>1208</v>
      </c>
      <c r="F427">
        <f>HYPERLINK("http://clipc-services.ceda.ac.uk/dreq/u/c5331238e635e9c913da1eb247859206.html","web")</f>
        <v>0</v>
      </c>
      <c r="G427" t="s">
        <v>74</v>
      </c>
      <c r="H427" t="s">
        <v>75</v>
      </c>
      <c r="I427" t="s">
        <v>1209</v>
      </c>
      <c r="J427" t="s">
        <v>1210</v>
      </c>
    </row>
    <row r="428" spans="1:10">
      <c r="A428" t="s">
        <v>1020</v>
      </c>
      <c r="B428" t="s">
        <v>1211</v>
      </c>
      <c r="C428" t="s">
        <v>12</v>
      </c>
      <c r="D428" t="s">
        <v>1022</v>
      </c>
      <c r="E428" t="s">
        <v>1212</v>
      </c>
      <c r="F428">
        <f>HYPERLINK("http://clipc-services.ceda.ac.uk/dreq/u/8f2fb9e812c26ee6cb8d9673e09d2644.html","web")</f>
        <v>0</v>
      </c>
      <c r="G428" t="s">
        <v>74</v>
      </c>
      <c r="H428" t="s">
        <v>75</v>
      </c>
      <c r="I428" t="s">
        <v>1213</v>
      </c>
      <c r="J428" t="s">
        <v>1025</v>
      </c>
    </row>
    <row r="429" spans="1:10">
      <c r="A429" t="s">
        <v>1020</v>
      </c>
      <c r="B429" t="s">
        <v>1214</v>
      </c>
      <c r="C429" t="s">
        <v>12</v>
      </c>
      <c r="D429" t="s">
        <v>1022</v>
      </c>
      <c r="E429" t="s">
        <v>1215</v>
      </c>
      <c r="F429">
        <f>HYPERLINK("http://clipc-services.ceda.ac.uk/dreq/u/3a9ddc45d480891285324a10ce98bc62.html","web")</f>
        <v>0</v>
      </c>
      <c r="G429" t="s">
        <v>74</v>
      </c>
      <c r="H429" t="s">
        <v>75</v>
      </c>
      <c r="I429" t="s">
        <v>1216</v>
      </c>
      <c r="J429" t="s">
        <v>1210</v>
      </c>
    </row>
    <row r="430" spans="1:10">
      <c r="A430" t="s">
        <v>1020</v>
      </c>
      <c r="B430" t="s">
        <v>1217</v>
      </c>
      <c r="C430" t="s">
        <v>12</v>
      </c>
      <c r="D430" t="s">
        <v>1022</v>
      </c>
      <c r="E430" t="s">
        <v>1218</v>
      </c>
      <c r="F430">
        <f>HYPERLINK("http://clipc-services.ceda.ac.uk/dreq/u/15f4ad18bed7c35304209c651ef3758a.html","web")</f>
        <v>0</v>
      </c>
      <c r="G430" t="s">
        <v>74</v>
      </c>
      <c r="H430" t="s">
        <v>75</v>
      </c>
      <c r="I430" t="s">
        <v>1219</v>
      </c>
      <c r="J430" t="s">
        <v>1210</v>
      </c>
    </row>
    <row r="431" spans="1:10">
      <c r="A431" t="s">
        <v>1020</v>
      </c>
      <c r="B431" t="s">
        <v>1220</v>
      </c>
      <c r="C431" t="s">
        <v>12</v>
      </c>
      <c r="D431" t="s">
        <v>1022</v>
      </c>
      <c r="E431" t="s">
        <v>1212</v>
      </c>
      <c r="F431">
        <f>HYPERLINK("http://clipc-services.ceda.ac.uk/dreq/u/c9a72dd6-c5f0-11e6-ac20-5404a60d96b5.html","web")</f>
        <v>0</v>
      </c>
      <c r="G431" t="s">
        <v>74</v>
      </c>
      <c r="H431" t="s">
        <v>75</v>
      </c>
      <c r="I431" t="s">
        <v>1221</v>
      </c>
      <c r="J431" t="s">
        <v>1030</v>
      </c>
    </row>
    <row r="432" spans="1:10">
      <c r="A432" t="s">
        <v>1020</v>
      </c>
      <c r="B432" t="s">
        <v>1222</v>
      </c>
      <c r="C432" t="s">
        <v>12</v>
      </c>
      <c r="D432" t="s">
        <v>1022</v>
      </c>
      <c r="E432" t="s">
        <v>1223</v>
      </c>
      <c r="F432">
        <f>HYPERLINK("http://clipc-services.ceda.ac.uk/dreq/u/6bc406259290f4e4beaaaf960455d779.html","web")</f>
        <v>0</v>
      </c>
      <c r="G432" t="s">
        <v>74</v>
      </c>
      <c r="H432" t="s">
        <v>75</v>
      </c>
      <c r="I432" t="s">
        <v>1224</v>
      </c>
      <c r="J432" t="s">
        <v>1225</v>
      </c>
    </row>
    <row r="433" spans="1:10">
      <c r="A433" t="s">
        <v>1020</v>
      </c>
      <c r="B433" t="s">
        <v>1226</v>
      </c>
      <c r="C433" t="s">
        <v>12</v>
      </c>
      <c r="D433" t="s">
        <v>1022</v>
      </c>
      <c r="E433" t="s">
        <v>1227</v>
      </c>
      <c r="F433">
        <f>HYPERLINK("http://clipc-services.ceda.ac.uk/dreq/u/05aec7fe79d030ffc90a089a6a60b0f2.html","web")</f>
        <v>0</v>
      </c>
      <c r="G433" t="s">
        <v>74</v>
      </c>
      <c r="H433" t="s">
        <v>75</v>
      </c>
      <c r="I433" t="s">
        <v>1228</v>
      </c>
      <c r="J433" t="s">
        <v>1229</v>
      </c>
    </row>
    <row r="434" spans="1:10">
      <c r="A434" t="s">
        <v>1020</v>
      </c>
      <c r="B434" t="s">
        <v>1230</v>
      </c>
      <c r="C434" t="s">
        <v>12</v>
      </c>
      <c r="D434" t="s">
        <v>1022</v>
      </c>
      <c r="E434" t="s">
        <v>1231</v>
      </c>
      <c r="F434">
        <f>HYPERLINK("http://clipc-services.ceda.ac.uk/dreq/u/9e383b9714070f2b9f44effca08f50ac.html","web")</f>
        <v>0</v>
      </c>
      <c r="G434" t="s">
        <v>74</v>
      </c>
      <c r="H434" t="s">
        <v>75</v>
      </c>
      <c r="I434" t="s">
        <v>1232</v>
      </c>
      <c r="J434" t="s">
        <v>1210</v>
      </c>
    </row>
    <row r="435" spans="1:10">
      <c r="A435" t="s">
        <v>1020</v>
      </c>
      <c r="B435" t="s">
        <v>1233</v>
      </c>
      <c r="C435" t="s">
        <v>12</v>
      </c>
      <c r="D435" t="s">
        <v>1022</v>
      </c>
      <c r="E435" t="s">
        <v>1234</v>
      </c>
      <c r="F435">
        <f>HYPERLINK("http://clipc-services.ceda.ac.uk/dreq/u/88dbb9df33c0581eefa084932d25ad0a.html","web")</f>
        <v>0</v>
      </c>
      <c r="G435" t="s">
        <v>74</v>
      </c>
      <c r="H435" t="s">
        <v>75</v>
      </c>
      <c r="I435" t="s">
        <v>1235</v>
      </c>
      <c r="J435" t="s">
        <v>1210</v>
      </c>
    </row>
    <row r="436" spans="1:10">
      <c r="A436" t="s">
        <v>1020</v>
      </c>
      <c r="B436" t="s">
        <v>1236</v>
      </c>
      <c r="C436" t="s">
        <v>12</v>
      </c>
      <c r="D436" t="s">
        <v>1022</v>
      </c>
      <c r="E436" t="s">
        <v>1237</v>
      </c>
      <c r="F436">
        <f>HYPERLINK("http://clipc-services.ceda.ac.uk/dreq/u/b9ca453bfa3c606401892e5768ca7d6c.html","web")</f>
        <v>0</v>
      </c>
      <c r="G436" t="s">
        <v>74</v>
      </c>
      <c r="H436" t="s">
        <v>75</v>
      </c>
      <c r="I436" t="s">
        <v>1238</v>
      </c>
      <c r="J436" t="s">
        <v>1225</v>
      </c>
    </row>
    <row r="437" spans="1:10">
      <c r="A437" t="s">
        <v>1020</v>
      </c>
      <c r="B437" t="s">
        <v>1239</v>
      </c>
      <c r="C437" t="s">
        <v>12</v>
      </c>
      <c r="D437" t="s">
        <v>1022</v>
      </c>
      <c r="E437" t="s">
        <v>1240</v>
      </c>
      <c r="F437">
        <f>HYPERLINK("http://clipc-services.ceda.ac.uk/dreq/u/c682767d841fcdb714a3914519fabf93.html","web")</f>
        <v>0</v>
      </c>
      <c r="G437" t="s">
        <v>74</v>
      </c>
      <c r="H437" t="s">
        <v>75</v>
      </c>
      <c r="I437" t="s">
        <v>1241</v>
      </c>
      <c r="J437" t="s">
        <v>1210</v>
      </c>
    </row>
    <row r="438" spans="1:10">
      <c r="A438" t="s">
        <v>1020</v>
      </c>
      <c r="B438" t="s">
        <v>1242</v>
      </c>
      <c r="C438" t="s">
        <v>12</v>
      </c>
      <c r="D438" t="s">
        <v>1022</v>
      </c>
      <c r="E438" t="s">
        <v>1243</v>
      </c>
      <c r="F438">
        <f>HYPERLINK("http://clipc-services.ceda.ac.uk/dreq/u/a4105b51d498d46985677801436e7649.html","web")</f>
        <v>0</v>
      </c>
      <c r="G438" t="s">
        <v>74</v>
      </c>
      <c r="H438" t="s">
        <v>75</v>
      </c>
      <c r="I438" t="s">
        <v>1244</v>
      </c>
      <c r="J438" t="s">
        <v>1210</v>
      </c>
    </row>
    <row r="439" spans="1:10">
      <c r="A439" t="s">
        <v>1020</v>
      </c>
      <c r="B439" t="s">
        <v>1245</v>
      </c>
      <c r="C439" t="s">
        <v>12</v>
      </c>
      <c r="D439" t="s">
        <v>55</v>
      </c>
      <c r="E439" t="s">
        <v>1246</v>
      </c>
      <c r="F439">
        <f>HYPERLINK("http://clipc-services.ceda.ac.uk/dreq/u/0a9c3f8ff6151a5baa8bb93d5a1fa090.html","web")</f>
        <v>0</v>
      </c>
      <c r="G439" t="s">
        <v>74</v>
      </c>
      <c r="H439" t="s">
        <v>75</v>
      </c>
      <c r="I439" t="s">
        <v>1247</v>
      </c>
      <c r="J439" t="s">
        <v>1030</v>
      </c>
    </row>
    <row r="440" spans="1:10">
      <c r="A440" t="s">
        <v>1020</v>
      </c>
      <c r="B440" t="s">
        <v>1248</v>
      </c>
      <c r="C440" t="s">
        <v>12</v>
      </c>
      <c r="D440" t="s">
        <v>655</v>
      </c>
      <c r="E440" t="s">
        <v>1249</v>
      </c>
      <c r="F440">
        <f>HYPERLINK("http://clipc-services.ceda.ac.uk/dreq/u/609d47152c2ed8122caa2528117aff9a.html","web")</f>
        <v>0</v>
      </c>
      <c r="G440" t="s">
        <v>74</v>
      </c>
      <c r="H440" t="s">
        <v>75</v>
      </c>
      <c r="I440" t="s">
        <v>982</v>
      </c>
      <c r="J440" t="s">
        <v>1029</v>
      </c>
    </row>
    <row r="441" spans="1:10">
      <c r="A441" t="s">
        <v>1020</v>
      </c>
      <c r="B441" t="s">
        <v>1250</v>
      </c>
      <c r="C441" t="s">
        <v>12</v>
      </c>
      <c r="D441" t="s">
        <v>655</v>
      </c>
      <c r="E441" t="s">
        <v>1251</v>
      </c>
      <c r="F441">
        <f>HYPERLINK("http://clipc-services.ceda.ac.uk/dreq/u/586c3879af2023a43fd12c2e0a64b6af.html","web")</f>
        <v>0</v>
      </c>
      <c r="G441" t="s">
        <v>74</v>
      </c>
      <c r="H441" t="s">
        <v>75</v>
      </c>
      <c r="I441" t="s">
        <v>982</v>
      </c>
      <c r="J441" t="s">
        <v>1029</v>
      </c>
    </row>
    <row r="442" spans="1:10">
      <c r="A442" t="s">
        <v>1020</v>
      </c>
      <c r="B442" t="s">
        <v>248</v>
      </c>
      <c r="C442" t="s">
        <v>12</v>
      </c>
      <c r="D442" t="s">
        <v>249</v>
      </c>
      <c r="E442" t="s">
        <v>250</v>
      </c>
      <c r="F442">
        <f>HYPERLINK("http://clipc-services.ceda.ac.uk/dreq/u/154ab10964742eaff37de9cc5beef39c.html","web")</f>
        <v>0</v>
      </c>
      <c r="G442" t="s">
        <v>74</v>
      </c>
      <c r="H442" t="s">
        <v>75</v>
      </c>
      <c r="I442" t="s">
        <v>251</v>
      </c>
      <c r="J442" t="s">
        <v>1252</v>
      </c>
    </row>
    <row r="443" spans="1:10">
      <c r="A443" t="s">
        <v>1020</v>
      </c>
      <c r="B443" t="s">
        <v>1253</v>
      </c>
      <c r="C443" t="s">
        <v>12</v>
      </c>
      <c r="D443" t="s">
        <v>55</v>
      </c>
      <c r="E443" t="s">
        <v>1254</v>
      </c>
      <c r="F443">
        <f>HYPERLINK("http://clipc-services.ceda.ac.uk/dreq/u/1562cba76e80f37d1c133ccd079fa715.html","web")</f>
        <v>0</v>
      </c>
      <c r="G443" t="s">
        <v>74</v>
      </c>
      <c r="H443" t="s">
        <v>75</v>
      </c>
      <c r="I443" t="s">
        <v>1255</v>
      </c>
      <c r="J443" t="s">
        <v>1030</v>
      </c>
    </row>
    <row r="444" spans="1:10">
      <c r="A444" t="s">
        <v>1020</v>
      </c>
      <c r="B444" t="s">
        <v>1256</v>
      </c>
      <c r="C444" t="s">
        <v>12</v>
      </c>
      <c r="D444" t="s">
        <v>55</v>
      </c>
      <c r="E444" t="s">
        <v>1257</v>
      </c>
      <c r="F444">
        <f>HYPERLINK("http://clipc-services.ceda.ac.uk/dreq/u/c9a640b0-c5f0-11e6-ac20-5404a60d96b5.html","web")</f>
        <v>0</v>
      </c>
      <c r="G444" t="s">
        <v>1258</v>
      </c>
      <c r="H444" t="s">
        <v>402</v>
      </c>
      <c r="I444" t="s">
        <v>1259</v>
      </c>
      <c r="J444" t="s">
        <v>1030</v>
      </c>
    </row>
    <row r="445" spans="1:10">
      <c r="A445" t="s">
        <v>1020</v>
      </c>
      <c r="B445" t="s">
        <v>1260</v>
      </c>
      <c r="C445" t="s">
        <v>12</v>
      </c>
      <c r="D445" t="s">
        <v>55</v>
      </c>
      <c r="E445" t="s">
        <v>1261</v>
      </c>
      <c r="F445">
        <f>HYPERLINK("http://clipc-services.ceda.ac.uk/dreq/u/c9a673b4-c5f0-11e6-ac20-5404a60d96b5.html","web")</f>
        <v>0</v>
      </c>
      <c r="G445" t="s">
        <v>1262</v>
      </c>
      <c r="H445" t="s">
        <v>402</v>
      </c>
      <c r="I445" t="s">
        <v>1263</v>
      </c>
      <c r="J445" t="s">
        <v>1030</v>
      </c>
    </row>
    <row r="446" spans="1:10">
      <c r="A446" t="s">
        <v>1020</v>
      </c>
      <c r="B446" t="s">
        <v>1264</v>
      </c>
      <c r="C446" t="s">
        <v>12</v>
      </c>
      <c r="D446" t="s">
        <v>55</v>
      </c>
      <c r="E446" t="s">
        <v>1265</v>
      </c>
      <c r="F446">
        <f>HYPERLINK("http://clipc-services.ceda.ac.uk/dreq/u/c9a56fd2-c5f0-11e6-ac20-5404a60d96b5.html","web")</f>
        <v>0</v>
      </c>
      <c r="G446" t="s">
        <v>1266</v>
      </c>
      <c r="H446" t="s">
        <v>402</v>
      </c>
      <c r="I446" t="s">
        <v>1267</v>
      </c>
      <c r="J446" t="s">
        <v>1086</v>
      </c>
    </row>
    <row r="447" spans="1:10">
      <c r="A447" t="s">
        <v>1020</v>
      </c>
      <c r="B447" t="s">
        <v>1268</v>
      </c>
      <c r="C447" t="s">
        <v>12</v>
      </c>
      <c r="D447" t="s">
        <v>55</v>
      </c>
      <c r="E447" t="s">
        <v>1269</v>
      </c>
      <c r="F447">
        <f>HYPERLINK("http://clipc-services.ceda.ac.uk/dreq/u/c9a70b4e-c5f0-11e6-ac20-5404a60d96b5.html","web")</f>
        <v>0</v>
      </c>
      <c r="G447" t="s">
        <v>1266</v>
      </c>
      <c r="H447" t="s">
        <v>402</v>
      </c>
      <c r="I447" t="s">
        <v>1270</v>
      </c>
      <c r="J447" t="s">
        <v>1086</v>
      </c>
    </row>
    <row r="448" spans="1:10">
      <c r="A448" t="s">
        <v>1020</v>
      </c>
      <c r="B448" t="s">
        <v>1271</v>
      </c>
      <c r="C448" t="s">
        <v>12</v>
      </c>
      <c r="D448" t="s">
        <v>655</v>
      </c>
      <c r="E448" t="s">
        <v>1272</v>
      </c>
      <c r="F448">
        <f>HYPERLINK("http://clipc-services.ceda.ac.uk/dreq/u/8b3a5d37fefe0337625c64455cea4e80.html","web")</f>
        <v>0</v>
      </c>
      <c r="G448" t="s">
        <v>74</v>
      </c>
      <c r="H448" t="s">
        <v>75</v>
      </c>
      <c r="I448" t="s">
        <v>982</v>
      </c>
      <c r="J448" t="s">
        <v>1273</v>
      </c>
    </row>
    <row r="449" spans="1:10">
      <c r="A449" t="s">
        <v>1020</v>
      </c>
      <c r="B449" t="s">
        <v>1274</v>
      </c>
      <c r="C449" t="s">
        <v>12</v>
      </c>
      <c r="D449" t="s">
        <v>55</v>
      </c>
      <c r="E449" t="s">
        <v>1275</v>
      </c>
      <c r="F449">
        <f>HYPERLINK("http://clipc-services.ceda.ac.uk/dreq/u/cff597224d260da1a1c769aab1bbea9d.html","web")</f>
        <v>0</v>
      </c>
      <c r="G449" t="s">
        <v>74</v>
      </c>
      <c r="H449" t="s">
        <v>75</v>
      </c>
      <c r="I449" t="s">
        <v>1255</v>
      </c>
      <c r="J449" t="s">
        <v>1030</v>
      </c>
    </row>
    <row r="450" spans="1:10">
      <c r="A450" t="s">
        <v>1020</v>
      </c>
      <c r="B450" t="s">
        <v>1276</v>
      </c>
      <c r="C450" t="s">
        <v>12</v>
      </c>
      <c r="D450" t="s">
        <v>55</v>
      </c>
      <c r="E450" t="s">
        <v>1277</v>
      </c>
      <c r="F450">
        <f>HYPERLINK("http://clipc-services.ceda.ac.uk/dreq/u/79fec430c1dca1ac4b48b0fc36c48449.html","web")</f>
        <v>0</v>
      </c>
      <c r="G450" t="s">
        <v>74</v>
      </c>
      <c r="H450" t="s">
        <v>75</v>
      </c>
      <c r="I450" t="s">
        <v>1278</v>
      </c>
      <c r="J450" t="s">
        <v>1030</v>
      </c>
    </row>
    <row r="451" spans="1:10">
      <c r="A451" t="s">
        <v>1020</v>
      </c>
      <c r="B451" t="s">
        <v>1279</v>
      </c>
      <c r="C451" t="s">
        <v>12</v>
      </c>
      <c r="D451" t="s">
        <v>55</v>
      </c>
      <c r="E451" t="s">
        <v>1280</v>
      </c>
      <c r="F451">
        <f>HYPERLINK("http://clipc-services.ceda.ac.uk/dreq/u/4b1f3e86dde718e8c9697df0c3992c06.html","web")</f>
        <v>0</v>
      </c>
      <c r="G451" t="s">
        <v>74</v>
      </c>
      <c r="H451" t="s">
        <v>75</v>
      </c>
      <c r="I451" t="s">
        <v>1281</v>
      </c>
      <c r="J451" t="s">
        <v>1030</v>
      </c>
    </row>
    <row r="452" spans="1:10">
      <c r="A452" t="s">
        <v>1020</v>
      </c>
      <c r="B452" t="s">
        <v>1282</v>
      </c>
      <c r="C452" t="s">
        <v>12</v>
      </c>
      <c r="D452" t="s">
        <v>655</v>
      </c>
      <c r="E452" t="s">
        <v>1283</v>
      </c>
      <c r="F452">
        <f>HYPERLINK("http://clipc-services.ceda.ac.uk/dreq/u/9982868916859ae8b64cc83cbed896af.html","web")</f>
        <v>0</v>
      </c>
      <c r="G452" t="s">
        <v>1284</v>
      </c>
      <c r="I452" t="s">
        <v>1285</v>
      </c>
      <c r="J452" t="s">
        <v>1029</v>
      </c>
    </row>
    <row r="453" spans="1:10">
      <c r="A453" t="s">
        <v>1020</v>
      </c>
      <c r="B453" t="s">
        <v>1286</v>
      </c>
      <c r="C453" t="s">
        <v>12</v>
      </c>
      <c r="D453" t="s">
        <v>55</v>
      </c>
      <c r="E453" t="s">
        <v>1287</v>
      </c>
      <c r="F453">
        <f>HYPERLINK("http://clipc-services.ceda.ac.uk/dreq/u/0b3fc46bf32dfbd9d36cdb72e827eb29.html","web")</f>
        <v>0</v>
      </c>
      <c r="G453" t="s">
        <v>74</v>
      </c>
      <c r="H453" t="s">
        <v>75</v>
      </c>
      <c r="I453" t="s">
        <v>1288</v>
      </c>
      <c r="J453" t="s">
        <v>1030</v>
      </c>
    </row>
    <row r="454" spans="1:10">
      <c r="A454" t="s">
        <v>1020</v>
      </c>
      <c r="B454" t="s">
        <v>1289</v>
      </c>
      <c r="C454" t="s">
        <v>12</v>
      </c>
      <c r="D454" t="s">
        <v>55</v>
      </c>
      <c r="E454" t="s">
        <v>1290</v>
      </c>
      <c r="F454">
        <f>HYPERLINK("http://clipc-services.ceda.ac.uk/dreq/u/0f914086f4c1cd76f867eef7cd71154d.html","web")</f>
        <v>0</v>
      </c>
      <c r="G454" t="s">
        <v>74</v>
      </c>
      <c r="H454" t="s">
        <v>75</v>
      </c>
      <c r="I454" t="s">
        <v>1291</v>
      </c>
      <c r="J454" t="s">
        <v>1069</v>
      </c>
    </row>
    <row r="455" spans="1:10">
      <c r="A455" t="s">
        <v>1020</v>
      </c>
      <c r="B455" t="s">
        <v>1292</v>
      </c>
      <c r="C455" t="s">
        <v>12</v>
      </c>
      <c r="D455" t="s">
        <v>55</v>
      </c>
      <c r="E455" t="s">
        <v>1293</v>
      </c>
      <c r="F455">
        <f>HYPERLINK("http://clipc-services.ceda.ac.uk/dreq/u/aa4309c2c15be0c9d7db2f9d38f348ca.html","web")</f>
        <v>0</v>
      </c>
      <c r="G455" t="s">
        <v>74</v>
      </c>
      <c r="H455" t="s">
        <v>75</v>
      </c>
      <c r="I455" t="s">
        <v>1294</v>
      </c>
      <c r="J455" t="s">
        <v>1030</v>
      </c>
    </row>
    <row r="456" spans="1:10">
      <c r="A456" t="s">
        <v>1020</v>
      </c>
      <c r="B456" t="s">
        <v>1295</v>
      </c>
      <c r="C456" t="s">
        <v>12</v>
      </c>
      <c r="D456" t="s">
        <v>55</v>
      </c>
      <c r="E456" t="s">
        <v>1296</v>
      </c>
      <c r="F456">
        <f>HYPERLINK("http://clipc-services.ceda.ac.uk/dreq/u/86b2899d1c267c92e3fbaccd21b55472.html","web")</f>
        <v>0</v>
      </c>
      <c r="G456" t="s">
        <v>74</v>
      </c>
      <c r="H456" t="s">
        <v>75</v>
      </c>
      <c r="I456" t="s">
        <v>1297</v>
      </c>
      <c r="J456" t="s">
        <v>1030</v>
      </c>
    </row>
    <row r="457" spans="1:10">
      <c r="A457" t="s">
        <v>1020</v>
      </c>
      <c r="B457" t="s">
        <v>1298</v>
      </c>
      <c r="C457" t="s">
        <v>12</v>
      </c>
      <c r="D457" t="s">
        <v>55</v>
      </c>
      <c r="E457" t="s">
        <v>1299</v>
      </c>
      <c r="F457">
        <f>HYPERLINK("http://clipc-services.ceda.ac.uk/dreq/u/ecfae3e2adc49321ec4c9d664fd425ec.html","web")</f>
        <v>0</v>
      </c>
      <c r="G457" t="s">
        <v>74</v>
      </c>
      <c r="H457" t="s">
        <v>75</v>
      </c>
      <c r="I457" t="s">
        <v>1300</v>
      </c>
      <c r="J457" t="s">
        <v>1030</v>
      </c>
    </row>
    <row r="458" spans="1:10">
      <c r="A458" t="s">
        <v>1020</v>
      </c>
      <c r="B458" t="s">
        <v>1301</v>
      </c>
      <c r="C458" t="s">
        <v>12</v>
      </c>
      <c r="D458" t="s">
        <v>55</v>
      </c>
      <c r="E458" t="s">
        <v>1302</v>
      </c>
      <c r="F458">
        <f>HYPERLINK("http://clipc-services.ceda.ac.uk/dreq/u/646edc2e8f1c393b5569dba5d598f8c8.html","web")</f>
        <v>0</v>
      </c>
      <c r="G458" t="s">
        <v>74</v>
      </c>
      <c r="H458" t="s">
        <v>75</v>
      </c>
      <c r="I458" t="s">
        <v>1303</v>
      </c>
      <c r="J458" t="s">
        <v>1030</v>
      </c>
    </row>
    <row r="459" spans="1:10">
      <c r="A459" t="s">
        <v>1020</v>
      </c>
      <c r="B459" t="s">
        <v>1304</v>
      </c>
      <c r="C459" t="s">
        <v>12</v>
      </c>
      <c r="D459" t="s">
        <v>55</v>
      </c>
      <c r="E459" t="s">
        <v>1305</v>
      </c>
      <c r="F459">
        <f>HYPERLINK("http://clipc-services.ceda.ac.uk/dreq/u/c670517b02de6212f3091aaa455f60ed.html","web")</f>
        <v>0</v>
      </c>
      <c r="G459" t="s">
        <v>74</v>
      </c>
      <c r="H459" t="s">
        <v>75</v>
      </c>
      <c r="I459" t="s">
        <v>1294</v>
      </c>
      <c r="J459" t="s">
        <v>1086</v>
      </c>
    </row>
    <row r="460" spans="1:10">
      <c r="A460" t="s">
        <v>1020</v>
      </c>
      <c r="B460" t="s">
        <v>1306</v>
      </c>
      <c r="C460" t="s">
        <v>12</v>
      </c>
      <c r="D460" t="s">
        <v>55</v>
      </c>
      <c r="E460" t="s">
        <v>1307</v>
      </c>
      <c r="F460">
        <f>HYPERLINK("http://clipc-services.ceda.ac.uk/dreq/u/a3383a3abeddbcb0d27368a8cf9b9503.html","web")</f>
        <v>0</v>
      </c>
      <c r="G460" t="s">
        <v>74</v>
      </c>
      <c r="H460" t="s">
        <v>75</v>
      </c>
      <c r="I460" t="s">
        <v>1308</v>
      </c>
      <c r="J460" t="s">
        <v>1086</v>
      </c>
    </row>
    <row r="461" spans="1:10">
      <c r="A461" t="s">
        <v>1020</v>
      </c>
      <c r="B461" t="s">
        <v>1309</v>
      </c>
      <c r="C461" t="s">
        <v>12</v>
      </c>
      <c r="D461" t="s">
        <v>55</v>
      </c>
      <c r="E461" t="s">
        <v>1310</v>
      </c>
      <c r="F461">
        <f>HYPERLINK("http://clipc-services.ceda.ac.uk/dreq/u/c97520628498eea6e19cc1be19c73677.html","web")</f>
        <v>0</v>
      </c>
      <c r="G461" t="s">
        <v>74</v>
      </c>
      <c r="H461" t="s">
        <v>75</v>
      </c>
      <c r="I461" t="s">
        <v>1311</v>
      </c>
      <c r="J461" t="s">
        <v>1086</v>
      </c>
    </row>
    <row r="462" spans="1:10">
      <c r="A462" t="s">
        <v>1020</v>
      </c>
      <c r="B462" t="s">
        <v>1312</v>
      </c>
      <c r="C462" t="s">
        <v>12</v>
      </c>
      <c r="D462" t="s">
        <v>55</v>
      </c>
      <c r="E462" t="s">
        <v>1313</v>
      </c>
      <c r="F462">
        <f>HYPERLINK("http://clipc-services.ceda.ac.uk/dreq/u/228d3ad84f6db126c53ac4ae0a18a014.html","web")</f>
        <v>0</v>
      </c>
      <c r="G462" t="s">
        <v>74</v>
      </c>
      <c r="H462" t="s">
        <v>75</v>
      </c>
      <c r="I462" t="s">
        <v>1255</v>
      </c>
      <c r="J462" t="s">
        <v>1030</v>
      </c>
    </row>
    <row r="464" spans="1:10">
      <c r="A464" t="s">
        <v>1314</v>
      </c>
      <c r="B464" t="s">
        <v>230</v>
      </c>
      <c r="C464" t="s">
        <v>12</v>
      </c>
      <c r="D464" t="s">
        <v>298</v>
      </c>
      <c r="E464" t="s">
        <v>231</v>
      </c>
      <c r="F464">
        <f>HYPERLINK("http://clipc-services.ceda.ac.uk/dreq/u/ce9ab9b945fcc86013ad10431d8f252e.html","web")</f>
        <v>0</v>
      </c>
      <c r="G464" t="s">
        <v>232</v>
      </c>
      <c r="H464" t="s">
        <v>219</v>
      </c>
      <c r="J464" t="s">
        <v>1315</v>
      </c>
    </row>
    <row r="465" spans="1:10">
      <c r="A465" t="s">
        <v>1314</v>
      </c>
      <c r="B465" t="s">
        <v>233</v>
      </c>
      <c r="C465" t="s">
        <v>12</v>
      </c>
      <c r="D465" t="s">
        <v>1316</v>
      </c>
      <c r="E465" t="s">
        <v>661</v>
      </c>
      <c r="F465">
        <f>HYPERLINK("http://clipc-services.ceda.ac.uk/dreq/u/0bbbf303ac691061a69938846f32b23b.html","web")</f>
        <v>0</v>
      </c>
      <c r="G465" t="s">
        <v>236</v>
      </c>
      <c r="H465" t="s">
        <v>219</v>
      </c>
      <c r="I465" t="s">
        <v>237</v>
      </c>
      <c r="J465" t="s">
        <v>1315</v>
      </c>
    </row>
    <row r="466" spans="1:10">
      <c r="A466" t="s">
        <v>1314</v>
      </c>
      <c r="B466" t="s">
        <v>238</v>
      </c>
      <c r="C466" t="s">
        <v>12</v>
      </c>
      <c r="D466" t="s">
        <v>1317</v>
      </c>
      <c r="E466" t="s">
        <v>240</v>
      </c>
      <c r="F466">
        <f>HYPERLINK("http://clipc-services.ceda.ac.uk/dreq/u/fe9d4b45792f7d6430fe2a9c9b7234b1.html","web")</f>
        <v>0</v>
      </c>
      <c r="G466" t="s">
        <v>241</v>
      </c>
      <c r="H466" t="s">
        <v>219</v>
      </c>
      <c r="I466" t="s">
        <v>242</v>
      </c>
      <c r="J466" t="s">
        <v>1315</v>
      </c>
    </row>
    <row r="467" spans="1:10">
      <c r="A467" t="s">
        <v>1314</v>
      </c>
      <c r="B467" t="s">
        <v>243</v>
      </c>
      <c r="C467" t="s">
        <v>12</v>
      </c>
      <c r="D467" t="s">
        <v>1318</v>
      </c>
      <c r="E467" t="s">
        <v>245</v>
      </c>
      <c r="F467">
        <f>HYPERLINK("http://clipc-services.ceda.ac.uk/dreq/u/7308096ae00ff52340909b2a59415f82.html","web")</f>
        <v>0</v>
      </c>
      <c r="G467" t="s">
        <v>246</v>
      </c>
      <c r="H467" t="s">
        <v>219</v>
      </c>
      <c r="I467" t="s">
        <v>247</v>
      </c>
      <c r="J467" t="s">
        <v>1315</v>
      </c>
    </row>
    <row r="468" spans="1:10">
      <c r="A468" t="s">
        <v>1314</v>
      </c>
      <c r="B468" t="s">
        <v>1268</v>
      </c>
      <c r="C468" t="s">
        <v>12</v>
      </c>
      <c r="D468" t="s">
        <v>298</v>
      </c>
      <c r="E468" t="s">
        <v>1269</v>
      </c>
      <c r="F468">
        <f>HYPERLINK("http://clipc-services.ceda.ac.uk/dreq/u/c9a70b4e-c5f0-11e6-ac20-5404a60d96b5.html","web")</f>
        <v>0</v>
      </c>
      <c r="G468" t="s">
        <v>1266</v>
      </c>
      <c r="H468" t="s">
        <v>402</v>
      </c>
      <c r="I468" t="s">
        <v>1270</v>
      </c>
      <c r="J468" t="s">
        <v>1319</v>
      </c>
    </row>
    <row r="469" spans="1:10">
      <c r="A469" t="s">
        <v>1314</v>
      </c>
      <c r="B469" t="s">
        <v>1320</v>
      </c>
      <c r="C469" t="s">
        <v>12</v>
      </c>
      <c r="D469" t="s">
        <v>298</v>
      </c>
      <c r="E469" t="s">
        <v>1321</v>
      </c>
      <c r="F469">
        <f>HYPERLINK("http://clipc-services.ceda.ac.uk/dreq/u/590daf66-9e49-11e5-803c-0d0b866b59f3.html","web")</f>
        <v>0</v>
      </c>
      <c r="G469" t="s">
        <v>1262</v>
      </c>
      <c r="H469" t="s">
        <v>402</v>
      </c>
      <c r="I469" t="s">
        <v>1322</v>
      </c>
      <c r="J469" t="s">
        <v>1319</v>
      </c>
    </row>
    <row r="470" spans="1:10">
      <c r="A470" t="s">
        <v>1314</v>
      </c>
      <c r="B470" t="s">
        <v>1323</v>
      </c>
      <c r="C470" t="s">
        <v>12</v>
      </c>
      <c r="D470" t="s">
        <v>298</v>
      </c>
      <c r="E470" t="s">
        <v>1324</v>
      </c>
      <c r="F470">
        <f>HYPERLINK("http://clipc-services.ceda.ac.uk/dreq/u/90df05fe3dcd9fe0c9b48aaa74b5e9e.html","web")</f>
        <v>0</v>
      </c>
      <c r="G470" t="s">
        <v>1325</v>
      </c>
      <c r="H470" t="s">
        <v>402</v>
      </c>
      <c r="I470" t="s">
        <v>1326</v>
      </c>
      <c r="J470" t="s">
        <v>1319</v>
      </c>
    </row>
    <row r="471" spans="1:10">
      <c r="A471" t="s">
        <v>1314</v>
      </c>
      <c r="B471" t="s">
        <v>1327</v>
      </c>
      <c r="C471" t="s">
        <v>12</v>
      </c>
      <c r="D471" t="s">
        <v>298</v>
      </c>
      <c r="E471" t="s">
        <v>1328</v>
      </c>
      <c r="F471">
        <f>HYPERLINK("http://clipc-services.ceda.ac.uk/dreq/u/9c35e2ac-a0de-11e6-bc63-ac72891c3257.html","web")</f>
        <v>0</v>
      </c>
      <c r="G471" t="s">
        <v>1329</v>
      </c>
      <c r="H471" t="s">
        <v>50</v>
      </c>
      <c r="I471" t="s">
        <v>1330</v>
      </c>
      <c r="J471" t="s">
        <v>1319</v>
      </c>
    </row>
    <row r="472" spans="1:10">
      <c r="A472" t="s">
        <v>1314</v>
      </c>
      <c r="B472" t="s">
        <v>996</v>
      </c>
      <c r="C472" t="s">
        <v>12</v>
      </c>
      <c r="D472" t="s">
        <v>1331</v>
      </c>
      <c r="E472" t="s">
        <v>1045</v>
      </c>
      <c r="F472">
        <f>HYPERLINK("http://clipc-services.ceda.ac.uk/dreq/u/7f4c49e8abe3230e87fa7299b73448fa.html","web")</f>
        <v>0</v>
      </c>
      <c r="G472" t="s">
        <v>74</v>
      </c>
      <c r="H472" t="s">
        <v>75</v>
      </c>
      <c r="I472" t="s">
        <v>982</v>
      </c>
      <c r="J472" t="s">
        <v>1319</v>
      </c>
    </row>
    <row r="473" spans="1:10">
      <c r="A473" t="s">
        <v>1314</v>
      </c>
      <c r="B473" t="s">
        <v>987</v>
      </c>
      <c r="C473" t="s">
        <v>12</v>
      </c>
      <c r="D473" t="s">
        <v>1331</v>
      </c>
      <c r="E473" t="s">
        <v>1061</v>
      </c>
      <c r="F473">
        <f>HYPERLINK("http://clipc-services.ceda.ac.uk/dreq/u/9bb9a503065dfbd30c9bbe5c3c6abf99.html","web")</f>
        <v>0</v>
      </c>
      <c r="G473" t="s">
        <v>74</v>
      </c>
      <c r="H473" t="s">
        <v>75</v>
      </c>
      <c r="I473" t="s">
        <v>982</v>
      </c>
      <c r="J473" t="s">
        <v>1319</v>
      </c>
    </row>
    <row r="474" spans="1:10">
      <c r="A474" t="s">
        <v>1314</v>
      </c>
      <c r="B474" t="s">
        <v>979</v>
      </c>
      <c r="C474" t="s">
        <v>12</v>
      </c>
      <c r="D474" t="s">
        <v>1331</v>
      </c>
      <c r="E474" t="s">
        <v>1198</v>
      </c>
      <c r="F474">
        <f>HYPERLINK("http://clipc-services.ceda.ac.uk/dreq/u/1d4594c97188efd47935238a429e02e4.html","web")</f>
        <v>0</v>
      </c>
      <c r="G474" t="s">
        <v>74</v>
      </c>
      <c r="H474" t="s">
        <v>75</v>
      </c>
      <c r="I474" t="s">
        <v>982</v>
      </c>
      <c r="J474" t="s">
        <v>1319</v>
      </c>
    </row>
    <row r="476" spans="1:10">
      <c r="A476" t="s">
        <v>1332</v>
      </c>
      <c r="B476" t="s">
        <v>1008</v>
      </c>
      <c r="C476" t="s">
        <v>54</v>
      </c>
      <c r="D476" t="s">
        <v>298</v>
      </c>
      <c r="E476" t="s">
        <v>1009</v>
      </c>
      <c r="F476">
        <f>HYPERLINK("http://clipc-services.ceda.ac.uk/dreq/u/590e3c7e-9e49-11e5-803c-0d0b866b59f3.html","web")</f>
        <v>0</v>
      </c>
      <c r="G476" t="s">
        <v>74</v>
      </c>
      <c r="H476" t="s">
        <v>75</v>
      </c>
      <c r="I476" t="s">
        <v>1010</v>
      </c>
      <c r="J476" t="s">
        <v>1333</v>
      </c>
    </row>
    <row r="477" spans="1:10">
      <c r="A477" t="s">
        <v>1332</v>
      </c>
      <c r="B477" t="s">
        <v>390</v>
      </c>
      <c r="C477" t="s">
        <v>54</v>
      </c>
      <c r="D477" t="s">
        <v>1331</v>
      </c>
      <c r="E477" t="s">
        <v>392</v>
      </c>
      <c r="F477">
        <f>HYPERLINK("http://clipc-services.ceda.ac.uk/dreq/u/c8b1814845661bcad37910e70a59b285.html","web")</f>
        <v>0</v>
      </c>
      <c r="G477" t="s">
        <v>393</v>
      </c>
      <c r="H477" t="s">
        <v>394</v>
      </c>
      <c r="I477" t="s">
        <v>392</v>
      </c>
      <c r="J477" t="s">
        <v>1333</v>
      </c>
    </row>
    <row r="478" spans="1:10">
      <c r="A478" t="s">
        <v>1332</v>
      </c>
      <c r="B478" t="s">
        <v>404</v>
      </c>
      <c r="C478" t="s">
        <v>54</v>
      </c>
      <c r="D478" t="s">
        <v>1331</v>
      </c>
      <c r="E478" t="s">
        <v>405</v>
      </c>
      <c r="F478">
        <f>HYPERLINK("http://clipc-services.ceda.ac.uk/dreq/u/2a6093caf9e5cd42fb2fba6bdb73d6db.html","web")</f>
        <v>0</v>
      </c>
      <c r="G478" t="s">
        <v>406</v>
      </c>
      <c r="H478" t="s">
        <v>394</v>
      </c>
      <c r="I478" t="s">
        <v>405</v>
      </c>
      <c r="J478" t="s">
        <v>1333</v>
      </c>
    </row>
    <row r="480" spans="1:10">
      <c r="A480" t="s">
        <v>1334</v>
      </c>
      <c r="B480" t="s">
        <v>1335</v>
      </c>
      <c r="C480" t="s">
        <v>12</v>
      </c>
      <c r="D480" t="s">
        <v>55</v>
      </c>
      <c r="E480" t="s">
        <v>1336</v>
      </c>
      <c r="F480">
        <f>HYPERLINK("http://clipc-services.ceda.ac.uk/dreq/u/f70b088300f35ad3b19c67d2490612dd.html","web")</f>
        <v>0</v>
      </c>
      <c r="G480" t="s">
        <v>74</v>
      </c>
      <c r="H480" t="s">
        <v>75</v>
      </c>
      <c r="I480" t="s">
        <v>1337</v>
      </c>
      <c r="J480" t="s">
        <v>77</v>
      </c>
    </row>
    <row r="481" spans="1:10">
      <c r="A481" t="s">
        <v>1334</v>
      </c>
      <c r="B481" t="s">
        <v>1338</v>
      </c>
      <c r="C481" t="s">
        <v>12</v>
      </c>
      <c r="D481" t="s">
        <v>55</v>
      </c>
      <c r="E481" t="s">
        <v>1339</v>
      </c>
      <c r="F481">
        <f>HYPERLINK("http://clipc-services.ceda.ac.uk/dreq/u/a503e8c8011c952b0b832e6074ad387d.html","web")</f>
        <v>0</v>
      </c>
      <c r="G481" t="s">
        <v>74</v>
      </c>
      <c r="H481" t="s">
        <v>75</v>
      </c>
      <c r="I481" t="s">
        <v>1340</v>
      </c>
      <c r="J481" t="s">
        <v>77</v>
      </c>
    </row>
    <row r="482" spans="1:10">
      <c r="A482" t="s">
        <v>1334</v>
      </c>
      <c r="B482" t="s">
        <v>1211</v>
      </c>
      <c r="C482" t="s">
        <v>12</v>
      </c>
      <c r="D482" t="s">
        <v>1022</v>
      </c>
      <c r="E482" t="s">
        <v>1212</v>
      </c>
      <c r="F482">
        <f>HYPERLINK("http://clipc-services.ceda.ac.uk/dreq/u/8f2fb9e812c26ee6cb8d9673e09d2644.html","web")</f>
        <v>0</v>
      </c>
      <c r="G482" t="s">
        <v>74</v>
      </c>
      <c r="H482" t="s">
        <v>75</v>
      </c>
      <c r="I482" t="s">
        <v>1213</v>
      </c>
      <c r="J482" t="s">
        <v>77</v>
      </c>
    </row>
    <row r="483" spans="1:10">
      <c r="A483" t="s">
        <v>1334</v>
      </c>
      <c r="B483" t="s">
        <v>1341</v>
      </c>
      <c r="C483" t="s">
        <v>12</v>
      </c>
      <c r="D483" t="s">
        <v>55</v>
      </c>
      <c r="E483" t="s">
        <v>1342</v>
      </c>
      <c r="F483">
        <f>HYPERLINK("http://clipc-services.ceda.ac.uk/dreq/u/0656a67a-b896-11e6-a189-5404a60d96b5.html","web")</f>
        <v>0</v>
      </c>
      <c r="G483" t="s">
        <v>74</v>
      </c>
      <c r="H483" t="s">
        <v>75</v>
      </c>
      <c r="I483" t="s">
        <v>982</v>
      </c>
      <c r="J483" t="s">
        <v>77</v>
      </c>
    </row>
    <row r="484" spans="1:10">
      <c r="A484" t="s">
        <v>1334</v>
      </c>
      <c r="B484" t="s">
        <v>1276</v>
      </c>
      <c r="C484" t="s">
        <v>12</v>
      </c>
      <c r="D484" t="s">
        <v>55</v>
      </c>
      <c r="E484" t="s">
        <v>1343</v>
      </c>
      <c r="F484">
        <f>HYPERLINK("http://clipc-services.ceda.ac.uk/dreq/u/79fec430c1dca1ac4b48b0fc36c48449.html","web")</f>
        <v>0</v>
      </c>
      <c r="G484" t="s">
        <v>74</v>
      </c>
      <c r="H484" t="s">
        <v>75</v>
      </c>
      <c r="I484" t="s">
        <v>1278</v>
      </c>
      <c r="J484" t="s">
        <v>77</v>
      </c>
    </row>
    <row r="486" spans="1:10">
      <c r="A486" t="s">
        <v>1344</v>
      </c>
      <c r="B486" t="s">
        <v>132</v>
      </c>
      <c r="C486" t="s">
        <v>54</v>
      </c>
      <c r="D486" t="s">
        <v>1345</v>
      </c>
      <c r="E486" t="s">
        <v>1346</v>
      </c>
      <c r="F486">
        <f>HYPERLINK("http://clipc-services.ceda.ac.uk/dreq/u/120719dde7f96f9bc088acd33b97967f.html","web")</f>
        <v>0</v>
      </c>
      <c r="G486" t="s">
        <v>57</v>
      </c>
      <c r="H486" t="s">
        <v>58</v>
      </c>
      <c r="I486" t="s">
        <v>134</v>
      </c>
      <c r="J486" t="s">
        <v>1347</v>
      </c>
    </row>
    <row r="487" spans="1:10">
      <c r="A487" t="s">
        <v>1344</v>
      </c>
      <c r="B487" t="s">
        <v>135</v>
      </c>
      <c r="C487" t="s">
        <v>54</v>
      </c>
      <c r="D487" t="s">
        <v>1345</v>
      </c>
      <c r="E487" t="s">
        <v>1348</v>
      </c>
      <c r="F487">
        <f>HYPERLINK("http://clipc-services.ceda.ac.uk/dreq/u/52b1076476b074a18a91b9da1baa6bc3.html","web")</f>
        <v>0</v>
      </c>
      <c r="G487" t="s">
        <v>57</v>
      </c>
      <c r="H487" t="s">
        <v>58</v>
      </c>
      <c r="I487" t="s">
        <v>137</v>
      </c>
      <c r="J487" t="s">
        <v>1347</v>
      </c>
    </row>
    <row r="488" spans="1:10">
      <c r="A488" t="s">
        <v>1344</v>
      </c>
      <c r="B488" t="s">
        <v>1349</v>
      </c>
      <c r="C488" t="s">
        <v>54</v>
      </c>
      <c r="D488" t="s">
        <v>1345</v>
      </c>
      <c r="E488" t="s">
        <v>1350</v>
      </c>
      <c r="F488">
        <f>HYPERLINK("http://clipc-services.ceda.ac.uk/dreq/u/70094996b08eba1d39c13d30dc44b30f.html","web")</f>
        <v>0</v>
      </c>
      <c r="G488" t="s">
        <v>57</v>
      </c>
      <c r="H488" t="s">
        <v>58</v>
      </c>
      <c r="J488" t="s">
        <v>1351</v>
      </c>
    </row>
    <row r="489" spans="1:10">
      <c r="A489" t="s">
        <v>1344</v>
      </c>
      <c r="B489" t="s">
        <v>138</v>
      </c>
      <c r="C489" t="s">
        <v>54</v>
      </c>
      <c r="D489" t="s">
        <v>1345</v>
      </c>
      <c r="E489" t="s">
        <v>1352</v>
      </c>
      <c r="F489">
        <f>HYPERLINK("http://clipc-services.ceda.ac.uk/dreq/u/dfd869cd3463de6a57b2a9e10605efe7.html","web")</f>
        <v>0</v>
      </c>
      <c r="G489" t="s">
        <v>57</v>
      </c>
      <c r="H489" t="s">
        <v>58</v>
      </c>
      <c r="I489" t="s">
        <v>140</v>
      </c>
      <c r="J489" t="s">
        <v>1351</v>
      </c>
    </row>
    <row r="490" spans="1:10">
      <c r="A490" t="s">
        <v>1344</v>
      </c>
      <c r="B490" t="s">
        <v>1353</v>
      </c>
      <c r="C490" t="s">
        <v>54</v>
      </c>
      <c r="D490" t="s">
        <v>1345</v>
      </c>
      <c r="E490" t="s">
        <v>1354</v>
      </c>
      <c r="F490">
        <f>HYPERLINK("http://clipc-services.ceda.ac.uk/dreq/u/5f19c4be9ae133db06403c986c8136d6.html","web")</f>
        <v>0</v>
      </c>
      <c r="G490" t="s">
        <v>57</v>
      </c>
      <c r="H490" t="s">
        <v>58</v>
      </c>
      <c r="J490" t="s">
        <v>1347</v>
      </c>
    </row>
    <row r="491" spans="1:10">
      <c r="A491" t="s">
        <v>1344</v>
      </c>
      <c r="B491" t="s">
        <v>1355</v>
      </c>
      <c r="C491" t="s">
        <v>54</v>
      </c>
      <c r="D491" t="s">
        <v>1345</v>
      </c>
      <c r="E491" t="s">
        <v>1356</v>
      </c>
      <c r="F491">
        <f>HYPERLINK("http://clipc-services.ceda.ac.uk/dreq/u/9e50f2bc84a18f56a9c317be11770663.html","web")</f>
        <v>0</v>
      </c>
      <c r="G491" t="s">
        <v>57</v>
      </c>
      <c r="H491" t="s">
        <v>58</v>
      </c>
      <c r="J491" t="s">
        <v>1351</v>
      </c>
    </row>
    <row r="492" spans="1:10">
      <c r="A492" t="s">
        <v>1344</v>
      </c>
      <c r="B492" t="s">
        <v>1357</v>
      </c>
      <c r="C492" t="s">
        <v>54</v>
      </c>
      <c r="D492" t="s">
        <v>1345</v>
      </c>
      <c r="E492" t="s">
        <v>1358</v>
      </c>
      <c r="F492">
        <f>HYPERLINK("http://clipc-services.ceda.ac.uk/dreq/u/abb3f8b62cc0e93f4ef5487c41ef10cb.html","web")</f>
        <v>0</v>
      </c>
      <c r="G492" t="s">
        <v>57</v>
      </c>
      <c r="H492" t="s">
        <v>58</v>
      </c>
      <c r="J492" t="s">
        <v>1351</v>
      </c>
    </row>
    <row r="493" spans="1:10">
      <c r="A493" t="s">
        <v>1344</v>
      </c>
      <c r="B493" t="s">
        <v>1359</v>
      </c>
      <c r="C493" t="s">
        <v>54</v>
      </c>
      <c r="D493" t="s">
        <v>1360</v>
      </c>
      <c r="E493" t="s">
        <v>1361</v>
      </c>
      <c r="F493">
        <f>HYPERLINK("http://clipc-services.ceda.ac.uk/dreq/u/1cf6c7fa0adedf95b3eaad5fb3f96b1c.html","web")</f>
        <v>0</v>
      </c>
      <c r="G493" t="s">
        <v>57</v>
      </c>
      <c r="H493" t="s">
        <v>58</v>
      </c>
      <c r="I493" t="s">
        <v>1362</v>
      </c>
      <c r="J493" t="s">
        <v>1363</v>
      </c>
    </row>
    <row r="494" spans="1:10">
      <c r="A494" t="s">
        <v>1344</v>
      </c>
      <c r="B494" t="s">
        <v>1364</v>
      </c>
      <c r="C494" t="s">
        <v>54</v>
      </c>
      <c r="D494" t="s">
        <v>1360</v>
      </c>
      <c r="E494" t="s">
        <v>1365</v>
      </c>
      <c r="F494">
        <f>HYPERLINK("http://clipc-services.ceda.ac.uk/dreq/u/b02d071fff99f2632aa8ac5e83e92215.html","web")</f>
        <v>0</v>
      </c>
      <c r="G494" t="s">
        <v>57</v>
      </c>
      <c r="H494" t="s">
        <v>58</v>
      </c>
      <c r="I494" t="s">
        <v>1366</v>
      </c>
      <c r="J494" t="s">
        <v>1363</v>
      </c>
    </row>
    <row r="495" spans="1:10">
      <c r="A495" t="s">
        <v>1344</v>
      </c>
      <c r="B495" t="s">
        <v>1367</v>
      </c>
      <c r="C495" t="s">
        <v>54</v>
      </c>
      <c r="D495" t="s">
        <v>1360</v>
      </c>
      <c r="E495" t="s">
        <v>1368</v>
      </c>
      <c r="F495">
        <f>HYPERLINK("http://clipc-services.ceda.ac.uk/dreq/u/478c43820503be64675fb49227d2f999.html","web")</f>
        <v>0</v>
      </c>
      <c r="G495" t="s">
        <v>57</v>
      </c>
      <c r="H495" t="s">
        <v>58</v>
      </c>
      <c r="J495" t="s">
        <v>1363</v>
      </c>
    </row>
    <row r="496" spans="1:10">
      <c r="A496" t="s">
        <v>1344</v>
      </c>
      <c r="B496" t="s">
        <v>1369</v>
      </c>
      <c r="C496" t="s">
        <v>54</v>
      </c>
      <c r="D496" t="s">
        <v>1360</v>
      </c>
      <c r="E496" t="s">
        <v>1370</v>
      </c>
      <c r="F496">
        <f>HYPERLINK("http://clipc-services.ceda.ac.uk/dreq/u/bb27046ce21470dfbbecdd4f7eca546a.html","web")</f>
        <v>0</v>
      </c>
      <c r="G496" t="s">
        <v>57</v>
      </c>
      <c r="H496" t="s">
        <v>58</v>
      </c>
      <c r="I496" t="s">
        <v>1371</v>
      </c>
      <c r="J496" t="s">
        <v>1363</v>
      </c>
    </row>
    <row r="497" spans="1:10">
      <c r="A497" t="s">
        <v>1344</v>
      </c>
      <c r="B497" t="s">
        <v>1372</v>
      </c>
      <c r="C497" t="s">
        <v>54</v>
      </c>
      <c r="D497" t="s">
        <v>1360</v>
      </c>
      <c r="E497" t="s">
        <v>1373</v>
      </c>
      <c r="F497">
        <f>HYPERLINK("http://clipc-services.ceda.ac.uk/dreq/u/f56a3a44b60650b58309b1d8cf58b913.html","web")</f>
        <v>0</v>
      </c>
      <c r="G497" t="s">
        <v>57</v>
      </c>
      <c r="H497" t="s">
        <v>58</v>
      </c>
      <c r="I497" t="s">
        <v>1374</v>
      </c>
      <c r="J497" t="s">
        <v>1363</v>
      </c>
    </row>
    <row r="499" spans="1:10">
      <c r="A499" t="s">
        <v>1375</v>
      </c>
      <c r="B499" t="s">
        <v>1376</v>
      </c>
      <c r="C499" t="s">
        <v>12</v>
      </c>
      <c r="D499" t="s">
        <v>80</v>
      </c>
      <c r="E499" t="s">
        <v>1377</v>
      </c>
      <c r="F499">
        <f>HYPERLINK("http://clipc-services.ceda.ac.uk/dreq/u/f1b8ddb539cb96eb65453dce4c8bb978.html","web")</f>
        <v>0</v>
      </c>
      <c r="G499" t="s">
        <v>57</v>
      </c>
      <c r="H499" t="s">
        <v>58</v>
      </c>
      <c r="I499" t="s">
        <v>1378</v>
      </c>
      <c r="J499" t="s">
        <v>1379</v>
      </c>
    </row>
    <row r="500" spans="1:10">
      <c r="A500" t="s">
        <v>1375</v>
      </c>
      <c r="B500" t="s">
        <v>689</v>
      </c>
      <c r="C500" t="s">
        <v>12</v>
      </c>
      <c r="D500" t="s">
        <v>1380</v>
      </c>
      <c r="E500" t="s">
        <v>1381</v>
      </c>
      <c r="F500">
        <f>HYPERLINK("http://clipc-services.ceda.ac.uk/dreq/u/9122e7b627c429163fd0857dc366e14e.html","web")</f>
        <v>0</v>
      </c>
      <c r="G500" t="s">
        <v>57</v>
      </c>
      <c r="H500" t="s">
        <v>58</v>
      </c>
      <c r="I500" t="s">
        <v>691</v>
      </c>
      <c r="J500" t="s">
        <v>440</v>
      </c>
    </row>
    <row r="501" spans="1:10">
      <c r="A501" t="s">
        <v>1375</v>
      </c>
      <c r="B501" t="s">
        <v>1382</v>
      </c>
      <c r="C501" t="s">
        <v>12</v>
      </c>
      <c r="D501" t="s">
        <v>80</v>
      </c>
      <c r="E501" t="s">
        <v>1383</v>
      </c>
      <c r="F501">
        <f>HYPERLINK("http://clipc-services.ceda.ac.uk/dreq/u/62c5b9728a01c0031e3a788ac4c8eff5.html","web")</f>
        <v>0</v>
      </c>
      <c r="G501" t="s">
        <v>57</v>
      </c>
      <c r="H501" t="s">
        <v>58</v>
      </c>
      <c r="I501" t="s">
        <v>1384</v>
      </c>
      <c r="J501" t="s">
        <v>1379</v>
      </c>
    </row>
    <row r="502" spans="1:10">
      <c r="A502" t="s">
        <v>1375</v>
      </c>
      <c r="B502" t="s">
        <v>1385</v>
      </c>
      <c r="C502" t="s">
        <v>12</v>
      </c>
      <c r="D502" t="s">
        <v>1386</v>
      </c>
      <c r="E502" t="s">
        <v>1387</v>
      </c>
      <c r="F502">
        <f>HYPERLINK("http://clipc-services.ceda.ac.uk/dreq/u/20e7d22ad09b324af00f41f6060701a7.html","web")</f>
        <v>0</v>
      </c>
      <c r="G502" t="s">
        <v>57</v>
      </c>
      <c r="H502" t="s">
        <v>58</v>
      </c>
      <c r="I502" t="s">
        <v>1388</v>
      </c>
      <c r="J502" t="s">
        <v>1379</v>
      </c>
    </row>
    <row r="503" spans="1:10">
      <c r="A503" t="s">
        <v>1375</v>
      </c>
      <c r="B503" t="s">
        <v>1389</v>
      </c>
      <c r="C503" t="s">
        <v>12</v>
      </c>
      <c r="D503" t="s">
        <v>80</v>
      </c>
      <c r="E503" t="s">
        <v>1390</v>
      </c>
      <c r="F503">
        <f>HYPERLINK("http://clipc-services.ceda.ac.uk/dreq/u/1d3ef4c73895a317948f1f3870f65834.html","web")</f>
        <v>0</v>
      </c>
      <c r="G503" t="s">
        <v>57</v>
      </c>
      <c r="H503" t="s">
        <v>58</v>
      </c>
      <c r="I503" t="s">
        <v>1391</v>
      </c>
      <c r="J503" t="s">
        <v>1392</v>
      </c>
    </row>
    <row r="504" spans="1:10">
      <c r="A504" t="s">
        <v>1375</v>
      </c>
      <c r="B504" t="s">
        <v>788</v>
      </c>
      <c r="C504" t="s">
        <v>12</v>
      </c>
      <c r="D504" t="s">
        <v>80</v>
      </c>
      <c r="E504" t="s">
        <v>789</v>
      </c>
      <c r="F504">
        <f>HYPERLINK("http://clipc-services.ceda.ac.uk/dreq/u/1418ccb847c5c235176620baf22d7b33.html","web")</f>
        <v>0</v>
      </c>
      <c r="G504" t="s">
        <v>57</v>
      </c>
      <c r="H504" t="s">
        <v>58</v>
      </c>
      <c r="I504" t="s">
        <v>790</v>
      </c>
      <c r="J504" t="s">
        <v>1379</v>
      </c>
    </row>
    <row r="506" spans="1:10">
      <c r="A506" t="s">
        <v>1393</v>
      </c>
      <c r="B506" t="s">
        <v>1394</v>
      </c>
      <c r="C506" t="s">
        <v>54</v>
      </c>
      <c r="D506" t="s">
        <v>1395</v>
      </c>
      <c r="E506" t="s">
        <v>1396</v>
      </c>
      <c r="F506">
        <f>HYPERLINK("http://clipc-services.ceda.ac.uk/dreq/u/591389b8-9e49-11e5-803c-0d0b866b59f3.html","web")</f>
        <v>0</v>
      </c>
      <c r="G506" t="s">
        <v>256</v>
      </c>
      <c r="H506" t="s">
        <v>257</v>
      </c>
      <c r="I506" t="s">
        <v>1397</v>
      </c>
      <c r="J506" t="s">
        <v>1333</v>
      </c>
    </row>
    <row r="508" spans="1:10">
      <c r="A508" t="s">
        <v>1398</v>
      </c>
      <c r="B508" t="s">
        <v>1399</v>
      </c>
      <c r="C508" t="s">
        <v>12</v>
      </c>
      <c r="D508" t="s">
        <v>55</v>
      </c>
      <c r="E508" t="s">
        <v>1400</v>
      </c>
      <c r="F508">
        <f>HYPERLINK("http://clipc-services.ceda.ac.uk/dreq/u/6c3e8db1b45a6ae7e80ca5a265c0fd50.html","web")</f>
        <v>0</v>
      </c>
      <c r="G508" t="s">
        <v>256</v>
      </c>
      <c r="H508" t="s">
        <v>257</v>
      </c>
      <c r="I508" t="s">
        <v>1401</v>
      </c>
      <c r="J508" t="s">
        <v>1402</v>
      </c>
    </row>
    <row r="509" spans="1:10">
      <c r="A509" t="s">
        <v>1398</v>
      </c>
      <c r="B509" t="s">
        <v>1394</v>
      </c>
      <c r="C509" t="s">
        <v>12</v>
      </c>
      <c r="D509" t="s">
        <v>1403</v>
      </c>
      <c r="E509" t="s">
        <v>1404</v>
      </c>
      <c r="F509">
        <f>HYPERLINK("http://clipc-services.ceda.ac.uk/dreq/u/591389b8-9e49-11e5-803c-0d0b866b59f3.html","web")</f>
        <v>0</v>
      </c>
      <c r="G509" t="s">
        <v>256</v>
      </c>
      <c r="H509" t="s">
        <v>257</v>
      </c>
      <c r="I509" t="s">
        <v>1397</v>
      </c>
      <c r="J509" t="s">
        <v>1405</v>
      </c>
    </row>
    <row r="510" spans="1:10">
      <c r="A510" t="s">
        <v>1398</v>
      </c>
      <c r="B510" t="s">
        <v>1406</v>
      </c>
      <c r="C510" t="s">
        <v>12</v>
      </c>
      <c r="D510" t="s">
        <v>1403</v>
      </c>
      <c r="E510" t="s">
        <v>1407</v>
      </c>
      <c r="F510">
        <f>HYPERLINK("http://clipc-services.ceda.ac.uk/dreq/u/5914640a-9e49-11e5-803c-0d0b866b59f3.html","web")</f>
        <v>0</v>
      </c>
      <c r="G510" t="s">
        <v>1408</v>
      </c>
      <c r="H510" t="s">
        <v>257</v>
      </c>
      <c r="I510" t="s">
        <v>1409</v>
      </c>
      <c r="J510" t="s">
        <v>1402</v>
      </c>
    </row>
    <row r="511" spans="1:10">
      <c r="A511" t="s">
        <v>1398</v>
      </c>
      <c r="B511" t="s">
        <v>1410</v>
      </c>
      <c r="C511" t="s">
        <v>12</v>
      </c>
      <c r="D511" t="s">
        <v>55</v>
      </c>
      <c r="E511" t="s">
        <v>1411</v>
      </c>
      <c r="F511">
        <f>HYPERLINK("http://clipc-services.ceda.ac.uk/dreq/u/c23a39645d860d5a2d7f34ea91d1fd82.html","web")</f>
        <v>0</v>
      </c>
      <c r="G511" t="s">
        <v>1412</v>
      </c>
      <c r="H511" t="s">
        <v>402</v>
      </c>
      <c r="J511" t="s">
        <v>1315</v>
      </c>
    </row>
    <row r="512" spans="1:10">
      <c r="A512" t="s">
        <v>1398</v>
      </c>
      <c r="B512" t="s">
        <v>1413</v>
      </c>
      <c r="C512" t="s">
        <v>86</v>
      </c>
      <c r="D512" t="s">
        <v>55</v>
      </c>
      <c r="E512" t="s">
        <v>1414</v>
      </c>
      <c r="F512">
        <f>HYPERLINK("http://clipc-services.ceda.ac.uk/dreq/u/46bc4ce008d1306ea0780510304cfa88.html","web")</f>
        <v>0</v>
      </c>
      <c r="G512" t="s">
        <v>57</v>
      </c>
      <c r="H512" t="s">
        <v>58</v>
      </c>
      <c r="J512" t="s">
        <v>259</v>
      </c>
    </row>
    <row r="513" spans="1:10">
      <c r="A513" t="s">
        <v>1398</v>
      </c>
      <c r="B513" t="s">
        <v>1415</v>
      </c>
      <c r="C513" t="s">
        <v>12</v>
      </c>
      <c r="D513" t="s">
        <v>55</v>
      </c>
      <c r="E513" t="s">
        <v>1416</v>
      </c>
      <c r="F513">
        <f>HYPERLINK("http://clipc-services.ceda.ac.uk/dreq/u/590ea93e-9e49-11e5-803c-0d0b866b59f3.html","web")</f>
        <v>0</v>
      </c>
      <c r="G513" t="s">
        <v>1417</v>
      </c>
      <c r="H513" t="s">
        <v>50</v>
      </c>
      <c r="I513" t="s">
        <v>1418</v>
      </c>
      <c r="J513" t="s">
        <v>1419</v>
      </c>
    </row>
    <row r="514" spans="1:10">
      <c r="A514" t="s">
        <v>1398</v>
      </c>
      <c r="B514" t="s">
        <v>1420</v>
      </c>
      <c r="C514" t="s">
        <v>12</v>
      </c>
      <c r="D514" t="s">
        <v>55</v>
      </c>
      <c r="E514" t="s">
        <v>1421</v>
      </c>
      <c r="F514">
        <f>HYPERLINK("http://clipc-services.ceda.ac.uk/dreq/u/590f5b72-9e49-11e5-803c-0d0b866b59f3.html","web")</f>
        <v>0</v>
      </c>
      <c r="G514" t="s">
        <v>1422</v>
      </c>
      <c r="H514" t="s">
        <v>50</v>
      </c>
      <c r="I514" t="s">
        <v>1423</v>
      </c>
      <c r="J514" t="s">
        <v>1419</v>
      </c>
    </row>
    <row r="515" spans="1:10">
      <c r="A515" t="s">
        <v>1398</v>
      </c>
      <c r="B515" t="s">
        <v>1424</v>
      </c>
      <c r="C515" t="s">
        <v>12</v>
      </c>
      <c r="D515" t="s">
        <v>55</v>
      </c>
      <c r="E515" t="s">
        <v>1425</v>
      </c>
      <c r="F515">
        <f>HYPERLINK("http://clipc-services.ceda.ac.uk/dreq/u/cdd8f95be110061697bc323f6bcaba2d.html","web")</f>
        <v>0</v>
      </c>
      <c r="G515" t="s">
        <v>1426</v>
      </c>
      <c r="H515" t="s">
        <v>50</v>
      </c>
      <c r="I515" t="s">
        <v>1427</v>
      </c>
      <c r="J515" t="s">
        <v>1428</v>
      </c>
    </row>
    <row r="516" spans="1:10">
      <c r="A516" t="s">
        <v>1398</v>
      </c>
      <c r="B516" t="s">
        <v>1429</v>
      </c>
      <c r="C516" t="s">
        <v>12</v>
      </c>
      <c r="D516" t="s">
        <v>55</v>
      </c>
      <c r="E516" t="s">
        <v>1430</v>
      </c>
      <c r="F516">
        <f>HYPERLINK("http://clipc-services.ceda.ac.uk/dreq/u/3e7348adedb540627808da06a211c81c.html","web")</f>
        <v>0</v>
      </c>
      <c r="G516" t="s">
        <v>1431</v>
      </c>
      <c r="H516" t="s">
        <v>50</v>
      </c>
      <c r="I516" t="s">
        <v>1432</v>
      </c>
      <c r="J516" t="s">
        <v>1428</v>
      </c>
    </row>
    <row r="517" spans="1:10">
      <c r="A517" t="s">
        <v>1398</v>
      </c>
      <c r="B517" t="s">
        <v>1433</v>
      </c>
      <c r="C517" t="s">
        <v>12</v>
      </c>
      <c r="D517" t="s">
        <v>55</v>
      </c>
      <c r="E517" t="s">
        <v>1434</v>
      </c>
      <c r="F517">
        <f>HYPERLINK("http://clipc-services.ceda.ac.uk/dreq/u/93e06dd7c756aade75235d7841c05269.html","web")</f>
        <v>0</v>
      </c>
      <c r="G517" t="s">
        <v>1435</v>
      </c>
      <c r="H517" t="s">
        <v>50</v>
      </c>
      <c r="I517" t="s">
        <v>1436</v>
      </c>
      <c r="J517" t="s">
        <v>972</v>
      </c>
    </row>
    <row r="518" spans="1:10">
      <c r="A518" t="s">
        <v>1398</v>
      </c>
      <c r="B518" t="s">
        <v>1437</v>
      </c>
      <c r="C518" t="s">
        <v>12</v>
      </c>
      <c r="D518" t="s">
        <v>55</v>
      </c>
      <c r="E518" t="s">
        <v>1438</v>
      </c>
      <c r="F518">
        <f>HYPERLINK("http://clipc-services.ceda.ac.uk/dreq/u/81f029ba-b63d-11e6-98cb-ac72891c3257.html","web")</f>
        <v>0</v>
      </c>
      <c r="G518" t="s">
        <v>1439</v>
      </c>
      <c r="H518" t="s">
        <v>257</v>
      </c>
      <c r="I518" t="s">
        <v>1440</v>
      </c>
      <c r="J518" t="s">
        <v>1011</v>
      </c>
    </row>
    <row r="520" spans="1:10">
      <c r="A520" t="s">
        <v>1441</v>
      </c>
      <c r="B520" t="s">
        <v>996</v>
      </c>
      <c r="C520" t="s">
        <v>12</v>
      </c>
      <c r="D520" t="s">
        <v>973</v>
      </c>
      <c r="E520" t="s">
        <v>1045</v>
      </c>
      <c r="F520">
        <f>HYPERLINK("http://clipc-services.ceda.ac.uk/dreq/u/7f4c49e8abe3230e87fa7299b73448fa.html","web")</f>
        <v>0</v>
      </c>
      <c r="G520" t="s">
        <v>74</v>
      </c>
      <c r="H520" t="s">
        <v>75</v>
      </c>
      <c r="I520" t="s">
        <v>982</v>
      </c>
      <c r="J520" t="s">
        <v>77</v>
      </c>
    </row>
    <row r="521" spans="1:10">
      <c r="A521" t="s">
        <v>1441</v>
      </c>
      <c r="B521" t="s">
        <v>1127</v>
      </c>
      <c r="C521" t="s">
        <v>12</v>
      </c>
      <c r="D521" t="s">
        <v>973</v>
      </c>
      <c r="E521" t="s">
        <v>1128</v>
      </c>
      <c r="F521">
        <f>HYPERLINK("http://clipc-services.ceda.ac.uk/dreq/u/a7cf325e9bf994ade073a1297378a57c.html","web")</f>
        <v>0</v>
      </c>
      <c r="G521" t="s">
        <v>74</v>
      </c>
      <c r="H521" t="s">
        <v>75</v>
      </c>
      <c r="I521" t="s">
        <v>1129</v>
      </c>
      <c r="J521" t="s">
        <v>77</v>
      </c>
    </row>
    <row r="522" spans="1:10">
      <c r="A522" t="s">
        <v>1441</v>
      </c>
      <c r="B522" t="s">
        <v>1133</v>
      </c>
      <c r="C522" t="s">
        <v>12</v>
      </c>
      <c r="D522" t="s">
        <v>973</v>
      </c>
      <c r="E522" t="s">
        <v>1134</v>
      </c>
      <c r="F522">
        <f>HYPERLINK("http://clipc-services.ceda.ac.uk/dreq/u/07ae8a0c132c9bf65a2722885a2fcd08.html","web")</f>
        <v>0</v>
      </c>
      <c r="G522" t="s">
        <v>74</v>
      </c>
      <c r="H522" t="s">
        <v>75</v>
      </c>
      <c r="I522" t="s">
        <v>982</v>
      </c>
      <c r="J522" t="s">
        <v>77</v>
      </c>
    </row>
    <row r="523" spans="1:10">
      <c r="A523" t="s">
        <v>1441</v>
      </c>
      <c r="B523" t="s">
        <v>1442</v>
      </c>
      <c r="C523" t="s">
        <v>12</v>
      </c>
      <c r="D523" t="s">
        <v>973</v>
      </c>
      <c r="E523" t="s">
        <v>1443</v>
      </c>
      <c r="F523">
        <f>HYPERLINK("http://clipc-services.ceda.ac.uk/dreq/u/96f51020-b096-11e6-aab6-ac72891c3257.html","web")</f>
        <v>0</v>
      </c>
      <c r="G523" t="s">
        <v>74</v>
      </c>
      <c r="H523" t="s">
        <v>75</v>
      </c>
      <c r="I523" t="s">
        <v>1444</v>
      </c>
      <c r="J523" t="s">
        <v>77</v>
      </c>
    </row>
    <row r="524" spans="1:10">
      <c r="A524" t="s">
        <v>1441</v>
      </c>
      <c r="B524" t="s">
        <v>1445</v>
      </c>
      <c r="C524" t="s">
        <v>12</v>
      </c>
      <c r="D524" t="s">
        <v>973</v>
      </c>
      <c r="E524" t="s">
        <v>1446</v>
      </c>
      <c r="F524">
        <f>HYPERLINK("http://clipc-services.ceda.ac.uk/dreq/u/e29fbc42-b095-11e6-aab6-ac72891c3257.html","web")</f>
        <v>0</v>
      </c>
      <c r="G524" t="s">
        <v>74</v>
      </c>
      <c r="H524" t="s">
        <v>75</v>
      </c>
      <c r="I524" t="s">
        <v>1447</v>
      </c>
      <c r="J524" t="s">
        <v>77</v>
      </c>
    </row>
    <row r="525" spans="1:10">
      <c r="A525" t="s">
        <v>1441</v>
      </c>
      <c r="B525" t="s">
        <v>979</v>
      </c>
      <c r="C525" t="s">
        <v>12</v>
      </c>
      <c r="D525" t="s">
        <v>973</v>
      </c>
      <c r="E525" t="s">
        <v>1198</v>
      </c>
      <c r="F525">
        <f>HYPERLINK("http://clipc-services.ceda.ac.uk/dreq/u/1d4594c97188efd47935238a429e02e4.html","web")</f>
        <v>0</v>
      </c>
      <c r="G525" t="s">
        <v>74</v>
      </c>
      <c r="H525" t="s">
        <v>75</v>
      </c>
      <c r="I525" t="s">
        <v>982</v>
      </c>
      <c r="J525" t="s">
        <v>77</v>
      </c>
    </row>
    <row r="526" spans="1:10">
      <c r="A526" t="s">
        <v>1441</v>
      </c>
      <c r="B526" t="s">
        <v>1248</v>
      </c>
      <c r="C526" t="s">
        <v>12</v>
      </c>
      <c r="D526" t="s">
        <v>973</v>
      </c>
      <c r="E526" t="s">
        <v>1249</v>
      </c>
      <c r="F526">
        <f>HYPERLINK("http://clipc-services.ceda.ac.uk/dreq/u/609d47152c2ed8122caa2528117aff9a.html","web")</f>
        <v>0</v>
      </c>
      <c r="G526" t="s">
        <v>74</v>
      </c>
      <c r="H526" t="s">
        <v>75</v>
      </c>
      <c r="I526" t="s">
        <v>982</v>
      </c>
      <c r="J526" t="s">
        <v>77</v>
      </c>
    </row>
    <row r="528" spans="1:10">
      <c r="A528" t="s">
        <v>1448</v>
      </c>
      <c r="B528" t="s">
        <v>1055</v>
      </c>
      <c r="C528" t="s">
        <v>12</v>
      </c>
      <c r="D528" t="s">
        <v>298</v>
      </c>
      <c r="E528" t="s">
        <v>1449</v>
      </c>
      <c r="F528">
        <f>HYPERLINK("http://clipc-services.ceda.ac.uk/dreq/u/4e6ce0bc3ad0814b4c0523304965513f.html","web")</f>
        <v>0</v>
      </c>
      <c r="G528" t="s">
        <v>1057</v>
      </c>
      <c r="H528" t="s">
        <v>50</v>
      </c>
      <c r="I528" t="s">
        <v>1058</v>
      </c>
      <c r="J528" t="s">
        <v>1315</v>
      </c>
    </row>
    <row r="529" spans="1:10">
      <c r="A529" t="s">
        <v>1448</v>
      </c>
      <c r="B529" t="s">
        <v>248</v>
      </c>
      <c r="C529" t="s">
        <v>86</v>
      </c>
      <c r="D529" t="s">
        <v>1450</v>
      </c>
      <c r="E529" t="s">
        <v>250</v>
      </c>
      <c r="F529">
        <f>HYPERLINK("http://clipc-services.ceda.ac.uk/dreq/u/154ab10964742eaff37de9cc5beef39c.html","web")</f>
        <v>0</v>
      </c>
      <c r="G529" t="s">
        <v>74</v>
      </c>
      <c r="H529" t="s">
        <v>75</v>
      </c>
      <c r="I529" t="s">
        <v>251</v>
      </c>
      <c r="J529" t="s">
        <v>1451</v>
      </c>
    </row>
    <row r="530" spans="1:10">
      <c r="A530" t="s">
        <v>1448</v>
      </c>
      <c r="B530" t="s">
        <v>1127</v>
      </c>
      <c r="C530" t="s">
        <v>86</v>
      </c>
      <c r="D530" t="s">
        <v>1331</v>
      </c>
      <c r="E530" t="s">
        <v>1128</v>
      </c>
      <c r="F530">
        <f>HYPERLINK("http://clipc-services.ceda.ac.uk/dreq/u/a7cf325e9bf994ade073a1297378a57c.html","web")</f>
        <v>0</v>
      </c>
      <c r="G530" t="s">
        <v>74</v>
      </c>
      <c r="H530" t="s">
        <v>75</v>
      </c>
      <c r="I530" t="s">
        <v>1129</v>
      </c>
      <c r="J530" t="s">
        <v>1315</v>
      </c>
    </row>
    <row r="532" spans="1:10">
      <c r="A532" t="s">
        <v>1452</v>
      </c>
      <c r="B532" t="s">
        <v>205</v>
      </c>
      <c r="C532" t="s">
        <v>86</v>
      </c>
      <c r="D532" t="s">
        <v>55</v>
      </c>
      <c r="E532" t="s">
        <v>1453</v>
      </c>
      <c r="F532">
        <f>HYPERLINK("http://clipc-services.ceda.ac.uk/dreq/u/5912cab4-9e49-11e5-803c-0d0b866b59f3.html","web")</f>
        <v>0</v>
      </c>
      <c r="G532" t="s">
        <v>208</v>
      </c>
      <c r="H532" t="s">
        <v>209</v>
      </c>
      <c r="I532" t="s">
        <v>210</v>
      </c>
      <c r="J532" t="s">
        <v>25</v>
      </c>
    </row>
    <row r="533" spans="1:10">
      <c r="A533" t="s">
        <v>1452</v>
      </c>
      <c r="B533" t="s">
        <v>1454</v>
      </c>
      <c r="C533" t="s">
        <v>12</v>
      </c>
      <c r="D533" t="s">
        <v>55</v>
      </c>
      <c r="E533" t="s">
        <v>1455</v>
      </c>
      <c r="F533">
        <f>HYPERLINK("http://clipc-services.ceda.ac.uk/dreq/u/5917e2ba-9e49-11e5-803c-0d0b866b59f3.html","web")</f>
        <v>0</v>
      </c>
      <c r="G533" t="s">
        <v>1456</v>
      </c>
      <c r="H533" t="s">
        <v>402</v>
      </c>
      <c r="I533" t="s">
        <v>210</v>
      </c>
      <c r="J533" t="s">
        <v>25</v>
      </c>
    </row>
    <row r="535" spans="1:10">
      <c r="A535" t="s">
        <v>1457</v>
      </c>
      <c r="B535" t="s">
        <v>297</v>
      </c>
      <c r="C535" t="s">
        <v>12</v>
      </c>
      <c r="D535" t="s">
        <v>55</v>
      </c>
      <c r="E535" t="s">
        <v>299</v>
      </c>
      <c r="F535">
        <f>HYPERLINK("http://clipc-services.ceda.ac.uk/dreq/u/6c08493dc9183b6ec7005a6be27f67f1.html","web")</f>
        <v>0</v>
      </c>
      <c r="G535" t="s">
        <v>256</v>
      </c>
      <c r="H535" t="s">
        <v>257</v>
      </c>
      <c r="I535" t="s">
        <v>300</v>
      </c>
      <c r="J535" t="s">
        <v>1458</v>
      </c>
    </row>
    <row r="536" spans="1:10">
      <c r="A536" t="s">
        <v>1457</v>
      </c>
      <c r="B536" t="s">
        <v>1394</v>
      </c>
      <c r="C536" t="s">
        <v>12</v>
      </c>
      <c r="D536" t="s">
        <v>1403</v>
      </c>
      <c r="E536" t="s">
        <v>1404</v>
      </c>
      <c r="F536">
        <f>HYPERLINK("http://clipc-services.ceda.ac.uk/dreq/u/591389b8-9e49-11e5-803c-0d0b866b59f3.html","web")</f>
        <v>0</v>
      </c>
      <c r="G536" t="s">
        <v>256</v>
      </c>
      <c r="H536" t="s">
        <v>257</v>
      </c>
      <c r="I536" t="s">
        <v>1397</v>
      </c>
      <c r="J536" t="s">
        <v>1459</v>
      </c>
    </row>
    <row r="537" spans="1:10">
      <c r="A537" t="s">
        <v>1457</v>
      </c>
      <c r="B537" t="s">
        <v>1460</v>
      </c>
      <c r="C537" t="s">
        <v>12</v>
      </c>
      <c r="D537" t="s">
        <v>55</v>
      </c>
      <c r="E537" t="s">
        <v>1461</v>
      </c>
      <c r="F537">
        <f>HYPERLINK("http://clipc-services.ceda.ac.uk/dreq/u/590ddf9a-9e49-11e5-803c-0d0b866b59f3.html","web")</f>
        <v>0</v>
      </c>
      <c r="G537" t="s">
        <v>256</v>
      </c>
      <c r="H537" t="s">
        <v>257</v>
      </c>
      <c r="I537" t="s">
        <v>1462</v>
      </c>
      <c r="J537" t="s">
        <v>1463</v>
      </c>
    </row>
    <row r="538" spans="1:10">
      <c r="A538" t="s">
        <v>1457</v>
      </c>
      <c r="B538" t="s">
        <v>1464</v>
      </c>
      <c r="C538" t="s">
        <v>12</v>
      </c>
      <c r="D538" t="s">
        <v>55</v>
      </c>
      <c r="E538" t="s">
        <v>1465</v>
      </c>
      <c r="F538">
        <f>HYPERLINK("http://clipc-services.ceda.ac.uk/dreq/u/590f58de-9e49-11e5-803c-0d0b866b59f3.html","web")</f>
        <v>0</v>
      </c>
      <c r="G538" t="s">
        <v>256</v>
      </c>
      <c r="H538" t="s">
        <v>257</v>
      </c>
      <c r="I538" t="s">
        <v>1466</v>
      </c>
      <c r="J538" t="s">
        <v>1463</v>
      </c>
    </row>
    <row r="539" spans="1:10">
      <c r="A539" t="s">
        <v>1457</v>
      </c>
      <c r="B539" t="s">
        <v>1467</v>
      </c>
      <c r="C539" t="s">
        <v>12</v>
      </c>
      <c r="D539" t="s">
        <v>55</v>
      </c>
      <c r="E539" t="s">
        <v>1468</v>
      </c>
      <c r="F539">
        <f>HYPERLINK("http://clipc-services.ceda.ac.uk/dreq/u/590f933a-9e49-11e5-803c-0d0b866b59f3.html","web")</f>
        <v>0</v>
      </c>
      <c r="G539" t="s">
        <v>256</v>
      </c>
      <c r="H539" t="s">
        <v>257</v>
      </c>
      <c r="J539" t="s">
        <v>1463</v>
      </c>
    </row>
    <row r="540" spans="1:10">
      <c r="A540" t="s">
        <v>1457</v>
      </c>
      <c r="B540" t="s">
        <v>1469</v>
      </c>
      <c r="C540" t="s">
        <v>12</v>
      </c>
      <c r="D540" t="s">
        <v>55</v>
      </c>
      <c r="E540" t="s">
        <v>1470</v>
      </c>
      <c r="F540">
        <f>HYPERLINK("http://clipc-services.ceda.ac.uk/dreq/u/59149f2e-9e49-11e5-803c-0d0b866b59f3.html","web")</f>
        <v>0</v>
      </c>
      <c r="G540" t="s">
        <v>256</v>
      </c>
      <c r="H540" t="s">
        <v>257</v>
      </c>
      <c r="I540" t="s">
        <v>1471</v>
      </c>
      <c r="J540" t="s">
        <v>1463</v>
      </c>
    </row>
    <row r="541" spans="1:10">
      <c r="A541" t="s">
        <v>1457</v>
      </c>
      <c r="B541" t="s">
        <v>1472</v>
      </c>
      <c r="C541" t="s">
        <v>12</v>
      </c>
      <c r="D541" t="s">
        <v>55</v>
      </c>
      <c r="E541" t="s">
        <v>1473</v>
      </c>
      <c r="F541">
        <f>HYPERLINK("http://clipc-services.ceda.ac.uk/dreq/u/5913de9a-9e49-11e5-803c-0d0b866b59f3.html","web")</f>
        <v>0</v>
      </c>
      <c r="G541" t="s">
        <v>256</v>
      </c>
      <c r="H541" t="s">
        <v>257</v>
      </c>
      <c r="I541" t="s">
        <v>1474</v>
      </c>
      <c r="J541" t="s">
        <v>1463</v>
      </c>
    </row>
    <row r="542" spans="1:10">
      <c r="A542" t="s">
        <v>1457</v>
      </c>
      <c r="B542" t="s">
        <v>1475</v>
      </c>
      <c r="C542" t="s">
        <v>12</v>
      </c>
      <c r="D542" t="s">
        <v>55</v>
      </c>
      <c r="E542" t="s">
        <v>1476</v>
      </c>
      <c r="F542">
        <f>HYPERLINK("http://clipc-services.ceda.ac.uk/dreq/u/5917a796-9e49-11e5-803c-0d0b866b59f3.html","web")</f>
        <v>0</v>
      </c>
      <c r="G542" t="s">
        <v>256</v>
      </c>
      <c r="H542" t="s">
        <v>257</v>
      </c>
      <c r="I542" t="s">
        <v>1477</v>
      </c>
      <c r="J542" t="s">
        <v>1463</v>
      </c>
    </row>
    <row r="543" spans="1:10">
      <c r="A543" t="s">
        <v>1457</v>
      </c>
      <c r="B543" t="s">
        <v>1478</v>
      </c>
      <c r="C543" t="s">
        <v>12</v>
      </c>
      <c r="D543" t="s">
        <v>55</v>
      </c>
      <c r="E543" t="s">
        <v>1479</v>
      </c>
      <c r="F543">
        <f>HYPERLINK("http://clipc-services.ceda.ac.uk/dreq/u/590e70f4-9e49-11e5-803c-0d0b866b59f3.html","web")</f>
        <v>0</v>
      </c>
      <c r="G543" t="s">
        <v>256</v>
      </c>
      <c r="H543" t="s">
        <v>257</v>
      </c>
      <c r="I543" t="s">
        <v>1480</v>
      </c>
      <c r="J543" t="s">
        <v>1481</v>
      </c>
    </row>
    <row r="544" spans="1:10">
      <c r="A544" t="s">
        <v>1457</v>
      </c>
      <c r="B544" t="s">
        <v>1482</v>
      </c>
      <c r="C544" t="s">
        <v>12</v>
      </c>
      <c r="D544" t="s">
        <v>55</v>
      </c>
      <c r="E544" t="s">
        <v>1483</v>
      </c>
      <c r="F544">
        <f>HYPERLINK("http://clipc-services.ceda.ac.uk/dreq/u/5917f21e-9e49-11e5-803c-0d0b866b59f3.html","web")</f>
        <v>0</v>
      </c>
      <c r="G544" t="s">
        <v>256</v>
      </c>
      <c r="H544" t="s">
        <v>257</v>
      </c>
      <c r="I544" t="s">
        <v>1480</v>
      </c>
      <c r="J544" t="s">
        <v>1481</v>
      </c>
    </row>
    <row r="545" spans="1:10">
      <c r="A545" t="s">
        <v>1457</v>
      </c>
      <c r="B545" t="s">
        <v>1484</v>
      </c>
      <c r="C545" t="s">
        <v>12</v>
      </c>
      <c r="D545" t="s">
        <v>55</v>
      </c>
      <c r="E545" t="s">
        <v>1485</v>
      </c>
      <c r="F545">
        <f>HYPERLINK("http://clipc-services.ceda.ac.uk/dreq/u/59142e0e-9e49-11e5-803c-0d0b866b59f3.html","web")</f>
        <v>0</v>
      </c>
      <c r="G545" t="s">
        <v>256</v>
      </c>
      <c r="H545" t="s">
        <v>257</v>
      </c>
      <c r="I545" t="s">
        <v>1480</v>
      </c>
      <c r="J545" t="s">
        <v>1481</v>
      </c>
    </row>
    <row r="546" spans="1:10">
      <c r="A546" t="s">
        <v>1457</v>
      </c>
      <c r="B546" t="s">
        <v>1486</v>
      </c>
      <c r="C546" t="s">
        <v>12</v>
      </c>
      <c r="D546" t="s">
        <v>55</v>
      </c>
      <c r="E546" t="s">
        <v>1487</v>
      </c>
      <c r="F546">
        <f>HYPERLINK("http://clipc-services.ceda.ac.uk/dreq/u/5913fa10-9e49-11e5-803c-0d0b866b59f3.html","web")</f>
        <v>0</v>
      </c>
      <c r="G546" t="s">
        <v>256</v>
      </c>
      <c r="H546" t="s">
        <v>257</v>
      </c>
      <c r="I546" t="s">
        <v>1488</v>
      </c>
      <c r="J546" t="s">
        <v>1463</v>
      </c>
    </row>
    <row r="547" spans="1:10">
      <c r="A547" t="s">
        <v>1457</v>
      </c>
      <c r="B547" t="s">
        <v>1489</v>
      </c>
      <c r="C547" t="s">
        <v>12</v>
      </c>
      <c r="D547" t="s">
        <v>55</v>
      </c>
      <c r="E547" t="s">
        <v>1490</v>
      </c>
      <c r="F547">
        <f>HYPERLINK("http://clipc-services.ceda.ac.uk/dreq/u/591478be-9e49-11e5-803c-0d0b866b59f3.html","web")</f>
        <v>0</v>
      </c>
      <c r="G547" t="s">
        <v>256</v>
      </c>
      <c r="H547" t="s">
        <v>257</v>
      </c>
      <c r="I547" t="s">
        <v>1491</v>
      </c>
      <c r="J547" t="s">
        <v>1463</v>
      </c>
    </row>
    <row r="548" spans="1:10">
      <c r="A548" t="s">
        <v>1457</v>
      </c>
      <c r="B548" t="s">
        <v>1492</v>
      </c>
      <c r="C548" t="s">
        <v>12</v>
      </c>
      <c r="D548" t="s">
        <v>55</v>
      </c>
      <c r="E548" t="s">
        <v>1493</v>
      </c>
      <c r="F548">
        <f>HYPERLINK("http://clipc-services.ceda.ac.uk/dreq/u/84f09af8-acb7-11e6-b5ee-ac72891c3257.html","web")</f>
        <v>0</v>
      </c>
      <c r="G548" t="s">
        <v>256</v>
      </c>
      <c r="H548" t="s">
        <v>257</v>
      </c>
      <c r="I548" t="s">
        <v>1494</v>
      </c>
      <c r="J548" t="s">
        <v>1463</v>
      </c>
    </row>
    <row r="549" spans="1:10">
      <c r="A549" t="s">
        <v>1457</v>
      </c>
      <c r="B549" t="s">
        <v>1495</v>
      </c>
      <c r="C549" t="s">
        <v>12</v>
      </c>
      <c r="D549" t="s">
        <v>55</v>
      </c>
      <c r="E549" t="s">
        <v>1496</v>
      </c>
      <c r="F549">
        <f>HYPERLINK("http://clipc-services.ceda.ac.uk/dreq/u/5913bfe6-9e49-11e5-803c-0d0b866b59f3.html","web")</f>
        <v>0</v>
      </c>
      <c r="G549" t="s">
        <v>256</v>
      </c>
      <c r="H549" t="s">
        <v>257</v>
      </c>
      <c r="J549" t="s">
        <v>1463</v>
      </c>
    </row>
    <row r="550" spans="1:10">
      <c r="A550" t="s">
        <v>1457</v>
      </c>
      <c r="B550" t="s">
        <v>1497</v>
      </c>
      <c r="C550" t="s">
        <v>12</v>
      </c>
      <c r="D550" t="s">
        <v>55</v>
      </c>
      <c r="E550" t="s">
        <v>1498</v>
      </c>
      <c r="F550">
        <f>HYPERLINK("http://clipc-services.ceda.ac.uk/dreq/u/590d2ed8-9e49-11e5-803c-0d0b866b59f3.html","web")</f>
        <v>0</v>
      </c>
      <c r="G550" t="s">
        <v>256</v>
      </c>
      <c r="H550" t="s">
        <v>257</v>
      </c>
      <c r="J550" t="s">
        <v>1463</v>
      </c>
    </row>
    <row r="551" spans="1:10">
      <c r="A551" t="s">
        <v>1457</v>
      </c>
      <c r="B551" t="s">
        <v>1499</v>
      </c>
      <c r="C551" t="s">
        <v>12</v>
      </c>
      <c r="D551" t="s">
        <v>55</v>
      </c>
      <c r="E551" t="s">
        <v>1500</v>
      </c>
      <c r="F551">
        <f>HYPERLINK("http://clipc-services.ceda.ac.uk/dreq/u/5917c654-9e49-11e5-803c-0d0b866b59f3.html","web")</f>
        <v>0</v>
      </c>
      <c r="G551" t="s">
        <v>256</v>
      </c>
      <c r="H551" t="s">
        <v>257</v>
      </c>
      <c r="J551" t="s">
        <v>1481</v>
      </c>
    </row>
    <row r="552" spans="1:10">
      <c r="A552" t="s">
        <v>1457</v>
      </c>
      <c r="B552" t="s">
        <v>1501</v>
      </c>
      <c r="C552" t="s">
        <v>12</v>
      </c>
      <c r="D552" t="s">
        <v>55</v>
      </c>
      <c r="E552" t="s">
        <v>1502</v>
      </c>
      <c r="F552">
        <f>HYPERLINK("http://clipc-services.ceda.ac.uk/dreq/u/590dda36-9e49-11e5-803c-0d0b866b59f3.html","web")</f>
        <v>0</v>
      </c>
      <c r="G552" t="s">
        <v>256</v>
      </c>
      <c r="H552" t="s">
        <v>257</v>
      </c>
      <c r="J552" t="s">
        <v>1481</v>
      </c>
    </row>
    <row r="553" spans="1:10">
      <c r="A553" t="s">
        <v>1457</v>
      </c>
      <c r="B553" t="s">
        <v>1503</v>
      </c>
      <c r="C553" t="s">
        <v>12</v>
      </c>
      <c r="D553" t="s">
        <v>55</v>
      </c>
      <c r="E553" t="s">
        <v>1504</v>
      </c>
      <c r="F553">
        <f>HYPERLINK("http://clipc-services.ceda.ac.uk/dreq/u/5913ba00-9e49-11e5-803c-0d0b866b59f3.html","web")</f>
        <v>0</v>
      </c>
      <c r="G553" t="s">
        <v>256</v>
      </c>
      <c r="H553" t="s">
        <v>257</v>
      </c>
      <c r="J553" t="s">
        <v>1463</v>
      </c>
    </row>
    <row r="554" spans="1:10">
      <c r="A554" t="s">
        <v>1457</v>
      </c>
      <c r="B554" t="s">
        <v>1505</v>
      </c>
      <c r="C554" t="s">
        <v>12</v>
      </c>
      <c r="D554" t="s">
        <v>55</v>
      </c>
      <c r="E554" t="s">
        <v>1506</v>
      </c>
      <c r="F554">
        <f>HYPERLINK("http://clipc-services.ceda.ac.uk/dreq/u/59151c42-9e49-11e5-803c-0d0b866b59f3.html","web")</f>
        <v>0</v>
      </c>
      <c r="G554" t="s">
        <v>256</v>
      </c>
      <c r="H554" t="s">
        <v>257</v>
      </c>
      <c r="I554" t="s">
        <v>1507</v>
      </c>
      <c r="J554" t="s">
        <v>1463</v>
      </c>
    </row>
    <row r="555" spans="1:10">
      <c r="A555" t="s">
        <v>1457</v>
      </c>
      <c r="B555" t="s">
        <v>1508</v>
      </c>
      <c r="C555" t="s">
        <v>12</v>
      </c>
      <c r="D555" t="s">
        <v>55</v>
      </c>
      <c r="E555" t="s">
        <v>1509</v>
      </c>
      <c r="F555">
        <f>HYPERLINK("http://clipc-services.ceda.ac.uk/dreq/u/590ded6e-9e49-11e5-803c-0d0b866b59f3.html","web")</f>
        <v>0</v>
      </c>
      <c r="G555" t="s">
        <v>256</v>
      </c>
      <c r="H555" t="s">
        <v>257</v>
      </c>
      <c r="J555" t="s">
        <v>1463</v>
      </c>
    </row>
    <row r="556" spans="1:10">
      <c r="A556" t="s">
        <v>1457</v>
      </c>
      <c r="B556" t="s">
        <v>1510</v>
      </c>
      <c r="C556" t="s">
        <v>12</v>
      </c>
      <c r="D556" t="s">
        <v>55</v>
      </c>
      <c r="E556" t="s">
        <v>1511</v>
      </c>
      <c r="F556">
        <f>HYPERLINK("http://clipc-services.ceda.ac.uk/dreq/u/5913e3e0-9e49-11e5-803c-0d0b866b59f3.html","web")</f>
        <v>0</v>
      </c>
      <c r="G556" t="s">
        <v>256</v>
      </c>
      <c r="H556" t="s">
        <v>257</v>
      </c>
      <c r="I556" t="s">
        <v>1474</v>
      </c>
      <c r="J556" t="s">
        <v>1463</v>
      </c>
    </row>
    <row r="557" spans="1:10">
      <c r="A557" t="s">
        <v>1457</v>
      </c>
      <c r="B557" t="s">
        <v>1512</v>
      </c>
      <c r="C557" t="s">
        <v>12</v>
      </c>
      <c r="D557" t="s">
        <v>55</v>
      </c>
      <c r="E557" t="s">
        <v>1513</v>
      </c>
      <c r="F557">
        <f>HYPERLINK("http://clipc-services.ceda.ac.uk/dreq/u/84f0ea44-acb7-11e6-b5ee-ac72891c3257.html","web")</f>
        <v>0</v>
      </c>
      <c r="G557" t="s">
        <v>256</v>
      </c>
      <c r="H557" t="s">
        <v>257</v>
      </c>
      <c r="I557" t="s">
        <v>1514</v>
      </c>
      <c r="J557" t="s">
        <v>1463</v>
      </c>
    </row>
    <row r="558" spans="1:10">
      <c r="A558" t="s">
        <v>1457</v>
      </c>
      <c r="B558" t="s">
        <v>1515</v>
      </c>
      <c r="C558" t="s">
        <v>12</v>
      </c>
      <c r="D558" t="s">
        <v>1516</v>
      </c>
      <c r="E558" t="s">
        <v>1517</v>
      </c>
      <c r="F558">
        <f>HYPERLINK("http://clipc-services.ceda.ac.uk/dreq/u/59131672-9e49-11e5-803c-0d0b866b59f3.html","web")</f>
        <v>0</v>
      </c>
      <c r="G558" t="s">
        <v>256</v>
      </c>
      <c r="H558" t="s">
        <v>257</v>
      </c>
      <c r="I558" t="s">
        <v>1518</v>
      </c>
      <c r="J558" t="s">
        <v>1481</v>
      </c>
    </row>
    <row r="559" spans="1:10">
      <c r="A559" t="s">
        <v>1457</v>
      </c>
      <c r="B559" t="s">
        <v>1519</v>
      </c>
      <c r="C559" t="s">
        <v>12</v>
      </c>
      <c r="D559" t="s">
        <v>1520</v>
      </c>
      <c r="E559" t="s">
        <v>1521</v>
      </c>
      <c r="F559">
        <f>HYPERLINK("http://clipc-services.ceda.ac.uk/dreq/u/5914dbb0-9e49-11e5-803c-0d0b866b59f3.html","web")</f>
        <v>0</v>
      </c>
      <c r="G559" t="s">
        <v>256</v>
      </c>
      <c r="H559" t="s">
        <v>257</v>
      </c>
      <c r="I559" t="s">
        <v>1522</v>
      </c>
      <c r="J559" t="s">
        <v>1481</v>
      </c>
    </row>
    <row r="560" spans="1:10">
      <c r="A560" t="s">
        <v>1457</v>
      </c>
      <c r="B560" t="s">
        <v>1523</v>
      </c>
      <c r="C560" t="s">
        <v>12</v>
      </c>
      <c r="D560" t="s">
        <v>1524</v>
      </c>
      <c r="E560" t="s">
        <v>1525</v>
      </c>
      <c r="F560">
        <f>HYPERLINK("http://clipc-services.ceda.ac.uk/dreq/u/5914ccba-9e49-11e5-803c-0d0b866b59f3.html","web")</f>
        <v>0</v>
      </c>
      <c r="G560" t="s">
        <v>256</v>
      </c>
      <c r="H560" t="s">
        <v>257</v>
      </c>
      <c r="I560" t="s">
        <v>1526</v>
      </c>
      <c r="J560" t="s">
        <v>1481</v>
      </c>
    </row>
    <row r="561" spans="1:10">
      <c r="A561" t="s">
        <v>1457</v>
      </c>
      <c r="B561" t="s">
        <v>1527</v>
      </c>
      <c r="C561" t="s">
        <v>12</v>
      </c>
      <c r="D561" t="s">
        <v>1528</v>
      </c>
      <c r="E561" t="s">
        <v>1529</v>
      </c>
      <c r="F561">
        <f>HYPERLINK("http://clipc-services.ceda.ac.uk/dreq/u/590dc8ac-9e49-11e5-803c-0d0b866b59f3.html","web")</f>
        <v>0</v>
      </c>
      <c r="G561" t="s">
        <v>256</v>
      </c>
      <c r="H561" t="s">
        <v>257</v>
      </c>
      <c r="I561" t="s">
        <v>1530</v>
      </c>
      <c r="J561" t="s">
        <v>1481</v>
      </c>
    </row>
    <row r="562" spans="1:10">
      <c r="A562" t="s">
        <v>1457</v>
      </c>
      <c r="B562" t="s">
        <v>1531</v>
      </c>
      <c r="C562" t="s">
        <v>12</v>
      </c>
      <c r="D562" t="s">
        <v>1532</v>
      </c>
      <c r="E562" t="s">
        <v>1533</v>
      </c>
      <c r="F562">
        <f>HYPERLINK("http://clipc-services.ceda.ac.uk/dreq/u/590dc37a-9e49-11e5-803c-0d0b866b59f3.html","web")</f>
        <v>0</v>
      </c>
      <c r="G562" t="s">
        <v>256</v>
      </c>
      <c r="H562" t="s">
        <v>257</v>
      </c>
      <c r="I562" t="s">
        <v>1534</v>
      </c>
      <c r="J562" t="s">
        <v>1481</v>
      </c>
    </row>
    <row r="563" spans="1:10">
      <c r="A563" t="s">
        <v>1457</v>
      </c>
      <c r="B563" t="s">
        <v>1535</v>
      </c>
      <c r="C563" t="s">
        <v>86</v>
      </c>
      <c r="D563" t="s">
        <v>1536</v>
      </c>
      <c r="E563" t="s">
        <v>1537</v>
      </c>
      <c r="F563">
        <f>HYPERLINK("http://clipc-services.ceda.ac.uk/dreq/u/84f091c0-acb7-11e6-b5ee-ac72891c3257.html","web")</f>
        <v>0</v>
      </c>
      <c r="G563" t="s">
        <v>256</v>
      </c>
      <c r="H563" t="s">
        <v>257</v>
      </c>
      <c r="I563" t="s">
        <v>1538</v>
      </c>
      <c r="J563" t="s">
        <v>1463</v>
      </c>
    </row>
    <row r="564" spans="1:10">
      <c r="A564" t="s">
        <v>1457</v>
      </c>
      <c r="B564" t="s">
        <v>1539</v>
      </c>
      <c r="C564" t="s">
        <v>86</v>
      </c>
      <c r="D564" t="s">
        <v>1540</v>
      </c>
      <c r="E564" t="s">
        <v>1541</v>
      </c>
      <c r="F564">
        <f>HYPERLINK("http://clipc-services.ceda.ac.uk/dreq/u/84eff3c8-acb7-11e6-b5ee-ac72891c3257.html","web")</f>
        <v>0</v>
      </c>
      <c r="G564" t="s">
        <v>256</v>
      </c>
      <c r="H564" t="s">
        <v>257</v>
      </c>
      <c r="I564" t="s">
        <v>1542</v>
      </c>
      <c r="J564" t="s">
        <v>1463</v>
      </c>
    </row>
    <row r="565" spans="1:10">
      <c r="A565" t="s">
        <v>1457</v>
      </c>
      <c r="B565" t="s">
        <v>1543</v>
      </c>
      <c r="C565" t="s">
        <v>86</v>
      </c>
      <c r="D565" t="s">
        <v>55</v>
      </c>
      <c r="E565" t="s">
        <v>1544</v>
      </c>
      <c r="F565">
        <f>HYPERLINK("http://clipc-services.ceda.ac.uk/dreq/u/59171df8-9e49-11e5-803c-0d0b866b59f3.html","web")</f>
        <v>0</v>
      </c>
      <c r="G565" t="s">
        <v>256</v>
      </c>
      <c r="H565" t="s">
        <v>257</v>
      </c>
      <c r="I565" t="s">
        <v>1545</v>
      </c>
      <c r="J565" t="s">
        <v>1463</v>
      </c>
    </row>
    <row r="566" spans="1:10">
      <c r="A566" t="s">
        <v>1457</v>
      </c>
      <c r="B566" t="s">
        <v>1546</v>
      </c>
      <c r="C566" t="s">
        <v>86</v>
      </c>
      <c r="D566" t="s">
        <v>55</v>
      </c>
      <c r="E566" t="s">
        <v>1547</v>
      </c>
      <c r="F566">
        <f>HYPERLINK("http://clipc-services.ceda.ac.uk/dreq/u/5914b748-9e49-11e5-803c-0d0b866b59f3.html","web")</f>
        <v>0</v>
      </c>
      <c r="G566" t="s">
        <v>256</v>
      </c>
      <c r="H566" t="s">
        <v>257</v>
      </c>
      <c r="I566" t="s">
        <v>1548</v>
      </c>
      <c r="J566" t="s">
        <v>1463</v>
      </c>
    </row>
    <row r="567" spans="1:10">
      <c r="A567" t="s">
        <v>1457</v>
      </c>
      <c r="B567" t="s">
        <v>1549</v>
      </c>
      <c r="C567" t="s">
        <v>86</v>
      </c>
      <c r="D567" t="s">
        <v>55</v>
      </c>
      <c r="E567" t="s">
        <v>1550</v>
      </c>
      <c r="F567">
        <f>HYPERLINK("http://clipc-services.ceda.ac.uk/dreq/u/5912b196-9e49-11e5-803c-0d0b866b59f3.html","web")</f>
        <v>0</v>
      </c>
      <c r="G567" t="s">
        <v>256</v>
      </c>
      <c r="H567" t="s">
        <v>257</v>
      </c>
      <c r="J567" t="s">
        <v>1463</v>
      </c>
    </row>
    <row r="568" spans="1:10">
      <c r="A568" t="s">
        <v>1457</v>
      </c>
      <c r="B568" t="s">
        <v>1551</v>
      </c>
      <c r="C568" t="s">
        <v>86</v>
      </c>
      <c r="D568" t="s">
        <v>55</v>
      </c>
      <c r="E568" t="s">
        <v>1552</v>
      </c>
      <c r="F568">
        <f>HYPERLINK("http://clipc-services.ceda.ac.uk/dreq/u/590f4c7c-9e49-11e5-803c-0d0b866b59f3.html","web")</f>
        <v>0</v>
      </c>
      <c r="G568" t="s">
        <v>256</v>
      </c>
      <c r="H568" t="s">
        <v>257</v>
      </c>
      <c r="I568" t="s">
        <v>1553</v>
      </c>
      <c r="J568" t="s">
        <v>1463</v>
      </c>
    </row>
    <row r="569" spans="1:10">
      <c r="A569" t="s">
        <v>1457</v>
      </c>
      <c r="B569" t="s">
        <v>1554</v>
      </c>
      <c r="C569" t="s">
        <v>86</v>
      </c>
      <c r="D569" t="s">
        <v>55</v>
      </c>
      <c r="E569" t="s">
        <v>1555</v>
      </c>
      <c r="F569">
        <f>HYPERLINK("http://clipc-services.ceda.ac.uk/dreq/u/5913b4ec-9e49-11e5-803c-0d0b866b59f3.html","web")</f>
        <v>0</v>
      </c>
      <c r="G569" t="s">
        <v>256</v>
      </c>
      <c r="H569" t="s">
        <v>257</v>
      </c>
      <c r="I569" t="s">
        <v>1556</v>
      </c>
      <c r="J569" t="s">
        <v>1463</v>
      </c>
    </row>
    <row r="570" spans="1:10">
      <c r="A570" t="s">
        <v>1457</v>
      </c>
      <c r="B570" t="s">
        <v>1557</v>
      </c>
      <c r="C570" t="s">
        <v>86</v>
      </c>
      <c r="D570" t="s">
        <v>55</v>
      </c>
      <c r="E570" t="s">
        <v>1558</v>
      </c>
      <c r="F570">
        <f>HYPERLINK("http://clipc-services.ceda.ac.uk/dreq/u/590e2f36-9e49-11e5-803c-0d0b866b59f3.html","web")</f>
        <v>0</v>
      </c>
      <c r="G570" t="s">
        <v>256</v>
      </c>
      <c r="H570" t="s">
        <v>257</v>
      </c>
      <c r="I570" t="s">
        <v>1559</v>
      </c>
      <c r="J570" t="s">
        <v>1463</v>
      </c>
    </row>
    <row r="571" spans="1:10">
      <c r="A571" t="s">
        <v>1457</v>
      </c>
      <c r="B571" t="s">
        <v>1560</v>
      </c>
      <c r="C571" t="s">
        <v>86</v>
      </c>
      <c r="D571" t="s">
        <v>55</v>
      </c>
      <c r="E571" t="s">
        <v>1561</v>
      </c>
      <c r="F571">
        <f>HYPERLINK("http://clipc-services.ceda.ac.uk/dreq/u/5914f2a8-9e49-11e5-803c-0d0b866b59f3.html","web")</f>
        <v>0</v>
      </c>
      <c r="G571" t="s">
        <v>256</v>
      </c>
      <c r="H571" t="s">
        <v>257</v>
      </c>
      <c r="I571" t="s">
        <v>1559</v>
      </c>
      <c r="J571" t="s">
        <v>1463</v>
      </c>
    </row>
    <row r="572" spans="1:10">
      <c r="A572" t="s">
        <v>1457</v>
      </c>
      <c r="B572" t="s">
        <v>1562</v>
      </c>
      <c r="C572" t="s">
        <v>86</v>
      </c>
      <c r="D572" t="s">
        <v>55</v>
      </c>
      <c r="E572" t="s">
        <v>1563</v>
      </c>
      <c r="F572">
        <f>HYPERLINK("http://clipc-services.ceda.ac.uk/dreq/u/590eb456-9e49-11e5-803c-0d0b866b59f3.html","web")</f>
        <v>0</v>
      </c>
      <c r="G572" t="s">
        <v>256</v>
      </c>
      <c r="H572" t="s">
        <v>257</v>
      </c>
      <c r="I572" t="s">
        <v>1564</v>
      </c>
      <c r="J572" t="s">
        <v>1463</v>
      </c>
    </row>
    <row r="573" spans="1:10">
      <c r="A573" t="s">
        <v>1457</v>
      </c>
      <c r="B573" t="s">
        <v>1565</v>
      </c>
      <c r="C573" t="s">
        <v>86</v>
      </c>
      <c r="D573" t="s">
        <v>55</v>
      </c>
      <c r="E573" t="s">
        <v>1566</v>
      </c>
      <c r="F573">
        <f>HYPERLINK("http://clipc-services.ceda.ac.uk/dreq/u/591491e6-9e49-11e5-803c-0d0b866b59f3.html","web")</f>
        <v>0</v>
      </c>
      <c r="G573" t="s">
        <v>256</v>
      </c>
      <c r="H573" t="s">
        <v>257</v>
      </c>
      <c r="I573" t="s">
        <v>1567</v>
      </c>
      <c r="J573" t="s">
        <v>1463</v>
      </c>
    </row>
    <row r="574" spans="1:10">
      <c r="A574" t="s">
        <v>1457</v>
      </c>
      <c r="B574" t="s">
        <v>1568</v>
      </c>
      <c r="C574" t="s">
        <v>86</v>
      </c>
      <c r="D574" t="s">
        <v>55</v>
      </c>
      <c r="E574" t="s">
        <v>1569</v>
      </c>
      <c r="F574">
        <f>HYPERLINK("http://clipc-services.ceda.ac.uk/dreq/u/590db236-9e49-11e5-803c-0d0b866b59f3.html","web")</f>
        <v>0</v>
      </c>
      <c r="G574" t="s">
        <v>256</v>
      </c>
      <c r="H574" t="s">
        <v>257</v>
      </c>
      <c r="I574" t="s">
        <v>1570</v>
      </c>
      <c r="J574" t="s">
        <v>1463</v>
      </c>
    </row>
    <row r="575" spans="1:10">
      <c r="A575" t="s">
        <v>1457</v>
      </c>
      <c r="B575" t="s">
        <v>1571</v>
      </c>
      <c r="C575" t="s">
        <v>86</v>
      </c>
      <c r="D575" t="s">
        <v>55</v>
      </c>
      <c r="E575" t="s">
        <v>1572</v>
      </c>
      <c r="F575">
        <f>HYPERLINK("http://clipc-services.ceda.ac.uk/dreq/u/590f2bfc-9e49-11e5-803c-0d0b866b59f3.html","web")</f>
        <v>0</v>
      </c>
      <c r="G575" t="s">
        <v>256</v>
      </c>
      <c r="H575" t="s">
        <v>257</v>
      </c>
      <c r="I575" t="s">
        <v>1570</v>
      </c>
      <c r="J575" t="s">
        <v>1463</v>
      </c>
    </row>
    <row r="576" spans="1:10">
      <c r="A576" t="s">
        <v>1457</v>
      </c>
      <c r="B576" t="s">
        <v>1573</v>
      </c>
      <c r="C576" t="s">
        <v>86</v>
      </c>
      <c r="D576" t="s">
        <v>55</v>
      </c>
      <c r="E576" t="s">
        <v>1574</v>
      </c>
      <c r="F576">
        <f>HYPERLINK("http://clipc-services.ceda.ac.uk/dreq/u/84f0b2cc-acb7-11e6-b5ee-ac72891c3257.html","web")</f>
        <v>0</v>
      </c>
      <c r="G576" t="s">
        <v>256</v>
      </c>
      <c r="H576" t="s">
        <v>257</v>
      </c>
      <c r="I576" t="s">
        <v>1570</v>
      </c>
      <c r="J576" t="s">
        <v>1463</v>
      </c>
    </row>
    <row r="577" spans="1:10">
      <c r="A577" t="s">
        <v>1457</v>
      </c>
      <c r="B577" t="s">
        <v>1575</v>
      </c>
      <c r="C577" t="s">
        <v>86</v>
      </c>
      <c r="D577" t="s">
        <v>55</v>
      </c>
      <c r="E577" t="s">
        <v>1576</v>
      </c>
      <c r="F577">
        <f>HYPERLINK("http://clipc-services.ceda.ac.uk/dreq/u/59136654-9e49-11e5-803c-0d0b866b59f3.html","web")</f>
        <v>0</v>
      </c>
      <c r="G577" t="s">
        <v>256</v>
      </c>
      <c r="H577" t="s">
        <v>257</v>
      </c>
      <c r="I577" t="s">
        <v>1577</v>
      </c>
      <c r="J577" t="s">
        <v>1463</v>
      </c>
    </row>
    <row r="578" spans="1:10">
      <c r="A578" t="s">
        <v>1457</v>
      </c>
      <c r="B578" t="s">
        <v>1578</v>
      </c>
      <c r="C578" t="s">
        <v>86</v>
      </c>
      <c r="D578" t="s">
        <v>55</v>
      </c>
      <c r="E578" t="s">
        <v>1579</v>
      </c>
      <c r="F578">
        <f>HYPERLINK("http://clipc-services.ceda.ac.uk/dreq/u/590f3674-9e49-11e5-803c-0d0b866b59f3.html","web")</f>
        <v>0</v>
      </c>
      <c r="G578" t="s">
        <v>256</v>
      </c>
      <c r="H578" t="s">
        <v>257</v>
      </c>
      <c r="I578" t="s">
        <v>1580</v>
      </c>
      <c r="J578" t="s">
        <v>1463</v>
      </c>
    </row>
    <row r="579" spans="1:10">
      <c r="A579" t="s">
        <v>1457</v>
      </c>
      <c r="B579" t="s">
        <v>1581</v>
      </c>
      <c r="C579" t="s">
        <v>86</v>
      </c>
      <c r="D579" t="s">
        <v>55</v>
      </c>
      <c r="E579" t="s">
        <v>1582</v>
      </c>
      <c r="F579">
        <f>HYPERLINK("http://clipc-services.ceda.ac.uk/dreq/u/84f10236-acb7-11e6-b5ee-ac72891c3257.html","web")</f>
        <v>0</v>
      </c>
      <c r="G579" t="s">
        <v>256</v>
      </c>
      <c r="H579" t="s">
        <v>257</v>
      </c>
      <c r="I579" t="s">
        <v>1583</v>
      </c>
      <c r="J579" t="s">
        <v>1463</v>
      </c>
    </row>
    <row r="580" spans="1:10">
      <c r="A580" t="s">
        <v>1457</v>
      </c>
      <c r="B580" t="s">
        <v>1584</v>
      </c>
      <c r="C580" t="s">
        <v>86</v>
      </c>
      <c r="D580" t="s">
        <v>55</v>
      </c>
      <c r="E580" t="s">
        <v>1585</v>
      </c>
      <c r="F580">
        <f>HYPERLINK("http://clipc-services.ceda.ac.uk/dreq/u/84f0afac-acb7-11e6-b5ee-ac72891c3257.html","web")</f>
        <v>0</v>
      </c>
      <c r="G580" t="s">
        <v>256</v>
      </c>
      <c r="H580" t="s">
        <v>257</v>
      </c>
      <c r="I580" t="s">
        <v>1586</v>
      </c>
      <c r="J580" t="s">
        <v>1463</v>
      </c>
    </row>
    <row r="581" spans="1:10">
      <c r="A581" t="s">
        <v>1457</v>
      </c>
      <c r="B581" t="s">
        <v>1587</v>
      </c>
      <c r="C581" t="s">
        <v>86</v>
      </c>
      <c r="D581" t="s">
        <v>55</v>
      </c>
      <c r="E581" t="s">
        <v>1588</v>
      </c>
      <c r="F581">
        <f>HYPERLINK("http://clipc-services.ceda.ac.uk/dreq/u/84f10e7a-acb7-11e6-b5ee-ac72891c3257.html","web")</f>
        <v>0</v>
      </c>
      <c r="G581" t="s">
        <v>256</v>
      </c>
      <c r="H581" t="s">
        <v>257</v>
      </c>
      <c r="I581" t="s">
        <v>1589</v>
      </c>
      <c r="J581" t="s">
        <v>1463</v>
      </c>
    </row>
    <row r="582" spans="1:10">
      <c r="A582" t="s">
        <v>1457</v>
      </c>
      <c r="B582" t="s">
        <v>1590</v>
      </c>
      <c r="C582" t="s">
        <v>86</v>
      </c>
      <c r="D582" t="s">
        <v>55</v>
      </c>
      <c r="E582" t="s">
        <v>1591</v>
      </c>
      <c r="F582">
        <f>HYPERLINK("http://clipc-services.ceda.ac.uk/dreq/u/84f0b8d0-acb7-11e6-b5ee-ac72891c3257.html","web")</f>
        <v>0</v>
      </c>
      <c r="G582" t="s">
        <v>256</v>
      </c>
      <c r="H582" t="s">
        <v>257</v>
      </c>
      <c r="I582" t="s">
        <v>1592</v>
      </c>
      <c r="J582" t="s">
        <v>1463</v>
      </c>
    </row>
    <row r="583" spans="1:10">
      <c r="A583" t="s">
        <v>1457</v>
      </c>
      <c r="B583" t="s">
        <v>1593</v>
      </c>
      <c r="C583" t="s">
        <v>86</v>
      </c>
      <c r="D583" t="s">
        <v>55</v>
      </c>
      <c r="E583" t="s">
        <v>1594</v>
      </c>
      <c r="F583">
        <f>HYPERLINK("http://clipc-services.ceda.ac.uk/dreq/u/84f0b5e2-acb7-11e6-b5ee-ac72891c3257.html","web")</f>
        <v>0</v>
      </c>
      <c r="G583" t="s">
        <v>256</v>
      </c>
      <c r="H583" t="s">
        <v>257</v>
      </c>
      <c r="I583" t="s">
        <v>1595</v>
      </c>
      <c r="J583" t="s">
        <v>1463</v>
      </c>
    </row>
    <row r="584" spans="1:10">
      <c r="A584" t="s">
        <v>1457</v>
      </c>
      <c r="B584" t="s">
        <v>1596</v>
      </c>
      <c r="C584" t="s">
        <v>86</v>
      </c>
      <c r="D584" t="s">
        <v>55</v>
      </c>
      <c r="E584" t="s">
        <v>1597</v>
      </c>
      <c r="F584">
        <f>HYPERLINK("http://clipc-services.ceda.ac.uk/dreq/u/84f105a6-acb7-11e6-b5ee-ac72891c3257.html","web")</f>
        <v>0</v>
      </c>
      <c r="G584" t="s">
        <v>256</v>
      </c>
      <c r="H584" t="s">
        <v>257</v>
      </c>
      <c r="I584" t="s">
        <v>1598</v>
      </c>
      <c r="J584" t="s">
        <v>1463</v>
      </c>
    </row>
    <row r="585" spans="1:10">
      <c r="A585" t="s">
        <v>1457</v>
      </c>
      <c r="B585" t="s">
        <v>1599</v>
      </c>
      <c r="C585" t="s">
        <v>86</v>
      </c>
      <c r="D585" t="s">
        <v>55</v>
      </c>
      <c r="E585" t="s">
        <v>1600</v>
      </c>
      <c r="F585">
        <f>HYPERLINK("http://clipc-services.ceda.ac.uk/dreq/u/590d9f1c-9e49-11e5-803c-0d0b866b59f3.html","web")</f>
        <v>0</v>
      </c>
      <c r="G585" t="s">
        <v>256</v>
      </c>
      <c r="H585" t="s">
        <v>257</v>
      </c>
      <c r="I585" t="s">
        <v>1601</v>
      </c>
      <c r="J585" t="s">
        <v>1463</v>
      </c>
    </row>
    <row r="586" spans="1:10">
      <c r="A586" t="s">
        <v>1457</v>
      </c>
      <c r="B586" t="s">
        <v>1602</v>
      </c>
      <c r="C586" t="s">
        <v>86</v>
      </c>
      <c r="D586" t="s">
        <v>55</v>
      </c>
      <c r="E586" t="s">
        <v>1603</v>
      </c>
      <c r="F586">
        <f>HYPERLINK("http://clipc-services.ceda.ac.uk/dreq/u/591324be-9e49-11e5-803c-0d0b866b59f3.html","web")</f>
        <v>0</v>
      </c>
      <c r="G586" t="s">
        <v>256</v>
      </c>
      <c r="H586" t="s">
        <v>257</v>
      </c>
      <c r="I586" t="s">
        <v>1474</v>
      </c>
      <c r="J586" t="s">
        <v>1463</v>
      </c>
    </row>
    <row r="587" spans="1:10">
      <c r="A587" t="s">
        <v>1457</v>
      </c>
      <c r="B587" t="s">
        <v>1604</v>
      </c>
      <c r="C587" t="s">
        <v>86</v>
      </c>
      <c r="D587" t="s">
        <v>55</v>
      </c>
      <c r="E587" t="s">
        <v>1605</v>
      </c>
      <c r="F587">
        <f>HYPERLINK("http://clipc-services.ceda.ac.uk/dreq/u/591397be-9e49-11e5-803c-0d0b866b59f3.html","web")</f>
        <v>0</v>
      </c>
      <c r="G587" t="s">
        <v>256</v>
      </c>
      <c r="H587" t="s">
        <v>257</v>
      </c>
      <c r="J587" t="s">
        <v>1463</v>
      </c>
    </row>
    <row r="588" spans="1:10">
      <c r="A588" t="s">
        <v>1457</v>
      </c>
      <c r="B588" t="s">
        <v>1606</v>
      </c>
      <c r="C588" t="s">
        <v>86</v>
      </c>
      <c r="D588" t="s">
        <v>55</v>
      </c>
      <c r="E588" t="s">
        <v>1607</v>
      </c>
      <c r="F588">
        <f>HYPERLINK("http://clipc-services.ceda.ac.uk/dreq/u/59128f0e-9e49-11e5-803c-0d0b866b59f3.html","web")</f>
        <v>0</v>
      </c>
      <c r="G588" t="s">
        <v>256</v>
      </c>
      <c r="H588" t="s">
        <v>257</v>
      </c>
      <c r="I588" t="s">
        <v>1545</v>
      </c>
      <c r="J588" t="s">
        <v>1463</v>
      </c>
    </row>
    <row r="589" spans="1:10">
      <c r="A589" t="s">
        <v>1457</v>
      </c>
      <c r="B589" t="s">
        <v>1608</v>
      </c>
      <c r="C589" t="s">
        <v>86</v>
      </c>
      <c r="D589" t="s">
        <v>55</v>
      </c>
      <c r="E589" t="s">
        <v>1609</v>
      </c>
      <c r="F589">
        <f>HYPERLINK("http://clipc-services.ceda.ac.uk/dreq/u/59136dfc-9e49-11e5-803c-0d0b866b59f3.html","web")</f>
        <v>0</v>
      </c>
      <c r="G589" t="s">
        <v>256</v>
      </c>
      <c r="H589" t="s">
        <v>257</v>
      </c>
      <c r="I589" t="s">
        <v>1610</v>
      </c>
      <c r="J589" t="s">
        <v>1463</v>
      </c>
    </row>
    <row r="590" spans="1:10">
      <c r="A590" t="s">
        <v>1457</v>
      </c>
      <c r="B590" t="s">
        <v>1611</v>
      </c>
      <c r="C590" t="s">
        <v>86</v>
      </c>
      <c r="D590" t="s">
        <v>55</v>
      </c>
      <c r="E590" t="s">
        <v>1612</v>
      </c>
      <c r="F590">
        <f>HYPERLINK("http://clipc-services.ceda.ac.uk/dreq/u/5917cc94-9e49-11e5-803c-0d0b866b59f3.html","web")</f>
        <v>0</v>
      </c>
      <c r="G590" t="s">
        <v>256</v>
      </c>
      <c r="H590" t="s">
        <v>257</v>
      </c>
      <c r="I590" t="s">
        <v>1548</v>
      </c>
      <c r="J590" t="s">
        <v>1463</v>
      </c>
    </row>
    <row r="591" spans="1:10">
      <c r="A591" t="s">
        <v>1457</v>
      </c>
      <c r="B591" t="s">
        <v>1613</v>
      </c>
      <c r="C591" t="s">
        <v>86</v>
      </c>
      <c r="D591" t="s">
        <v>55</v>
      </c>
      <c r="E591" t="s">
        <v>1614</v>
      </c>
      <c r="F591">
        <f>HYPERLINK("http://clipc-services.ceda.ac.uk/dreq/u/5914de26-9e49-11e5-803c-0d0b866b59f3.html","web")</f>
        <v>0</v>
      </c>
      <c r="G591" t="s">
        <v>256</v>
      </c>
      <c r="H591" t="s">
        <v>257</v>
      </c>
      <c r="J591" t="s">
        <v>1463</v>
      </c>
    </row>
    <row r="592" spans="1:10">
      <c r="A592" t="s">
        <v>1457</v>
      </c>
      <c r="B592" t="s">
        <v>1615</v>
      </c>
      <c r="C592" t="s">
        <v>86</v>
      </c>
      <c r="D592" t="s">
        <v>55</v>
      </c>
      <c r="E592" t="s">
        <v>1616</v>
      </c>
      <c r="F592">
        <f>HYPERLINK("http://clipc-services.ceda.ac.uk/dreq/u/71c982aa-b8ab-11e6-97ab-ac72891c3257.html","web")</f>
        <v>0</v>
      </c>
      <c r="G592" t="s">
        <v>256</v>
      </c>
      <c r="H592" t="s">
        <v>257</v>
      </c>
      <c r="J592" t="s">
        <v>1463</v>
      </c>
    </row>
    <row r="593" spans="1:10">
      <c r="A593" t="s">
        <v>1457</v>
      </c>
      <c r="B593" t="s">
        <v>1617</v>
      </c>
      <c r="C593" t="s">
        <v>86</v>
      </c>
      <c r="D593" t="s">
        <v>55</v>
      </c>
      <c r="E593" t="s">
        <v>1618</v>
      </c>
      <c r="F593">
        <f>HYPERLINK("http://clipc-services.ceda.ac.uk/dreq/u/71c9768e-b8ab-11e6-97ab-ac72891c3257.html","web")</f>
        <v>0</v>
      </c>
      <c r="G593" t="s">
        <v>256</v>
      </c>
      <c r="H593" t="s">
        <v>257</v>
      </c>
      <c r="J593" t="s">
        <v>1463</v>
      </c>
    </row>
    <row r="594" spans="1:10">
      <c r="A594" t="s">
        <v>1457</v>
      </c>
      <c r="B594" t="s">
        <v>1619</v>
      </c>
      <c r="C594" t="s">
        <v>86</v>
      </c>
      <c r="D594" t="s">
        <v>55</v>
      </c>
      <c r="E594" t="s">
        <v>1620</v>
      </c>
      <c r="F594">
        <f>HYPERLINK("http://clipc-services.ceda.ac.uk/dreq/u/59151012-9e49-11e5-803c-0d0b866b59f3.html","web")</f>
        <v>0</v>
      </c>
      <c r="G594" t="s">
        <v>256</v>
      </c>
      <c r="H594" t="s">
        <v>257</v>
      </c>
      <c r="I594" t="s">
        <v>1621</v>
      </c>
      <c r="J594" t="s">
        <v>1463</v>
      </c>
    </row>
    <row r="595" spans="1:10">
      <c r="A595" t="s">
        <v>1457</v>
      </c>
      <c r="B595" t="s">
        <v>1622</v>
      </c>
      <c r="C595" t="s">
        <v>86</v>
      </c>
      <c r="D595" t="s">
        <v>55</v>
      </c>
      <c r="E595" t="s">
        <v>1623</v>
      </c>
      <c r="F595">
        <f>HYPERLINK("http://clipc-services.ceda.ac.uk/dreq/u/59129468-9e49-11e5-803c-0d0b866b59f3.html","web")</f>
        <v>0</v>
      </c>
      <c r="G595" t="s">
        <v>256</v>
      </c>
      <c r="H595" t="s">
        <v>257</v>
      </c>
      <c r="I595" t="s">
        <v>1624</v>
      </c>
      <c r="J595" t="s">
        <v>1463</v>
      </c>
    </row>
    <row r="596" spans="1:10">
      <c r="A596" t="s">
        <v>1457</v>
      </c>
      <c r="B596" t="s">
        <v>1625</v>
      </c>
      <c r="C596" t="s">
        <v>12</v>
      </c>
      <c r="D596" t="s">
        <v>55</v>
      </c>
      <c r="E596" t="s">
        <v>1626</v>
      </c>
      <c r="F596">
        <f>HYPERLINK("http://clipc-services.ceda.ac.uk/dreq/u/591514ea-9e49-11e5-803c-0d0b866b59f3.html","web")</f>
        <v>0</v>
      </c>
      <c r="G596" t="s">
        <v>256</v>
      </c>
      <c r="H596" t="s">
        <v>257</v>
      </c>
      <c r="J596" t="s">
        <v>1481</v>
      </c>
    </row>
    <row r="597" spans="1:10">
      <c r="A597" t="s">
        <v>1457</v>
      </c>
      <c r="B597" t="s">
        <v>1627</v>
      </c>
      <c r="C597" t="s">
        <v>86</v>
      </c>
      <c r="D597" t="s">
        <v>55</v>
      </c>
      <c r="E597" t="s">
        <v>1628</v>
      </c>
      <c r="F597">
        <f>HYPERLINK("http://clipc-services.ceda.ac.uk/dreq/u/59174d14-9e49-11e5-803c-0d0b866b59f3.html","web")</f>
        <v>0</v>
      </c>
      <c r="G597" t="s">
        <v>256</v>
      </c>
      <c r="H597" t="s">
        <v>257</v>
      </c>
      <c r="J597" t="s">
        <v>1463</v>
      </c>
    </row>
    <row r="598" spans="1:10">
      <c r="A598" t="s">
        <v>1457</v>
      </c>
      <c r="B598" t="s">
        <v>1629</v>
      </c>
      <c r="C598" t="s">
        <v>86</v>
      </c>
      <c r="D598" t="s">
        <v>55</v>
      </c>
      <c r="E598" t="s">
        <v>1630</v>
      </c>
      <c r="F598">
        <f>HYPERLINK("http://clipc-services.ceda.ac.uk/dreq/u/5913e156-9e49-11e5-803c-0d0b866b59f3.html","web")</f>
        <v>0</v>
      </c>
      <c r="G598" t="s">
        <v>256</v>
      </c>
      <c r="H598" t="s">
        <v>257</v>
      </c>
      <c r="J598" t="s">
        <v>1463</v>
      </c>
    </row>
    <row r="599" spans="1:10">
      <c r="A599" t="s">
        <v>1457</v>
      </c>
      <c r="B599" t="s">
        <v>94</v>
      </c>
      <c r="C599" t="s">
        <v>86</v>
      </c>
      <c r="D599" t="s">
        <v>55</v>
      </c>
      <c r="E599" t="s">
        <v>95</v>
      </c>
      <c r="F599">
        <f>HYPERLINK("http://clipc-services.ceda.ac.uk/dreq/u/180d4bd9a18a9d5ecf3d45690b8e9c75.html","web")</f>
        <v>0</v>
      </c>
      <c r="G599" t="s">
        <v>57</v>
      </c>
      <c r="H599" t="s">
        <v>58</v>
      </c>
      <c r="I599" t="s">
        <v>96</v>
      </c>
      <c r="J599" t="s">
        <v>1631</v>
      </c>
    </row>
    <row r="600" spans="1:10">
      <c r="A600" t="s">
        <v>1457</v>
      </c>
      <c r="B600" t="s">
        <v>1632</v>
      </c>
      <c r="C600" t="s">
        <v>12</v>
      </c>
      <c r="D600" t="s">
        <v>55</v>
      </c>
      <c r="E600" t="s">
        <v>1633</v>
      </c>
      <c r="F600">
        <f>HYPERLINK("http://clipc-services.ceda.ac.uk/dreq/u/59152142-9e49-11e5-803c-0d0b866b59f3.html","web")</f>
        <v>0</v>
      </c>
      <c r="G600" t="s">
        <v>1634</v>
      </c>
      <c r="H600" t="s">
        <v>257</v>
      </c>
      <c r="I600" t="s">
        <v>1635</v>
      </c>
      <c r="J600" t="s">
        <v>1636</v>
      </c>
    </row>
    <row r="601" spans="1:10">
      <c r="A601" t="s">
        <v>1457</v>
      </c>
      <c r="B601" t="s">
        <v>1637</v>
      </c>
      <c r="C601" t="s">
        <v>12</v>
      </c>
      <c r="D601" t="s">
        <v>1638</v>
      </c>
      <c r="E601" t="s">
        <v>1639</v>
      </c>
      <c r="F601">
        <f>HYPERLINK("http://clipc-services.ceda.ac.uk/dreq/u/590d2b9a-9e49-11e5-803c-0d0b866b59f3.html","web")</f>
        <v>0</v>
      </c>
      <c r="G601" t="s">
        <v>57</v>
      </c>
      <c r="H601" t="s">
        <v>58</v>
      </c>
      <c r="I601" t="s">
        <v>1640</v>
      </c>
      <c r="J601" t="s">
        <v>259</v>
      </c>
    </row>
    <row r="602" spans="1:10">
      <c r="A602" t="s">
        <v>1457</v>
      </c>
      <c r="B602" t="s">
        <v>1641</v>
      </c>
      <c r="C602" t="s">
        <v>12</v>
      </c>
      <c r="D602" t="s">
        <v>1642</v>
      </c>
      <c r="E602" t="s">
        <v>1643</v>
      </c>
      <c r="F602">
        <f>HYPERLINK("http://clipc-services.ceda.ac.uk/dreq/u/590eda94-9e49-11e5-803c-0d0b866b59f3.html","web")</f>
        <v>0</v>
      </c>
      <c r="G602" t="s">
        <v>57</v>
      </c>
      <c r="H602" t="s">
        <v>58</v>
      </c>
      <c r="I602" t="s">
        <v>1644</v>
      </c>
      <c r="J602" t="s">
        <v>259</v>
      </c>
    </row>
    <row r="603" spans="1:10">
      <c r="A603" t="s">
        <v>1457</v>
      </c>
      <c r="B603" t="s">
        <v>1645</v>
      </c>
      <c r="C603" t="s">
        <v>12</v>
      </c>
      <c r="D603" t="s">
        <v>1646</v>
      </c>
      <c r="E603" t="s">
        <v>1647</v>
      </c>
      <c r="F603">
        <f>HYPERLINK("http://clipc-services.ceda.ac.uk/dreq/u/59130bf0-9e49-11e5-803c-0d0b866b59f3.html","web")</f>
        <v>0</v>
      </c>
      <c r="G603" t="s">
        <v>57</v>
      </c>
      <c r="H603" t="s">
        <v>58</v>
      </c>
      <c r="I603" t="s">
        <v>1648</v>
      </c>
      <c r="J603" t="s">
        <v>259</v>
      </c>
    </row>
    <row r="604" spans="1:10">
      <c r="A604" t="s">
        <v>1457</v>
      </c>
      <c r="B604" t="s">
        <v>101</v>
      </c>
      <c r="C604" t="s">
        <v>86</v>
      </c>
      <c r="D604" t="s">
        <v>87</v>
      </c>
      <c r="E604" t="s">
        <v>102</v>
      </c>
      <c r="F604">
        <f>HYPERLINK("http://clipc-services.ceda.ac.uk/dreq/u/c4c0cce59536f11df06a045fa8d0c091.html","web")</f>
        <v>0</v>
      </c>
      <c r="G604" t="s">
        <v>57</v>
      </c>
      <c r="H604" t="s">
        <v>58</v>
      </c>
      <c r="I604" t="s">
        <v>103</v>
      </c>
      <c r="J604" t="s">
        <v>1649</v>
      </c>
    </row>
    <row r="605" spans="1:10">
      <c r="A605" t="s">
        <v>1457</v>
      </c>
      <c r="B605" t="s">
        <v>105</v>
      </c>
      <c r="C605" t="s">
        <v>86</v>
      </c>
      <c r="D605" t="s">
        <v>87</v>
      </c>
      <c r="E605" t="s">
        <v>106</v>
      </c>
      <c r="F605">
        <f>HYPERLINK("http://clipc-services.ceda.ac.uk/dreq/u/479c5de8-12cc-11e6-b2bc-ac72891c3257.html","web")</f>
        <v>0</v>
      </c>
      <c r="G605" t="s">
        <v>57</v>
      </c>
      <c r="H605" t="s">
        <v>58</v>
      </c>
      <c r="I605" t="s">
        <v>107</v>
      </c>
      <c r="J605" t="s">
        <v>1649</v>
      </c>
    </row>
    <row r="606" spans="1:10">
      <c r="A606" t="s">
        <v>1457</v>
      </c>
      <c r="B606" t="s">
        <v>108</v>
      </c>
      <c r="C606" t="s">
        <v>86</v>
      </c>
      <c r="D606" t="s">
        <v>87</v>
      </c>
      <c r="E606" t="s">
        <v>109</v>
      </c>
      <c r="F606">
        <f>HYPERLINK("http://clipc-services.ceda.ac.uk/dreq/u/c172481027367670eaf1e53fb8d2e841.html","web")</f>
        <v>0</v>
      </c>
      <c r="G606" t="s">
        <v>57</v>
      </c>
      <c r="H606" t="s">
        <v>58</v>
      </c>
      <c r="I606" t="s">
        <v>110</v>
      </c>
      <c r="J606" t="s">
        <v>1649</v>
      </c>
    </row>
    <row r="607" spans="1:10">
      <c r="A607" t="s">
        <v>1457</v>
      </c>
      <c r="B607" t="s">
        <v>111</v>
      </c>
      <c r="C607" t="s">
        <v>86</v>
      </c>
      <c r="D607" t="s">
        <v>87</v>
      </c>
      <c r="E607" t="s">
        <v>112</v>
      </c>
      <c r="F607">
        <f>HYPERLINK("http://clipc-services.ceda.ac.uk/dreq/u/7c5c71f969a6318b3fa5ff2875272caf.html","web")</f>
        <v>0</v>
      </c>
      <c r="G607" t="s">
        <v>57</v>
      </c>
      <c r="H607" t="s">
        <v>58</v>
      </c>
      <c r="I607" t="s">
        <v>113</v>
      </c>
      <c r="J607" t="s">
        <v>1649</v>
      </c>
    </row>
    <row r="608" spans="1:10">
      <c r="A608" t="s">
        <v>1457</v>
      </c>
      <c r="B608" t="s">
        <v>114</v>
      </c>
      <c r="C608" t="s">
        <v>86</v>
      </c>
      <c r="D608" t="s">
        <v>87</v>
      </c>
      <c r="E608" t="s">
        <v>115</v>
      </c>
      <c r="F608">
        <f>HYPERLINK("http://clipc-services.ceda.ac.uk/dreq/u/c4b3f6005f73f2fc2d0e348fdff3c2bc.html","web")</f>
        <v>0</v>
      </c>
      <c r="G608" t="s">
        <v>57</v>
      </c>
      <c r="H608" t="s">
        <v>58</v>
      </c>
      <c r="I608" t="s">
        <v>116</v>
      </c>
      <c r="J608" t="s">
        <v>1649</v>
      </c>
    </row>
    <row r="609" spans="1:10">
      <c r="A609" t="s">
        <v>1457</v>
      </c>
      <c r="B609" t="s">
        <v>117</v>
      </c>
      <c r="C609" t="s">
        <v>86</v>
      </c>
      <c r="D609" t="s">
        <v>87</v>
      </c>
      <c r="E609" t="s">
        <v>118</v>
      </c>
      <c r="F609">
        <f>HYPERLINK("http://clipc-services.ceda.ac.uk/dreq/u/14d70240caeb3a95922af16eca2d497b.html","web")</f>
        <v>0</v>
      </c>
      <c r="G609" t="s">
        <v>57</v>
      </c>
      <c r="H609" t="s">
        <v>58</v>
      </c>
      <c r="I609" t="s">
        <v>119</v>
      </c>
      <c r="J609" t="s">
        <v>1649</v>
      </c>
    </row>
    <row r="610" spans="1:10">
      <c r="A610" t="s">
        <v>1457</v>
      </c>
      <c r="B610" t="s">
        <v>120</v>
      </c>
      <c r="C610" t="s">
        <v>86</v>
      </c>
      <c r="D610" t="s">
        <v>87</v>
      </c>
      <c r="E610" t="s">
        <v>121</v>
      </c>
      <c r="F610">
        <f>HYPERLINK("http://clipc-services.ceda.ac.uk/dreq/u/4f1bd1a2-12cc-11e6-b2bc-ac72891c3257.html","web")</f>
        <v>0</v>
      </c>
      <c r="G610" t="s">
        <v>57</v>
      </c>
      <c r="H610" t="s">
        <v>58</v>
      </c>
      <c r="I610" t="s">
        <v>122</v>
      </c>
      <c r="J610" t="s">
        <v>1649</v>
      </c>
    </row>
    <row r="611" spans="1:10">
      <c r="A611" t="s">
        <v>1457</v>
      </c>
      <c r="B611" t="s">
        <v>123</v>
      </c>
      <c r="C611" t="s">
        <v>86</v>
      </c>
      <c r="D611" t="s">
        <v>87</v>
      </c>
      <c r="E611" t="s">
        <v>124</v>
      </c>
      <c r="F611">
        <f>HYPERLINK("http://clipc-services.ceda.ac.uk/dreq/u/f507e49404f47a6255539751483d8bdc.html","web")</f>
        <v>0</v>
      </c>
      <c r="G611" t="s">
        <v>57</v>
      </c>
      <c r="H611" t="s">
        <v>58</v>
      </c>
      <c r="I611" t="s">
        <v>125</v>
      </c>
      <c r="J611" t="s">
        <v>1649</v>
      </c>
    </row>
    <row r="612" spans="1:10">
      <c r="A612" t="s">
        <v>1457</v>
      </c>
      <c r="B612" t="s">
        <v>126</v>
      </c>
      <c r="C612" t="s">
        <v>86</v>
      </c>
      <c r="D612" t="s">
        <v>87</v>
      </c>
      <c r="E612" t="s">
        <v>127</v>
      </c>
      <c r="F612">
        <f>HYPERLINK("http://clipc-services.ceda.ac.uk/dreq/u/02e08dbdee260db0debd5685cb62934f.html","web")</f>
        <v>0</v>
      </c>
      <c r="G612" t="s">
        <v>57</v>
      </c>
      <c r="H612" t="s">
        <v>58</v>
      </c>
      <c r="I612" t="s">
        <v>128</v>
      </c>
      <c r="J612" t="s">
        <v>1649</v>
      </c>
    </row>
    <row r="613" spans="1:10">
      <c r="A613" t="s">
        <v>1457</v>
      </c>
      <c r="B613" t="s">
        <v>129</v>
      </c>
      <c r="C613" t="s">
        <v>86</v>
      </c>
      <c r="D613" t="s">
        <v>87</v>
      </c>
      <c r="E613" t="s">
        <v>130</v>
      </c>
      <c r="F613">
        <f>HYPERLINK("http://clipc-services.ceda.ac.uk/dreq/u/a41ce7d71eb9622c88b8f18438cbe36c.html","web")</f>
        <v>0</v>
      </c>
      <c r="G613" t="s">
        <v>57</v>
      </c>
      <c r="H613" t="s">
        <v>58</v>
      </c>
      <c r="I613" t="s">
        <v>131</v>
      </c>
      <c r="J613" t="s">
        <v>1649</v>
      </c>
    </row>
    <row r="614" spans="1:10">
      <c r="A614" t="s">
        <v>1457</v>
      </c>
      <c r="B614" t="s">
        <v>71</v>
      </c>
      <c r="C614" t="s">
        <v>12</v>
      </c>
      <c r="D614" t="s">
        <v>72</v>
      </c>
      <c r="E614" t="s">
        <v>73</v>
      </c>
      <c r="F614">
        <f>HYPERLINK("http://clipc-services.ceda.ac.uk/dreq/u/be9cffbb781e32b0bc311b22fa5c0322.html","web")</f>
        <v>0</v>
      </c>
      <c r="G614" t="s">
        <v>74</v>
      </c>
      <c r="H614" t="s">
        <v>75</v>
      </c>
      <c r="I614" t="s">
        <v>76</v>
      </c>
      <c r="J614" t="s">
        <v>1650</v>
      </c>
    </row>
    <row r="615" spans="1:10">
      <c r="A615" t="s">
        <v>1457</v>
      </c>
      <c r="B615" t="s">
        <v>1651</v>
      </c>
      <c r="C615" t="s">
        <v>12</v>
      </c>
      <c r="D615" t="s">
        <v>55</v>
      </c>
      <c r="E615" t="s">
        <v>1652</v>
      </c>
      <c r="F615">
        <f>HYPERLINK("http://clipc-services.ceda.ac.uk/dreq/u/59177dc0-9e49-11e5-803c-0d0b866b59f3.html","web")</f>
        <v>0</v>
      </c>
      <c r="G615" t="s">
        <v>1653</v>
      </c>
      <c r="H615" t="s">
        <v>50</v>
      </c>
      <c r="I615" t="s">
        <v>1654</v>
      </c>
      <c r="J615" t="s">
        <v>1333</v>
      </c>
    </row>
    <row r="616" spans="1:10">
      <c r="A616" t="s">
        <v>1457</v>
      </c>
      <c r="B616" t="s">
        <v>1655</v>
      </c>
      <c r="C616" t="s">
        <v>12</v>
      </c>
      <c r="D616" t="s">
        <v>55</v>
      </c>
      <c r="E616" t="s">
        <v>1656</v>
      </c>
      <c r="F616">
        <f>HYPERLINK("http://clipc-services.ceda.ac.uk/dreq/u/591306a0-9e49-11e5-803c-0d0b866b59f3.html","web")</f>
        <v>0</v>
      </c>
      <c r="G616" t="s">
        <v>1657</v>
      </c>
      <c r="H616" t="s">
        <v>50</v>
      </c>
      <c r="I616" t="s">
        <v>1658</v>
      </c>
      <c r="J616" t="s">
        <v>1333</v>
      </c>
    </row>
    <row r="617" spans="1:10">
      <c r="A617" t="s">
        <v>1457</v>
      </c>
      <c r="B617" t="s">
        <v>1659</v>
      </c>
      <c r="C617" t="s">
        <v>12</v>
      </c>
      <c r="D617" t="s">
        <v>55</v>
      </c>
      <c r="E617" t="s">
        <v>1660</v>
      </c>
      <c r="F617">
        <f>HYPERLINK("http://clipc-services.ceda.ac.uk/dreq/u/591505ae-9e49-11e5-803c-0d0b866b59f3.html","web")</f>
        <v>0</v>
      </c>
      <c r="G617" t="s">
        <v>57</v>
      </c>
      <c r="H617" t="s">
        <v>58</v>
      </c>
      <c r="I617" t="s">
        <v>1661</v>
      </c>
      <c r="J617" t="s">
        <v>18</v>
      </c>
    </row>
    <row r="618" spans="1:10">
      <c r="A618" t="s">
        <v>1457</v>
      </c>
      <c r="B618" t="s">
        <v>1662</v>
      </c>
      <c r="C618" t="s">
        <v>12</v>
      </c>
      <c r="D618" t="s">
        <v>55</v>
      </c>
      <c r="E618" t="s">
        <v>1663</v>
      </c>
      <c r="F618">
        <f>HYPERLINK("http://clipc-services.ceda.ac.uk/dreq/u/b71c89e6003d19738e44474eaacf8ef0.html","web")</f>
        <v>0</v>
      </c>
      <c r="G618" t="s">
        <v>1634</v>
      </c>
      <c r="H618" t="s">
        <v>257</v>
      </c>
      <c r="I618" t="s">
        <v>1664</v>
      </c>
      <c r="J618" t="s">
        <v>1665</v>
      </c>
    </row>
    <row r="619" spans="1:10">
      <c r="A619" t="s">
        <v>1457</v>
      </c>
      <c r="B619" t="s">
        <v>1666</v>
      </c>
      <c r="C619" t="s">
        <v>12</v>
      </c>
      <c r="D619" t="s">
        <v>55</v>
      </c>
      <c r="E619" t="s">
        <v>1667</v>
      </c>
      <c r="F619">
        <f>HYPERLINK("http://clipc-services.ceda.ac.uk/dreq/u/2191e3410c3a2beedfec222f81f028b6.html","web")</f>
        <v>0</v>
      </c>
      <c r="G619" t="s">
        <v>256</v>
      </c>
      <c r="H619" t="s">
        <v>257</v>
      </c>
      <c r="I619" t="s">
        <v>1668</v>
      </c>
      <c r="J619" t="s">
        <v>1665</v>
      </c>
    </row>
    <row r="620" spans="1:10">
      <c r="A620" t="s">
        <v>1457</v>
      </c>
      <c r="B620" t="s">
        <v>1669</v>
      </c>
      <c r="C620" t="s">
        <v>86</v>
      </c>
      <c r="D620" t="s">
        <v>55</v>
      </c>
      <c r="E620" t="s">
        <v>1670</v>
      </c>
      <c r="F620">
        <f>HYPERLINK("http://clipc-services.ceda.ac.uk/dreq/u/64d818a9a2f9e72570449c024070950e.html","web")</f>
        <v>0</v>
      </c>
      <c r="G620" t="s">
        <v>256</v>
      </c>
      <c r="H620" t="s">
        <v>257</v>
      </c>
      <c r="I620" t="s">
        <v>1671</v>
      </c>
      <c r="J620" t="s">
        <v>1665</v>
      </c>
    </row>
    <row r="621" spans="1:10">
      <c r="A621" t="s">
        <v>1457</v>
      </c>
      <c r="B621" t="s">
        <v>1672</v>
      </c>
      <c r="C621" t="s">
        <v>12</v>
      </c>
      <c r="D621" t="s">
        <v>310</v>
      </c>
      <c r="E621" t="s">
        <v>1673</v>
      </c>
      <c r="F621">
        <f>HYPERLINK("http://clipc-services.ceda.ac.uk/dreq/u/590a8976-9e49-11e5-803c-0d0b866b59f3.html","web")</f>
        <v>0</v>
      </c>
      <c r="G621" t="s">
        <v>256</v>
      </c>
      <c r="H621" t="s">
        <v>257</v>
      </c>
      <c r="I621" t="s">
        <v>1674</v>
      </c>
      <c r="J621" t="s">
        <v>289</v>
      </c>
    </row>
    <row r="622" spans="1:10">
      <c r="A622" t="s">
        <v>1457</v>
      </c>
      <c r="B622" t="s">
        <v>1675</v>
      </c>
      <c r="C622" t="s">
        <v>12</v>
      </c>
      <c r="D622" t="s">
        <v>310</v>
      </c>
      <c r="E622" t="s">
        <v>1676</v>
      </c>
      <c r="F622">
        <f>HYPERLINK("http://clipc-services.ceda.ac.uk/dreq/u/59140726-9e49-11e5-803c-0d0b866b59f3.html","web")</f>
        <v>0</v>
      </c>
      <c r="G622" t="s">
        <v>256</v>
      </c>
      <c r="H622" t="s">
        <v>257</v>
      </c>
      <c r="I622" t="s">
        <v>1677</v>
      </c>
      <c r="J622" t="s">
        <v>289</v>
      </c>
    </row>
    <row r="623" spans="1:10">
      <c r="A623" t="s">
        <v>1457</v>
      </c>
      <c r="B623" t="s">
        <v>1678</v>
      </c>
      <c r="C623" t="s">
        <v>12</v>
      </c>
      <c r="D623" t="s">
        <v>310</v>
      </c>
      <c r="E623" t="s">
        <v>1679</v>
      </c>
      <c r="F623">
        <f>HYPERLINK("http://clipc-services.ceda.ac.uk/dreq/u/59148a84-9e49-11e5-803c-0d0b866b59f3.html","web")</f>
        <v>0</v>
      </c>
      <c r="G623" t="s">
        <v>256</v>
      </c>
      <c r="H623" t="s">
        <v>257</v>
      </c>
      <c r="I623" t="s">
        <v>1680</v>
      </c>
      <c r="J623" t="s">
        <v>289</v>
      </c>
    </row>
    <row r="624" spans="1:10">
      <c r="A624" t="s">
        <v>1457</v>
      </c>
      <c r="B624" t="s">
        <v>1681</v>
      </c>
      <c r="C624" t="s">
        <v>12</v>
      </c>
      <c r="D624" t="s">
        <v>310</v>
      </c>
      <c r="E624" t="s">
        <v>1682</v>
      </c>
      <c r="F624">
        <f>HYPERLINK("http://clipc-services.ceda.ac.uk/dreq/u/59148f52-9e49-11e5-803c-0d0b866b59f3.html","web")</f>
        <v>0</v>
      </c>
      <c r="G624" t="s">
        <v>256</v>
      </c>
      <c r="H624" t="s">
        <v>257</v>
      </c>
      <c r="I624" t="s">
        <v>1683</v>
      </c>
      <c r="J624" t="s">
        <v>289</v>
      </c>
    </row>
    <row r="625" spans="1:10">
      <c r="A625" t="s">
        <v>1457</v>
      </c>
      <c r="B625" t="s">
        <v>1684</v>
      </c>
      <c r="C625" t="s">
        <v>12</v>
      </c>
      <c r="D625" t="s">
        <v>310</v>
      </c>
      <c r="E625" t="s">
        <v>1685</v>
      </c>
      <c r="F625">
        <f>HYPERLINK("http://clipc-services.ceda.ac.uk/dreq/u/5912a174-9e49-11e5-803c-0d0b866b59f3.html","web")</f>
        <v>0</v>
      </c>
      <c r="G625" t="s">
        <v>256</v>
      </c>
      <c r="H625" t="s">
        <v>257</v>
      </c>
      <c r="I625" t="s">
        <v>1686</v>
      </c>
      <c r="J625" t="s">
        <v>289</v>
      </c>
    </row>
    <row r="626" spans="1:10">
      <c r="A626" t="s">
        <v>1457</v>
      </c>
      <c r="B626" t="s">
        <v>1687</v>
      </c>
      <c r="C626" t="s">
        <v>12</v>
      </c>
      <c r="D626" t="s">
        <v>310</v>
      </c>
      <c r="E626" t="s">
        <v>1688</v>
      </c>
      <c r="F626">
        <f>HYPERLINK("http://clipc-services.ceda.ac.uk/dreq/u/590ed0a8-9e49-11e5-803c-0d0b866b59f3.html","web")</f>
        <v>0</v>
      </c>
      <c r="G626" t="s">
        <v>256</v>
      </c>
      <c r="H626" t="s">
        <v>257</v>
      </c>
      <c r="I626" t="s">
        <v>1689</v>
      </c>
      <c r="J626" t="s">
        <v>289</v>
      </c>
    </row>
    <row r="627" spans="1:10">
      <c r="A627" t="s">
        <v>1457</v>
      </c>
      <c r="B627" t="s">
        <v>1690</v>
      </c>
      <c r="C627" t="s">
        <v>12</v>
      </c>
      <c r="D627" t="s">
        <v>1691</v>
      </c>
      <c r="E627" t="s">
        <v>1692</v>
      </c>
      <c r="F627">
        <f>HYPERLINK("http://clipc-services.ceda.ac.uk/dreq/u/59170110-9e49-11e5-803c-0d0b866b59f3.html","web")</f>
        <v>0</v>
      </c>
      <c r="G627" t="s">
        <v>256</v>
      </c>
      <c r="H627" t="s">
        <v>257</v>
      </c>
      <c r="I627" t="s">
        <v>1693</v>
      </c>
      <c r="J627" t="s">
        <v>289</v>
      </c>
    </row>
    <row r="628" spans="1:10">
      <c r="A628" t="s">
        <v>1457</v>
      </c>
      <c r="B628" t="s">
        <v>1694</v>
      </c>
      <c r="C628" t="s">
        <v>12</v>
      </c>
      <c r="D628" t="s">
        <v>310</v>
      </c>
      <c r="E628" t="s">
        <v>1695</v>
      </c>
      <c r="F628">
        <f>HYPERLINK("http://clipc-services.ceda.ac.uk/dreq/u/590f8d36-9e49-11e5-803c-0d0b866b59f3.html","web")</f>
        <v>0</v>
      </c>
      <c r="G628" t="s">
        <v>256</v>
      </c>
      <c r="H628" t="s">
        <v>257</v>
      </c>
      <c r="I628" t="s">
        <v>1696</v>
      </c>
      <c r="J628" t="s">
        <v>289</v>
      </c>
    </row>
    <row r="629" spans="1:10">
      <c r="A629" t="s">
        <v>1457</v>
      </c>
      <c r="B629" t="s">
        <v>1697</v>
      </c>
      <c r="C629" t="s">
        <v>12</v>
      </c>
      <c r="D629" t="s">
        <v>1698</v>
      </c>
      <c r="E629" t="s">
        <v>1699</v>
      </c>
      <c r="F629">
        <f>HYPERLINK("http://clipc-services.ceda.ac.uk/dreq/u/590f983a-9e49-11e5-803c-0d0b866b59f3.html","web")</f>
        <v>0</v>
      </c>
      <c r="G629" t="s">
        <v>256</v>
      </c>
      <c r="H629" t="s">
        <v>257</v>
      </c>
      <c r="I629" t="s">
        <v>1700</v>
      </c>
      <c r="J629" t="s">
        <v>289</v>
      </c>
    </row>
    <row r="630" spans="1:10">
      <c r="A630" t="s">
        <v>1457</v>
      </c>
      <c r="B630" t="s">
        <v>1701</v>
      </c>
      <c r="C630" t="s">
        <v>12</v>
      </c>
      <c r="D630" t="s">
        <v>310</v>
      </c>
      <c r="E630" t="s">
        <v>1702</v>
      </c>
      <c r="F630">
        <f>HYPERLINK("http://clipc-services.ceda.ac.uk/dreq/u/5913bc80-9e49-11e5-803c-0d0b866b59f3.html","web")</f>
        <v>0</v>
      </c>
      <c r="G630" t="s">
        <v>256</v>
      </c>
      <c r="H630" t="s">
        <v>257</v>
      </c>
      <c r="I630" t="s">
        <v>1703</v>
      </c>
      <c r="J630" t="s">
        <v>289</v>
      </c>
    </row>
    <row r="631" spans="1:10">
      <c r="A631" t="s">
        <v>1457</v>
      </c>
      <c r="B631" t="s">
        <v>1704</v>
      </c>
      <c r="C631" t="s">
        <v>12</v>
      </c>
      <c r="D631" t="s">
        <v>310</v>
      </c>
      <c r="E631" t="s">
        <v>1705</v>
      </c>
      <c r="F631">
        <f>HYPERLINK("http://clipc-services.ceda.ac.uk/dreq/u/590d606a-9e49-11e5-803c-0d0b866b59f3.html","web")</f>
        <v>0</v>
      </c>
      <c r="G631" t="s">
        <v>256</v>
      </c>
      <c r="H631" t="s">
        <v>257</v>
      </c>
      <c r="I631" t="s">
        <v>1706</v>
      </c>
      <c r="J631" t="s">
        <v>289</v>
      </c>
    </row>
    <row r="632" spans="1:10">
      <c r="A632" t="s">
        <v>1457</v>
      </c>
      <c r="B632" t="s">
        <v>1707</v>
      </c>
      <c r="C632" t="s">
        <v>12</v>
      </c>
      <c r="D632" t="s">
        <v>310</v>
      </c>
      <c r="E632" t="s">
        <v>1708</v>
      </c>
      <c r="F632">
        <f>HYPERLINK("http://clipc-services.ceda.ac.uk/dreq/u/3f305b94-b89b-11e6-be04-ac72891c3257.html","web")</f>
        <v>0</v>
      </c>
      <c r="G632" t="s">
        <v>256</v>
      </c>
      <c r="H632" t="s">
        <v>257</v>
      </c>
      <c r="J632" t="s">
        <v>289</v>
      </c>
    </row>
    <row r="633" spans="1:10">
      <c r="A633" t="s">
        <v>1457</v>
      </c>
      <c r="B633" t="s">
        <v>1709</v>
      </c>
      <c r="C633" t="s">
        <v>12</v>
      </c>
      <c r="D633" t="s">
        <v>310</v>
      </c>
      <c r="E633" t="s">
        <v>1710</v>
      </c>
      <c r="F633">
        <f>HYPERLINK("http://clipc-services.ceda.ac.uk/dreq/u/3f3074ee-b89b-11e6-be04-ac72891c3257.html","web")</f>
        <v>0</v>
      </c>
      <c r="G633" t="s">
        <v>256</v>
      </c>
      <c r="H633" t="s">
        <v>257</v>
      </c>
      <c r="I633" t="s">
        <v>1711</v>
      </c>
      <c r="J633" t="s">
        <v>289</v>
      </c>
    </row>
    <row r="634" spans="1:10">
      <c r="A634" t="s">
        <v>1457</v>
      </c>
      <c r="B634" t="s">
        <v>1712</v>
      </c>
      <c r="C634" t="s">
        <v>12</v>
      </c>
      <c r="D634" t="s">
        <v>310</v>
      </c>
      <c r="E634" t="s">
        <v>1713</v>
      </c>
      <c r="F634">
        <f>HYPERLINK("http://clipc-services.ceda.ac.uk/dreq/u/3f30714c-b89b-11e6-be04-ac72891c3257.html","web")</f>
        <v>0</v>
      </c>
      <c r="G634" t="s">
        <v>256</v>
      </c>
      <c r="H634" t="s">
        <v>257</v>
      </c>
      <c r="I634" t="s">
        <v>1714</v>
      </c>
      <c r="J634" t="s">
        <v>289</v>
      </c>
    </row>
    <row r="635" spans="1:10">
      <c r="A635" t="s">
        <v>1457</v>
      </c>
      <c r="B635" t="s">
        <v>1715</v>
      </c>
      <c r="C635" t="s">
        <v>12</v>
      </c>
      <c r="D635" t="s">
        <v>310</v>
      </c>
      <c r="E635" t="s">
        <v>1716</v>
      </c>
      <c r="F635">
        <f>HYPERLINK("http://clipc-services.ceda.ac.uk/dreq/u/3f3067e2-b89b-11e6-be04-ac72891c3257.html","web")</f>
        <v>0</v>
      </c>
      <c r="G635" t="s">
        <v>256</v>
      </c>
      <c r="H635" t="s">
        <v>257</v>
      </c>
      <c r="I635" t="s">
        <v>1717</v>
      </c>
      <c r="J635" t="s">
        <v>289</v>
      </c>
    </row>
    <row r="636" spans="1:10">
      <c r="A636" t="s">
        <v>1457</v>
      </c>
      <c r="B636" t="s">
        <v>1718</v>
      </c>
      <c r="C636" t="s">
        <v>12</v>
      </c>
      <c r="D636" t="s">
        <v>310</v>
      </c>
      <c r="E636" t="s">
        <v>1719</v>
      </c>
      <c r="F636">
        <f>HYPERLINK("http://clipc-services.ceda.ac.uk/dreq/u/3f3051c6-b89b-11e6-be04-ac72891c3257.html","web")</f>
        <v>0</v>
      </c>
      <c r="G636" t="s">
        <v>256</v>
      </c>
      <c r="H636" t="s">
        <v>257</v>
      </c>
      <c r="I636" t="s">
        <v>1720</v>
      </c>
      <c r="J636" t="s">
        <v>289</v>
      </c>
    </row>
    <row r="637" spans="1:10">
      <c r="A637" t="s">
        <v>1457</v>
      </c>
      <c r="B637" t="s">
        <v>315</v>
      </c>
      <c r="C637" t="s">
        <v>12</v>
      </c>
      <c r="D637" t="s">
        <v>310</v>
      </c>
      <c r="E637" t="s">
        <v>316</v>
      </c>
      <c r="F637">
        <f>HYPERLINK("http://clipc-services.ceda.ac.uk/dreq/u/591423aa-9e49-11e5-803c-0d0b866b59f3.html","web")</f>
        <v>0</v>
      </c>
      <c r="G637" t="s">
        <v>256</v>
      </c>
      <c r="H637" t="s">
        <v>257</v>
      </c>
      <c r="I637" t="s">
        <v>317</v>
      </c>
      <c r="J637" t="s">
        <v>289</v>
      </c>
    </row>
    <row r="638" spans="1:10">
      <c r="A638" t="s">
        <v>1457</v>
      </c>
      <c r="B638" t="s">
        <v>1721</v>
      </c>
      <c r="C638" t="s">
        <v>12</v>
      </c>
      <c r="D638" t="s">
        <v>55</v>
      </c>
      <c r="E638" t="s">
        <v>1722</v>
      </c>
      <c r="F638">
        <f>HYPERLINK("http://clipc-services.ceda.ac.uk/dreq/u/2ca539fe3d21e4555ac39018c99b357d.html","web")</f>
        <v>0</v>
      </c>
      <c r="G638" t="s">
        <v>1723</v>
      </c>
      <c r="H638" t="s">
        <v>1724</v>
      </c>
      <c r="I638" t="s">
        <v>1725</v>
      </c>
      <c r="J638" t="s">
        <v>972</v>
      </c>
    </row>
    <row r="639" spans="1:10">
      <c r="A639" t="s">
        <v>1457</v>
      </c>
      <c r="B639" t="s">
        <v>1429</v>
      </c>
      <c r="C639" t="s">
        <v>12</v>
      </c>
      <c r="D639" t="s">
        <v>55</v>
      </c>
      <c r="E639" t="s">
        <v>1430</v>
      </c>
      <c r="F639">
        <f>HYPERLINK("http://clipc-services.ceda.ac.uk/dreq/u/3e7348adedb540627808da06a211c81c.html","web")</f>
        <v>0</v>
      </c>
      <c r="G639" t="s">
        <v>1431</v>
      </c>
      <c r="H639" t="s">
        <v>50</v>
      </c>
      <c r="I639" t="s">
        <v>1432</v>
      </c>
      <c r="J639" t="s">
        <v>1726</v>
      </c>
    </row>
    <row r="640" spans="1:10">
      <c r="A640" t="s">
        <v>1457</v>
      </c>
      <c r="B640" t="s">
        <v>1424</v>
      </c>
      <c r="C640" t="s">
        <v>12</v>
      </c>
      <c r="D640" t="s">
        <v>55</v>
      </c>
      <c r="E640" t="s">
        <v>1425</v>
      </c>
      <c r="F640">
        <f>HYPERLINK("http://clipc-services.ceda.ac.uk/dreq/u/cdd8f95be110061697bc323f6bcaba2d.html","web")</f>
        <v>0</v>
      </c>
      <c r="G640" t="s">
        <v>1426</v>
      </c>
      <c r="H640" t="s">
        <v>50</v>
      </c>
      <c r="I640" t="s">
        <v>1427</v>
      </c>
      <c r="J640" t="s">
        <v>1726</v>
      </c>
    </row>
    <row r="641" spans="1:10">
      <c r="A641" t="s">
        <v>1457</v>
      </c>
      <c r="B641" t="s">
        <v>1727</v>
      </c>
      <c r="C641" t="s">
        <v>12</v>
      </c>
      <c r="D641" t="s">
        <v>55</v>
      </c>
      <c r="E641" t="s">
        <v>1728</v>
      </c>
      <c r="F641">
        <f>HYPERLINK("http://clipc-services.ceda.ac.uk/dreq/u/590de58a-9e49-11e5-803c-0d0b866b59f3.html","web")</f>
        <v>0</v>
      </c>
      <c r="G641" t="s">
        <v>1729</v>
      </c>
      <c r="H641" t="s">
        <v>50</v>
      </c>
      <c r="I641" t="s">
        <v>1730</v>
      </c>
      <c r="J641" t="s">
        <v>972</v>
      </c>
    </row>
    <row r="642" spans="1:10">
      <c r="A642" t="s">
        <v>1457</v>
      </c>
      <c r="B642" t="s">
        <v>1731</v>
      </c>
      <c r="C642" t="s">
        <v>12</v>
      </c>
      <c r="D642" t="s">
        <v>55</v>
      </c>
      <c r="E642" t="s">
        <v>1732</v>
      </c>
      <c r="F642">
        <f>HYPERLINK("http://clipc-services.ceda.ac.uk/dreq/u/591444ca-9e49-11e5-803c-0d0b866b59f3.html","web")</f>
        <v>0</v>
      </c>
      <c r="G642" t="s">
        <v>1733</v>
      </c>
      <c r="H642" t="s">
        <v>50</v>
      </c>
      <c r="I642" t="s">
        <v>1730</v>
      </c>
      <c r="J642" t="s">
        <v>972</v>
      </c>
    </row>
    <row r="643" spans="1:10">
      <c r="A643" t="s">
        <v>1457</v>
      </c>
      <c r="B643" t="s">
        <v>1734</v>
      </c>
      <c r="C643" t="s">
        <v>12</v>
      </c>
      <c r="D643" t="s">
        <v>55</v>
      </c>
      <c r="E643" t="s">
        <v>1735</v>
      </c>
      <c r="F643">
        <f>HYPERLINK("http://clipc-services.ceda.ac.uk/dreq/u/5917acf0-9e49-11e5-803c-0d0b866b59f3.html","web")</f>
        <v>0</v>
      </c>
      <c r="G643" t="s">
        <v>1736</v>
      </c>
      <c r="H643" t="s">
        <v>50</v>
      </c>
      <c r="I643" t="s">
        <v>1737</v>
      </c>
      <c r="J643" t="s">
        <v>972</v>
      </c>
    </row>
    <row r="644" spans="1:10">
      <c r="A644" t="s">
        <v>1457</v>
      </c>
      <c r="B644" t="s">
        <v>1738</v>
      </c>
      <c r="C644" t="s">
        <v>12</v>
      </c>
      <c r="D644" t="s">
        <v>55</v>
      </c>
      <c r="E644" t="s">
        <v>1739</v>
      </c>
      <c r="F644">
        <f>HYPERLINK("http://clipc-services.ceda.ac.uk/dreq/u/59147b48-9e49-11e5-803c-0d0b866b59f3.html","web")</f>
        <v>0</v>
      </c>
      <c r="G644" t="s">
        <v>1740</v>
      </c>
      <c r="H644" t="s">
        <v>50</v>
      </c>
      <c r="I644" t="s">
        <v>1730</v>
      </c>
      <c r="J644" t="s">
        <v>972</v>
      </c>
    </row>
    <row r="645" spans="1:10">
      <c r="A645" t="s">
        <v>1457</v>
      </c>
      <c r="B645" t="s">
        <v>1741</v>
      </c>
      <c r="C645" t="s">
        <v>12</v>
      </c>
      <c r="D645" t="s">
        <v>55</v>
      </c>
      <c r="E645" t="s">
        <v>1742</v>
      </c>
      <c r="F645">
        <f>HYPERLINK("http://clipc-services.ceda.ac.uk/dreq/u/23ecf19e478a3ed9026b011e1e1fed02.html","web")</f>
        <v>0</v>
      </c>
      <c r="G645" t="s">
        <v>1412</v>
      </c>
      <c r="H645" t="s">
        <v>402</v>
      </c>
      <c r="I645" t="s">
        <v>1743</v>
      </c>
      <c r="J645" t="s">
        <v>972</v>
      </c>
    </row>
    <row r="646" spans="1:10">
      <c r="A646" t="s">
        <v>1457</v>
      </c>
      <c r="B646" t="s">
        <v>1406</v>
      </c>
      <c r="C646" t="s">
        <v>12</v>
      </c>
      <c r="D646" t="s">
        <v>1403</v>
      </c>
      <c r="E646" t="s">
        <v>1407</v>
      </c>
      <c r="F646">
        <f>HYPERLINK("http://clipc-services.ceda.ac.uk/dreq/u/5914640a-9e49-11e5-803c-0d0b866b59f3.html","web")</f>
        <v>0</v>
      </c>
      <c r="G646" t="s">
        <v>1408</v>
      </c>
      <c r="H646" t="s">
        <v>257</v>
      </c>
      <c r="I646" t="s">
        <v>1409</v>
      </c>
      <c r="J646" t="s">
        <v>1481</v>
      </c>
    </row>
    <row r="647" spans="1:10">
      <c r="A647" t="s">
        <v>1457</v>
      </c>
      <c r="B647" t="s">
        <v>273</v>
      </c>
      <c r="C647" t="s">
        <v>12</v>
      </c>
      <c r="D647" t="s">
        <v>274</v>
      </c>
      <c r="E647" t="s">
        <v>275</v>
      </c>
      <c r="F647">
        <f>HYPERLINK("http://clipc-services.ceda.ac.uk/dreq/u/590e75c2-9e49-11e5-803c-0d0b866b59f3.html","web")</f>
        <v>0</v>
      </c>
      <c r="G647" t="s">
        <v>256</v>
      </c>
      <c r="H647" t="s">
        <v>257</v>
      </c>
      <c r="I647" t="s">
        <v>276</v>
      </c>
      <c r="J647" t="s">
        <v>1481</v>
      </c>
    </row>
    <row r="648" spans="1:10">
      <c r="A648" t="s">
        <v>1457</v>
      </c>
      <c r="B648" t="s">
        <v>1744</v>
      </c>
      <c r="C648" t="s">
        <v>12</v>
      </c>
      <c r="D648" t="s">
        <v>1745</v>
      </c>
      <c r="E648" t="s">
        <v>1746</v>
      </c>
      <c r="F648">
        <f>HYPERLINK("http://clipc-services.ceda.ac.uk/dreq/u/59144f06-9e49-11e5-803c-0d0b866b59f3.html","web")</f>
        <v>0</v>
      </c>
      <c r="G648" t="s">
        <v>256</v>
      </c>
      <c r="H648" t="s">
        <v>257</v>
      </c>
      <c r="I648" t="s">
        <v>1747</v>
      </c>
      <c r="J648" t="s">
        <v>1481</v>
      </c>
    </row>
    <row r="649" spans="1:10">
      <c r="A649" t="s">
        <v>1457</v>
      </c>
      <c r="B649" t="s">
        <v>1748</v>
      </c>
      <c r="C649" t="s">
        <v>12</v>
      </c>
      <c r="D649" t="s">
        <v>1749</v>
      </c>
      <c r="E649" t="s">
        <v>1750</v>
      </c>
      <c r="F649">
        <f>HYPERLINK("http://clipc-services.ceda.ac.uk/dreq/u/5916fc60-9e49-11e5-803c-0d0b866b59f3.html","web")</f>
        <v>0</v>
      </c>
      <c r="G649" t="s">
        <v>256</v>
      </c>
      <c r="H649" t="s">
        <v>257</v>
      </c>
      <c r="I649" t="s">
        <v>1751</v>
      </c>
      <c r="J649" t="s">
        <v>1481</v>
      </c>
    </row>
    <row r="650" spans="1:10">
      <c r="A650" t="s">
        <v>1457</v>
      </c>
      <c r="B650" t="s">
        <v>1752</v>
      </c>
      <c r="C650" t="s">
        <v>12</v>
      </c>
      <c r="D650" t="s">
        <v>1753</v>
      </c>
      <c r="E650" t="s">
        <v>1754</v>
      </c>
      <c r="F650">
        <f>HYPERLINK("http://clipc-services.ceda.ac.uk/dreq/u/59170444-9e49-11e5-803c-0d0b866b59f3.html","web")</f>
        <v>0</v>
      </c>
      <c r="G650" t="s">
        <v>256</v>
      </c>
      <c r="H650" t="s">
        <v>257</v>
      </c>
      <c r="I650" t="s">
        <v>1755</v>
      </c>
      <c r="J650" t="s">
        <v>1481</v>
      </c>
    </row>
    <row r="651" spans="1:10">
      <c r="A651" t="s">
        <v>1457</v>
      </c>
      <c r="B651" t="s">
        <v>1756</v>
      </c>
      <c r="C651" t="s">
        <v>12</v>
      </c>
      <c r="D651" t="s">
        <v>55</v>
      </c>
      <c r="E651" t="s">
        <v>1757</v>
      </c>
      <c r="F651">
        <f>HYPERLINK("http://clipc-services.ceda.ac.uk/dreq/u/5917aa7a-9e49-11e5-803c-0d0b866b59f3.html","web")</f>
        <v>0</v>
      </c>
      <c r="G651" t="s">
        <v>256</v>
      </c>
      <c r="H651" t="s">
        <v>257</v>
      </c>
      <c r="I651" t="s">
        <v>1480</v>
      </c>
      <c r="J651" t="s">
        <v>1636</v>
      </c>
    </row>
    <row r="652" spans="1:10">
      <c r="A652" t="s">
        <v>1457</v>
      </c>
      <c r="B652" t="s">
        <v>1758</v>
      </c>
      <c r="C652" t="s">
        <v>86</v>
      </c>
      <c r="D652" t="s">
        <v>55</v>
      </c>
      <c r="E652" t="s">
        <v>1759</v>
      </c>
      <c r="F652">
        <f>HYPERLINK("http://clipc-services.ceda.ac.uk/dreq/u/59136000-9e49-11e5-803c-0d0b866b59f3.html","web")</f>
        <v>0</v>
      </c>
      <c r="G652" t="s">
        <v>256</v>
      </c>
      <c r="H652" t="s">
        <v>257</v>
      </c>
      <c r="I652" t="s">
        <v>1760</v>
      </c>
      <c r="J652" t="s">
        <v>1481</v>
      </c>
    </row>
    <row r="653" spans="1:10">
      <c r="A653" t="s">
        <v>1457</v>
      </c>
      <c r="B653" t="s">
        <v>1761</v>
      </c>
      <c r="C653" t="s">
        <v>12</v>
      </c>
      <c r="D653" t="s">
        <v>55</v>
      </c>
      <c r="E653" t="s">
        <v>1762</v>
      </c>
      <c r="F653">
        <f>HYPERLINK("http://clipc-services.ceda.ac.uk/dreq/u/59176128-9e49-11e5-803c-0d0b866b59f3.html","web")</f>
        <v>0</v>
      </c>
      <c r="G653" t="s">
        <v>256</v>
      </c>
      <c r="H653" t="s">
        <v>257</v>
      </c>
      <c r="I653" t="s">
        <v>1480</v>
      </c>
      <c r="J653" t="s">
        <v>1481</v>
      </c>
    </row>
    <row r="654" spans="1:10">
      <c r="A654" t="s">
        <v>1457</v>
      </c>
      <c r="B654" t="s">
        <v>1763</v>
      </c>
      <c r="C654" t="s">
        <v>12</v>
      </c>
      <c r="D654" t="s">
        <v>55</v>
      </c>
      <c r="E654" t="s">
        <v>1764</v>
      </c>
      <c r="F654">
        <f>HYPERLINK("http://clipc-services.ceda.ac.uk/dreq/u/590e5100-9e49-11e5-803c-0d0b866b59f3.html","web")</f>
        <v>0</v>
      </c>
      <c r="G654" t="s">
        <v>256</v>
      </c>
      <c r="H654" t="s">
        <v>257</v>
      </c>
      <c r="I654" t="s">
        <v>1480</v>
      </c>
      <c r="J654" t="s">
        <v>1481</v>
      </c>
    </row>
    <row r="655" spans="1:10">
      <c r="A655" t="s">
        <v>1457</v>
      </c>
      <c r="B655" t="s">
        <v>1765</v>
      </c>
      <c r="C655" t="s">
        <v>12</v>
      </c>
      <c r="D655" t="s">
        <v>55</v>
      </c>
      <c r="E655" t="s">
        <v>1766</v>
      </c>
      <c r="F655">
        <f>HYPERLINK("http://clipc-services.ceda.ac.uk/dreq/u/5914d462-9e49-11e5-803c-0d0b866b59f3.html","web")</f>
        <v>0</v>
      </c>
      <c r="G655" t="s">
        <v>256</v>
      </c>
      <c r="H655" t="s">
        <v>257</v>
      </c>
      <c r="J655" t="s">
        <v>1481</v>
      </c>
    </row>
    <row r="656" spans="1:10">
      <c r="A656" t="s">
        <v>1457</v>
      </c>
      <c r="B656" t="s">
        <v>1767</v>
      </c>
      <c r="C656" t="s">
        <v>12</v>
      </c>
      <c r="D656" t="s">
        <v>1638</v>
      </c>
      <c r="E656" t="s">
        <v>1768</v>
      </c>
      <c r="F656">
        <f>HYPERLINK("http://clipc-services.ceda.ac.uk/dreq/u/59138f8a-9e49-11e5-803c-0d0b866b59f3.html","web")</f>
        <v>0</v>
      </c>
      <c r="G656" t="s">
        <v>57</v>
      </c>
      <c r="H656" t="s">
        <v>58</v>
      </c>
      <c r="I656" t="s">
        <v>1730</v>
      </c>
      <c r="J656" t="s">
        <v>972</v>
      </c>
    </row>
    <row r="657" spans="1:10">
      <c r="A657" t="s">
        <v>1457</v>
      </c>
      <c r="B657" t="s">
        <v>1413</v>
      </c>
      <c r="C657" t="s">
        <v>12</v>
      </c>
      <c r="D657" t="s">
        <v>55</v>
      </c>
      <c r="E657" t="s">
        <v>1414</v>
      </c>
      <c r="F657">
        <f>HYPERLINK("http://clipc-services.ceda.ac.uk/dreq/u/46bc4ce008d1306ea0780510304cfa88.html","web")</f>
        <v>0</v>
      </c>
      <c r="G657" t="s">
        <v>57</v>
      </c>
      <c r="H657" t="s">
        <v>58</v>
      </c>
      <c r="J657" t="s">
        <v>1726</v>
      </c>
    </row>
    <row r="658" spans="1:10">
      <c r="A658" t="s">
        <v>1457</v>
      </c>
      <c r="B658" t="s">
        <v>1769</v>
      </c>
      <c r="C658" t="s">
        <v>12</v>
      </c>
      <c r="D658" t="s">
        <v>55</v>
      </c>
      <c r="E658" t="s">
        <v>1770</v>
      </c>
      <c r="F658">
        <f>HYPERLINK("http://clipc-services.ceda.ac.uk/dreq/u/b5bc9b1fa92a35cec5989eeac3d77d1a.html","web")</f>
        <v>0</v>
      </c>
      <c r="G658" t="s">
        <v>57</v>
      </c>
      <c r="H658" t="s">
        <v>58</v>
      </c>
      <c r="I658" t="s">
        <v>1771</v>
      </c>
      <c r="J658" t="s">
        <v>1726</v>
      </c>
    </row>
    <row r="659" spans="1:10">
      <c r="A659" t="s">
        <v>1457</v>
      </c>
      <c r="B659" t="s">
        <v>1772</v>
      </c>
      <c r="C659" t="s">
        <v>12</v>
      </c>
      <c r="D659" t="s">
        <v>1022</v>
      </c>
      <c r="E659" t="s">
        <v>1773</v>
      </c>
      <c r="F659">
        <f>HYPERLINK("http://clipc-services.ceda.ac.uk/dreq/u/591720a0-9e49-11e5-803c-0d0b866b59f3.html","web")</f>
        <v>0</v>
      </c>
      <c r="G659" t="s">
        <v>1774</v>
      </c>
      <c r="H659" t="s">
        <v>402</v>
      </c>
      <c r="I659" t="s">
        <v>1775</v>
      </c>
      <c r="J659" t="s">
        <v>1776</v>
      </c>
    </row>
    <row r="660" spans="1:10">
      <c r="A660" t="s">
        <v>1457</v>
      </c>
      <c r="B660" t="s">
        <v>1166</v>
      </c>
      <c r="C660" t="s">
        <v>12</v>
      </c>
      <c r="D660" t="s">
        <v>55</v>
      </c>
      <c r="E660" t="s">
        <v>1167</v>
      </c>
      <c r="F660">
        <f>HYPERLINK("http://clipc-services.ceda.ac.uk/dreq/u/11619ca70c37ffd25d5b234c03ca4d4f.html","web")</f>
        <v>0</v>
      </c>
      <c r="G660" t="s">
        <v>74</v>
      </c>
      <c r="H660" t="s">
        <v>75</v>
      </c>
      <c r="I660" t="s">
        <v>1168</v>
      </c>
      <c r="J660" t="s">
        <v>972</v>
      </c>
    </row>
    <row r="661" spans="1:10">
      <c r="A661" t="s">
        <v>1457</v>
      </c>
      <c r="B661" t="s">
        <v>1777</v>
      </c>
      <c r="C661" t="s">
        <v>12</v>
      </c>
      <c r="D661" t="s">
        <v>55</v>
      </c>
      <c r="E661" t="s">
        <v>1778</v>
      </c>
      <c r="F661">
        <f>HYPERLINK("http://clipc-services.ceda.ac.uk/dreq/u/59131910-9e49-11e5-803c-0d0b866b59f3.html","web")</f>
        <v>0</v>
      </c>
      <c r="G661" t="s">
        <v>1412</v>
      </c>
      <c r="H661" t="s">
        <v>402</v>
      </c>
      <c r="I661" t="s">
        <v>1779</v>
      </c>
      <c r="J661" t="s">
        <v>972</v>
      </c>
    </row>
    <row r="662" spans="1:10">
      <c r="A662" t="s">
        <v>1457</v>
      </c>
      <c r="B662" t="s">
        <v>1780</v>
      </c>
      <c r="C662" t="s">
        <v>12</v>
      </c>
      <c r="D662" t="s">
        <v>55</v>
      </c>
      <c r="E662" t="s">
        <v>1781</v>
      </c>
      <c r="F662">
        <f>HYPERLINK("http://clipc-services.ceda.ac.uk/dreq/u/5917c046-9e49-11e5-803c-0d0b866b59f3.html","web")</f>
        <v>0</v>
      </c>
      <c r="G662" t="s">
        <v>1142</v>
      </c>
      <c r="H662" t="s">
        <v>402</v>
      </c>
      <c r="I662" t="s">
        <v>1779</v>
      </c>
      <c r="J662" t="s">
        <v>972</v>
      </c>
    </row>
    <row r="663" spans="1:10">
      <c r="A663" t="s">
        <v>1457</v>
      </c>
      <c r="B663" t="s">
        <v>1782</v>
      </c>
      <c r="C663" t="s">
        <v>12</v>
      </c>
      <c r="D663" t="s">
        <v>655</v>
      </c>
      <c r="E663" t="s">
        <v>1783</v>
      </c>
      <c r="F663">
        <f>HYPERLINK("http://clipc-services.ceda.ac.uk/dreq/u/590e4674-9e49-11e5-803c-0d0b866b59f3.html","web")</f>
        <v>0</v>
      </c>
      <c r="G663" t="s">
        <v>1412</v>
      </c>
      <c r="H663" t="s">
        <v>402</v>
      </c>
      <c r="I663" t="s">
        <v>1779</v>
      </c>
      <c r="J663" t="s">
        <v>972</v>
      </c>
    </row>
    <row r="664" spans="1:10">
      <c r="A664" t="s">
        <v>1457</v>
      </c>
      <c r="B664" t="s">
        <v>1410</v>
      </c>
      <c r="C664" t="s">
        <v>12</v>
      </c>
      <c r="D664" t="s">
        <v>55</v>
      </c>
      <c r="E664" t="s">
        <v>1411</v>
      </c>
      <c r="F664">
        <f>HYPERLINK("http://clipc-services.ceda.ac.uk/dreq/u/c23a39645d860d5a2d7f34ea91d1fd82.html","web")</f>
        <v>0</v>
      </c>
      <c r="G664" t="s">
        <v>1412</v>
      </c>
      <c r="H664" t="s">
        <v>402</v>
      </c>
      <c r="J664" t="s">
        <v>972</v>
      </c>
    </row>
    <row r="665" spans="1:10">
      <c r="A665" t="s">
        <v>1457</v>
      </c>
      <c r="B665" t="s">
        <v>1784</v>
      </c>
      <c r="C665" t="s">
        <v>12</v>
      </c>
      <c r="D665" t="s">
        <v>655</v>
      </c>
      <c r="E665" t="s">
        <v>1785</v>
      </c>
      <c r="F665">
        <f>HYPERLINK("http://clipc-services.ceda.ac.uk/dreq/u/a9e338f20a1b85e4758c5b3cb0ad961c.html","web")</f>
        <v>0</v>
      </c>
      <c r="G665" t="s">
        <v>1412</v>
      </c>
      <c r="H665" t="s">
        <v>402</v>
      </c>
      <c r="J665" t="s">
        <v>972</v>
      </c>
    </row>
    <row r="666" spans="1:10">
      <c r="A666" t="s">
        <v>1457</v>
      </c>
      <c r="B666" t="s">
        <v>1437</v>
      </c>
      <c r="C666" t="s">
        <v>12</v>
      </c>
      <c r="D666" t="s">
        <v>55</v>
      </c>
      <c r="E666" t="s">
        <v>1438</v>
      </c>
      <c r="F666">
        <f>HYPERLINK("http://clipc-services.ceda.ac.uk/dreq/u/81f029ba-b63d-11e6-98cb-ac72891c3257.html","web")</f>
        <v>0</v>
      </c>
      <c r="G666" t="s">
        <v>1439</v>
      </c>
      <c r="H666" t="s">
        <v>257</v>
      </c>
      <c r="I666" t="s">
        <v>1440</v>
      </c>
      <c r="J666" t="s">
        <v>1011</v>
      </c>
    </row>
    <row r="668" spans="1:10">
      <c r="A668" t="s">
        <v>1786</v>
      </c>
      <c r="B668" t="s">
        <v>205</v>
      </c>
      <c r="C668" t="s">
        <v>86</v>
      </c>
      <c r="D668" t="s">
        <v>1787</v>
      </c>
      <c r="E668" t="s">
        <v>207</v>
      </c>
      <c r="F668">
        <f>HYPERLINK("http://clipc-services.ceda.ac.uk/dreq/u/5912cab4-9e49-11e5-803c-0d0b866b59f3.html","web")</f>
        <v>0</v>
      </c>
      <c r="G668" t="s">
        <v>208</v>
      </c>
      <c r="H668" t="s">
        <v>209</v>
      </c>
      <c r="I668" t="s">
        <v>210</v>
      </c>
      <c r="J668" t="s">
        <v>18</v>
      </c>
    </row>
    <row r="669" spans="1:10">
      <c r="A669" t="s">
        <v>1786</v>
      </c>
      <c r="B669" t="s">
        <v>211</v>
      </c>
      <c r="C669" t="s">
        <v>12</v>
      </c>
      <c r="D669" t="s">
        <v>1787</v>
      </c>
      <c r="E669" t="s">
        <v>212</v>
      </c>
      <c r="F669">
        <f>HYPERLINK("http://clipc-services.ceda.ac.uk/dreq/u/41455e80-4f40-11e6-a814-ac72891c3257.html","web")</f>
        <v>0</v>
      </c>
      <c r="G669" t="s">
        <v>213</v>
      </c>
      <c r="H669" t="s">
        <v>209</v>
      </c>
      <c r="I669" t="s">
        <v>214</v>
      </c>
      <c r="J669" t="s">
        <v>18</v>
      </c>
    </row>
    <row r="671" spans="1:10">
      <c r="A671" t="s">
        <v>1788</v>
      </c>
      <c r="B671" t="s">
        <v>1789</v>
      </c>
      <c r="C671" t="s">
        <v>86</v>
      </c>
      <c r="D671" t="s">
        <v>55</v>
      </c>
      <c r="E671" t="s">
        <v>1790</v>
      </c>
      <c r="F671">
        <f>HYPERLINK("http://clipc-services.ceda.ac.uk/dreq/u/e54a3eda3d5fc42a9cd1354038ad45ed.html","web")</f>
        <v>0</v>
      </c>
      <c r="G671" t="s">
        <v>256</v>
      </c>
      <c r="H671" t="s">
        <v>257</v>
      </c>
      <c r="I671" t="s">
        <v>1791</v>
      </c>
      <c r="J671" t="s">
        <v>1792</v>
      </c>
    </row>
    <row r="672" spans="1:10">
      <c r="A672" t="s">
        <v>1788</v>
      </c>
      <c r="B672" t="s">
        <v>1793</v>
      </c>
      <c r="C672" t="s">
        <v>12</v>
      </c>
      <c r="D672" t="s">
        <v>55</v>
      </c>
      <c r="E672" t="s">
        <v>1794</v>
      </c>
      <c r="F672">
        <f>HYPERLINK("http://clipc-services.ceda.ac.uk/dreq/u/32ed0e80b1ae2adc7d4fb4b71bce9285.html","web")</f>
        <v>0</v>
      </c>
      <c r="G672" t="s">
        <v>256</v>
      </c>
      <c r="H672" t="s">
        <v>257</v>
      </c>
      <c r="I672" t="s">
        <v>1795</v>
      </c>
      <c r="J672" t="s">
        <v>1459</v>
      </c>
    </row>
    <row r="673" spans="1:10">
      <c r="A673" t="s">
        <v>1788</v>
      </c>
      <c r="B673" t="s">
        <v>1796</v>
      </c>
      <c r="C673" t="s">
        <v>12</v>
      </c>
      <c r="D673" t="s">
        <v>55</v>
      </c>
      <c r="E673" t="s">
        <v>1797</v>
      </c>
      <c r="F673">
        <f>HYPERLINK("http://clipc-services.ceda.ac.uk/dreq/u/19e117c2298a016c96c496ee22f39976.html","web")</f>
        <v>0</v>
      </c>
      <c r="G673" t="s">
        <v>256</v>
      </c>
      <c r="H673" t="s">
        <v>257</v>
      </c>
      <c r="I673" t="s">
        <v>1798</v>
      </c>
      <c r="J673" t="s">
        <v>1459</v>
      </c>
    </row>
    <row r="674" spans="1:10">
      <c r="A674" t="s">
        <v>1788</v>
      </c>
      <c r="B674" t="s">
        <v>253</v>
      </c>
      <c r="C674" t="s">
        <v>12</v>
      </c>
      <c r="D674" t="s">
        <v>254</v>
      </c>
      <c r="E674" t="s">
        <v>255</v>
      </c>
      <c r="F674">
        <f>HYPERLINK("http://clipc-services.ceda.ac.uk/dreq/u/d3eb8c36759afa5ef2c8363e0c16db88.html","web")</f>
        <v>0</v>
      </c>
      <c r="G674" t="s">
        <v>256</v>
      </c>
      <c r="H674" t="s">
        <v>257</v>
      </c>
      <c r="I674" t="s">
        <v>258</v>
      </c>
      <c r="J674" t="s">
        <v>1459</v>
      </c>
    </row>
    <row r="675" spans="1:10">
      <c r="A675" t="s">
        <v>1788</v>
      </c>
      <c r="B675" t="s">
        <v>260</v>
      </c>
      <c r="C675" t="s">
        <v>12</v>
      </c>
      <c r="D675" t="s">
        <v>261</v>
      </c>
      <c r="E675" t="s">
        <v>262</v>
      </c>
      <c r="F675">
        <f>HYPERLINK("http://clipc-services.ceda.ac.uk/dreq/u/f972af18f1817a7bb5f961b534641394.html","web")</f>
        <v>0</v>
      </c>
      <c r="G675" t="s">
        <v>256</v>
      </c>
      <c r="H675" t="s">
        <v>257</v>
      </c>
      <c r="I675" t="s">
        <v>263</v>
      </c>
      <c r="J675" t="s">
        <v>1459</v>
      </c>
    </row>
    <row r="676" spans="1:10">
      <c r="A676" t="s">
        <v>1788</v>
      </c>
      <c r="B676" t="s">
        <v>264</v>
      </c>
      <c r="C676" t="s">
        <v>12</v>
      </c>
      <c r="D676" t="s">
        <v>265</v>
      </c>
      <c r="E676" t="s">
        <v>266</v>
      </c>
      <c r="F676">
        <f>HYPERLINK("http://clipc-services.ceda.ac.uk/dreq/u/bdb1045bec7f58e9e6221cd39bb34c2f.html","web")</f>
        <v>0</v>
      </c>
      <c r="G676" t="s">
        <v>267</v>
      </c>
      <c r="H676" t="s">
        <v>257</v>
      </c>
      <c r="I676" t="s">
        <v>268</v>
      </c>
      <c r="J676" t="s">
        <v>1459</v>
      </c>
    </row>
    <row r="677" spans="1:10">
      <c r="A677" t="s">
        <v>1788</v>
      </c>
      <c r="B677" t="s">
        <v>269</v>
      </c>
      <c r="C677" t="s">
        <v>12</v>
      </c>
      <c r="D677" t="s">
        <v>270</v>
      </c>
      <c r="E677" t="s">
        <v>271</v>
      </c>
      <c r="F677">
        <f>HYPERLINK("http://clipc-services.ceda.ac.uk/dreq/u/f730de87987b0357d3954c93c4a0c7f7.html","web")</f>
        <v>0</v>
      </c>
      <c r="G677" t="s">
        <v>256</v>
      </c>
      <c r="H677" t="s">
        <v>257</v>
      </c>
      <c r="I677" t="s">
        <v>272</v>
      </c>
      <c r="J677" t="s">
        <v>1459</v>
      </c>
    </row>
    <row r="678" spans="1:10">
      <c r="A678" t="s">
        <v>1788</v>
      </c>
      <c r="B678" t="s">
        <v>1799</v>
      </c>
      <c r="C678" t="s">
        <v>12</v>
      </c>
      <c r="D678" t="s">
        <v>1800</v>
      </c>
      <c r="E678" t="s">
        <v>1801</v>
      </c>
      <c r="F678">
        <f>HYPERLINK("http://clipc-services.ceda.ac.uk/dreq/u/64c3bc72c46203646eb28fee17f6a5f7.html","web")</f>
        <v>0</v>
      </c>
      <c r="G678" t="s">
        <v>256</v>
      </c>
      <c r="H678" t="s">
        <v>257</v>
      </c>
      <c r="I678" t="s">
        <v>1802</v>
      </c>
      <c r="J678" t="s">
        <v>1459</v>
      </c>
    </row>
    <row r="679" spans="1:10">
      <c r="A679" t="s">
        <v>1788</v>
      </c>
      <c r="B679" t="s">
        <v>277</v>
      </c>
      <c r="C679" t="s">
        <v>12</v>
      </c>
      <c r="D679" t="s">
        <v>278</v>
      </c>
      <c r="E679" t="s">
        <v>279</v>
      </c>
      <c r="F679">
        <f>HYPERLINK("http://clipc-services.ceda.ac.uk/dreq/u/9cdb8d54d49e98acadd87e2a1139225e.html","web")</f>
        <v>0</v>
      </c>
      <c r="G679" t="s">
        <v>256</v>
      </c>
      <c r="H679" t="s">
        <v>257</v>
      </c>
      <c r="I679" t="s">
        <v>280</v>
      </c>
      <c r="J679" t="s">
        <v>1459</v>
      </c>
    </row>
    <row r="680" spans="1:10">
      <c r="A680" t="s">
        <v>1788</v>
      </c>
      <c r="B680" t="s">
        <v>281</v>
      </c>
      <c r="C680" t="s">
        <v>12</v>
      </c>
      <c r="D680" t="s">
        <v>282</v>
      </c>
      <c r="E680" t="s">
        <v>283</v>
      </c>
      <c r="F680">
        <f>HYPERLINK("http://clipc-services.ceda.ac.uk/dreq/u/e1ca31ce340d507b1dce7a537bbef951.html","web")</f>
        <v>0</v>
      </c>
      <c r="G680" t="s">
        <v>256</v>
      </c>
      <c r="H680" t="s">
        <v>257</v>
      </c>
      <c r="I680" t="s">
        <v>284</v>
      </c>
      <c r="J680" t="s">
        <v>1459</v>
      </c>
    </row>
    <row r="681" spans="1:10">
      <c r="A681" t="s">
        <v>1788</v>
      </c>
      <c r="B681" t="s">
        <v>301</v>
      </c>
      <c r="C681" t="s">
        <v>12</v>
      </c>
      <c r="D681" t="s">
        <v>55</v>
      </c>
      <c r="E681" t="s">
        <v>302</v>
      </c>
      <c r="F681">
        <f>HYPERLINK("http://clipc-services.ceda.ac.uk/dreq/u/3434c274f8ad8754f594d2b23c2d37db.html","web")</f>
        <v>0</v>
      </c>
      <c r="G681" t="s">
        <v>256</v>
      </c>
      <c r="H681" t="s">
        <v>257</v>
      </c>
      <c r="I681" t="s">
        <v>303</v>
      </c>
      <c r="J681" t="s">
        <v>1803</v>
      </c>
    </row>
    <row r="682" spans="1:10">
      <c r="A682" t="s">
        <v>1788</v>
      </c>
      <c r="B682" t="s">
        <v>304</v>
      </c>
      <c r="C682" t="s">
        <v>12</v>
      </c>
      <c r="D682" t="s">
        <v>55</v>
      </c>
      <c r="E682" t="s">
        <v>305</v>
      </c>
      <c r="F682">
        <f>HYPERLINK("http://clipc-services.ceda.ac.uk/dreq/u/ece03799edff3053efe82e9512d55ed9.html","web")</f>
        <v>0</v>
      </c>
      <c r="G682" t="s">
        <v>256</v>
      </c>
      <c r="H682" t="s">
        <v>257</v>
      </c>
      <c r="J682" t="s">
        <v>1803</v>
      </c>
    </row>
    <row r="683" spans="1:10">
      <c r="A683" t="s">
        <v>1788</v>
      </c>
      <c r="B683" t="s">
        <v>306</v>
      </c>
      <c r="C683" t="s">
        <v>12</v>
      </c>
      <c r="D683" t="s">
        <v>55</v>
      </c>
      <c r="E683" t="s">
        <v>307</v>
      </c>
      <c r="F683">
        <f>HYPERLINK("http://clipc-services.ceda.ac.uk/dreq/u/57c2e414bde585cc60a7b2f980e1f870.html","web")</f>
        <v>0</v>
      </c>
      <c r="G683" t="s">
        <v>256</v>
      </c>
      <c r="H683" t="s">
        <v>257</v>
      </c>
      <c r="I683" t="s">
        <v>308</v>
      </c>
      <c r="J683" t="s">
        <v>1803</v>
      </c>
    </row>
    <row r="684" spans="1:10">
      <c r="A684" t="s">
        <v>1788</v>
      </c>
      <c r="B684" t="s">
        <v>1399</v>
      </c>
      <c r="C684" t="s">
        <v>12</v>
      </c>
      <c r="D684" t="s">
        <v>55</v>
      </c>
      <c r="E684" t="s">
        <v>1400</v>
      </c>
      <c r="F684">
        <f>HYPERLINK("http://clipc-services.ceda.ac.uk/dreq/u/6c3e8db1b45a6ae7e80ca5a265c0fd50.html","web")</f>
        <v>0</v>
      </c>
      <c r="G684" t="s">
        <v>256</v>
      </c>
      <c r="H684" t="s">
        <v>257</v>
      </c>
      <c r="I684" t="s">
        <v>1401</v>
      </c>
      <c r="J684" t="s">
        <v>1804</v>
      </c>
    </row>
    <row r="685" spans="1:10">
      <c r="A685" t="s">
        <v>1788</v>
      </c>
      <c r="B685" t="s">
        <v>1805</v>
      </c>
      <c r="C685" t="s">
        <v>12</v>
      </c>
      <c r="D685" t="s">
        <v>55</v>
      </c>
      <c r="E685" t="s">
        <v>1806</v>
      </c>
      <c r="F685">
        <f>HYPERLINK("http://clipc-services.ceda.ac.uk/dreq/u/b3267e6a8cd7e4a5401e7fbca2c4bf5a.html","web")</f>
        <v>0</v>
      </c>
      <c r="G685" t="s">
        <v>256</v>
      </c>
      <c r="H685" t="s">
        <v>257</v>
      </c>
      <c r="J685" t="s">
        <v>1803</v>
      </c>
    </row>
    <row r="686" spans="1:10">
      <c r="A686" t="s">
        <v>1788</v>
      </c>
      <c r="B686" t="s">
        <v>1807</v>
      </c>
      <c r="C686" t="s">
        <v>12</v>
      </c>
      <c r="D686" t="s">
        <v>55</v>
      </c>
      <c r="E686" t="s">
        <v>1808</v>
      </c>
      <c r="F686">
        <f>HYPERLINK("http://clipc-services.ceda.ac.uk/dreq/u/be3bec2766baa15a7d57b8c2689fdf3d.html","web")</f>
        <v>0</v>
      </c>
      <c r="G686" t="s">
        <v>1809</v>
      </c>
      <c r="H686" t="s">
        <v>257</v>
      </c>
      <c r="I686" t="s">
        <v>1810</v>
      </c>
      <c r="J686" t="s">
        <v>1811</v>
      </c>
    </row>
    <row r="687" spans="1:10">
      <c r="A687" t="s">
        <v>1788</v>
      </c>
      <c r="B687" t="s">
        <v>1812</v>
      </c>
      <c r="C687" t="s">
        <v>12</v>
      </c>
      <c r="D687" t="s">
        <v>55</v>
      </c>
      <c r="E687" t="s">
        <v>1813</v>
      </c>
      <c r="F687">
        <f>HYPERLINK("http://clipc-services.ceda.ac.uk/dreq/u/b78f432cc8fbadf21b9a1fcf07d781a7.html","web")</f>
        <v>0</v>
      </c>
      <c r="G687" t="s">
        <v>256</v>
      </c>
      <c r="H687" t="s">
        <v>257</v>
      </c>
      <c r="I687" t="s">
        <v>1814</v>
      </c>
      <c r="J687" t="s">
        <v>1815</v>
      </c>
    </row>
    <row r="688" spans="1:10">
      <c r="A688" t="s">
        <v>1788</v>
      </c>
      <c r="B688" t="s">
        <v>1816</v>
      </c>
      <c r="C688" t="s">
        <v>12</v>
      </c>
      <c r="D688" t="s">
        <v>55</v>
      </c>
      <c r="E688" t="s">
        <v>1817</v>
      </c>
      <c r="F688">
        <f>HYPERLINK("http://clipc-services.ceda.ac.uk/dreq/u/f126552ec807a8280d6d43ed084f2fc9.html","web")</f>
        <v>0</v>
      </c>
      <c r="G688" t="s">
        <v>1818</v>
      </c>
      <c r="H688" t="s">
        <v>257</v>
      </c>
      <c r="I688" t="s">
        <v>1819</v>
      </c>
      <c r="J688" t="s">
        <v>1815</v>
      </c>
    </row>
    <row r="689" spans="1:10">
      <c r="A689" t="s">
        <v>1788</v>
      </c>
      <c r="B689" t="s">
        <v>1820</v>
      </c>
      <c r="C689" t="s">
        <v>12</v>
      </c>
      <c r="D689" t="s">
        <v>55</v>
      </c>
      <c r="E689" t="s">
        <v>1821</v>
      </c>
      <c r="F689">
        <f>HYPERLINK("http://clipc-services.ceda.ac.uk/dreq/u/337d362541c3e2a3f907abcaffa5c262.html","web")</f>
        <v>0</v>
      </c>
      <c r="G689" t="s">
        <v>256</v>
      </c>
      <c r="H689" t="s">
        <v>257</v>
      </c>
      <c r="I689" t="s">
        <v>1822</v>
      </c>
      <c r="J689" t="s">
        <v>1823</v>
      </c>
    </row>
    <row r="690" spans="1:10">
      <c r="A690" t="s">
        <v>1788</v>
      </c>
      <c r="B690" t="s">
        <v>1824</v>
      </c>
      <c r="C690" t="s">
        <v>12</v>
      </c>
      <c r="D690" t="s">
        <v>55</v>
      </c>
      <c r="E690" t="s">
        <v>1825</v>
      </c>
      <c r="F690">
        <f>HYPERLINK("http://clipc-services.ceda.ac.uk/dreq/u/43cf738374ffa1253a603ea54447203f.html","web")</f>
        <v>0</v>
      </c>
      <c r="G690" t="s">
        <v>256</v>
      </c>
      <c r="H690" t="s">
        <v>257</v>
      </c>
      <c r="J690" t="s">
        <v>1826</v>
      </c>
    </row>
    <row r="691" spans="1:10">
      <c r="A691" t="s">
        <v>1788</v>
      </c>
      <c r="B691" t="s">
        <v>1827</v>
      </c>
      <c r="C691" t="s">
        <v>12</v>
      </c>
      <c r="D691" t="s">
        <v>55</v>
      </c>
      <c r="E691" t="s">
        <v>1828</v>
      </c>
      <c r="F691">
        <f>HYPERLINK("http://clipc-services.ceda.ac.uk/dreq/u/45f5477848196383f1ac8039e0dcfcab.html","web")</f>
        <v>0</v>
      </c>
      <c r="G691" t="s">
        <v>256</v>
      </c>
      <c r="H691" t="s">
        <v>257</v>
      </c>
      <c r="I691" t="s">
        <v>1829</v>
      </c>
      <c r="J691" t="s">
        <v>1826</v>
      </c>
    </row>
    <row r="692" spans="1:10">
      <c r="A692" t="s">
        <v>1788</v>
      </c>
      <c r="B692" t="s">
        <v>1830</v>
      </c>
      <c r="C692" t="s">
        <v>86</v>
      </c>
      <c r="D692" t="s">
        <v>55</v>
      </c>
      <c r="E692" t="s">
        <v>1831</v>
      </c>
      <c r="F692">
        <f>HYPERLINK("http://clipc-services.ceda.ac.uk/dreq/u/50e31118c282faf3bfc90b25909433c1.html","web")</f>
        <v>0</v>
      </c>
      <c r="G692" t="s">
        <v>256</v>
      </c>
      <c r="H692" t="s">
        <v>257</v>
      </c>
      <c r="I692" t="s">
        <v>1832</v>
      </c>
      <c r="J692" t="s">
        <v>1833</v>
      </c>
    </row>
    <row r="693" spans="1:10">
      <c r="A693" t="s">
        <v>1788</v>
      </c>
      <c r="B693" t="s">
        <v>1834</v>
      </c>
      <c r="C693" t="s">
        <v>86</v>
      </c>
      <c r="D693" t="s">
        <v>55</v>
      </c>
      <c r="E693" t="s">
        <v>1835</v>
      </c>
      <c r="F693">
        <f>HYPERLINK("http://clipc-services.ceda.ac.uk/dreq/u/e897309433f283b8bf1a4c60dc310edd.html","web")</f>
        <v>0</v>
      </c>
      <c r="G693" t="s">
        <v>256</v>
      </c>
      <c r="H693" t="s">
        <v>257</v>
      </c>
      <c r="I693" t="s">
        <v>1836</v>
      </c>
      <c r="J693" t="s">
        <v>1833</v>
      </c>
    </row>
    <row r="694" spans="1:10">
      <c r="A694" t="s">
        <v>1788</v>
      </c>
      <c r="B694" t="s">
        <v>1837</v>
      </c>
      <c r="C694" t="s">
        <v>86</v>
      </c>
      <c r="D694" t="s">
        <v>55</v>
      </c>
      <c r="E694" t="s">
        <v>1550</v>
      </c>
      <c r="F694">
        <f>HYPERLINK("http://clipc-services.ceda.ac.uk/dreq/u/d6623215ad4c16c43b649e0c17ebad7e.html","web")</f>
        <v>0</v>
      </c>
      <c r="G694" t="s">
        <v>1838</v>
      </c>
      <c r="H694" t="s">
        <v>257</v>
      </c>
      <c r="I694" t="s">
        <v>1839</v>
      </c>
      <c r="J694" t="s">
        <v>1815</v>
      </c>
    </row>
    <row r="695" spans="1:10">
      <c r="A695" t="s">
        <v>1788</v>
      </c>
      <c r="B695" t="s">
        <v>1840</v>
      </c>
      <c r="C695" t="s">
        <v>86</v>
      </c>
      <c r="D695" t="s">
        <v>55</v>
      </c>
      <c r="E695" t="s">
        <v>1552</v>
      </c>
      <c r="F695">
        <f>HYPERLINK("http://clipc-services.ceda.ac.uk/dreq/u/edffed802a10e341650e8d25ed05581f.html","web")</f>
        <v>0</v>
      </c>
      <c r="G695" t="s">
        <v>256</v>
      </c>
      <c r="H695" t="s">
        <v>257</v>
      </c>
      <c r="J695" t="s">
        <v>1815</v>
      </c>
    </row>
    <row r="696" spans="1:10">
      <c r="A696" t="s">
        <v>1788</v>
      </c>
      <c r="B696" t="s">
        <v>1841</v>
      </c>
      <c r="C696" t="s">
        <v>86</v>
      </c>
      <c r="D696" t="s">
        <v>55</v>
      </c>
      <c r="E696" t="s">
        <v>1555</v>
      </c>
      <c r="F696">
        <f>HYPERLINK("http://clipc-services.ceda.ac.uk/dreq/u/226e0454adb91fa1d508255d66ed8daf.html","web")</f>
        <v>0</v>
      </c>
      <c r="G696" t="s">
        <v>256</v>
      </c>
      <c r="H696" t="s">
        <v>257</v>
      </c>
      <c r="J696" t="s">
        <v>1815</v>
      </c>
    </row>
    <row r="697" spans="1:10">
      <c r="A697" t="s">
        <v>1788</v>
      </c>
      <c r="B697" t="s">
        <v>1842</v>
      </c>
      <c r="C697" t="s">
        <v>86</v>
      </c>
      <c r="D697" t="s">
        <v>55</v>
      </c>
      <c r="E697" t="s">
        <v>1843</v>
      </c>
      <c r="F697">
        <f>HYPERLINK("http://clipc-services.ceda.ac.uk/dreq/u/e072c35c161c93f2320579511ed1849f.html","web")</f>
        <v>0</v>
      </c>
      <c r="G697" t="s">
        <v>256</v>
      </c>
      <c r="H697" t="s">
        <v>257</v>
      </c>
      <c r="I697" t="s">
        <v>1844</v>
      </c>
      <c r="J697" t="s">
        <v>1815</v>
      </c>
    </row>
    <row r="698" spans="1:10">
      <c r="A698" t="s">
        <v>1788</v>
      </c>
      <c r="B698" t="s">
        <v>1845</v>
      </c>
      <c r="C698" t="s">
        <v>86</v>
      </c>
      <c r="D698" t="s">
        <v>55</v>
      </c>
      <c r="E698" t="s">
        <v>1846</v>
      </c>
      <c r="F698">
        <f>HYPERLINK("http://clipc-services.ceda.ac.uk/dreq/u/da701000818e31103a9b7d9eedee14a2.html","web")</f>
        <v>0</v>
      </c>
      <c r="G698" t="s">
        <v>256</v>
      </c>
      <c r="H698" t="s">
        <v>257</v>
      </c>
      <c r="I698" t="s">
        <v>1847</v>
      </c>
      <c r="J698" t="s">
        <v>1815</v>
      </c>
    </row>
    <row r="699" spans="1:10">
      <c r="A699" t="s">
        <v>1788</v>
      </c>
      <c r="B699" t="s">
        <v>1848</v>
      </c>
      <c r="C699" t="s">
        <v>86</v>
      </c>
      <c r="D699" t="s">
        <v>55</v>
      </c>
      <c r="E699" t="s">
        <v>1849</v>
      </c>
      <c r="F699">
        <f>HYPERLINK("http://clipc-services.ceda.ac.uk/dreq/u/369a3a9e55ca8e6729a62a79bf701e5d.html","web")</f>
        <v>0</v>
      </c>
      <c r="G699" t="s">
        <v>256</v>
      </c>
      <c r="H699" t="s">
        <v>257</v>
      </c>
      <c r="I699" t="s">
        <v>1850</v>
      </c>
      <c r="J699" t="s">
        <v>1815</v>
      </c>
    </row>
    <row r="700" spans="1:10">
      <c r="A700" t="s">
        <v>1788</v>
      </c>
      <c r="B700" t="s">
        <v>1851</v>
      </c>
      <c r="C700" t="s">
        <v>86</v>
      </c>
      <c r="D700" t="s">
        <v>1852</v>
      </c>
      <c r="E700" t="s">
        <v>1853</v>
      </c>
      <c r="F700">
        <f>HYPERLINK("http://clipc-services.ceda.ac.uk/dreq/u/f3710647d155ec76d2c4cdfa866be579.html","web")</f>
        <v>0</v>
      </c>
      <c r="G700" t="s">
        <v>256</v>
      </c>
      <c r="H700" t="s">
        <v>257</v>
      </c>
      <c r="I700" t="s">
        <v>1854</v>
      </c>
      <c r="J700" t="s">
        <v>1811</v>
      </c>
    </row>
    <row r="701" spans="1:10">
      <c r="A701" t="s">
        <v>1788</v>
      </c>
      <c r="B701" t="s">
        <v>1855</v>
      </c>
      <c r="C701" t="s">
        <v>86</v>
      </c>
      <c r="D701" t="s">
        <v>55</v>
      </c>
      <c r="E701" t="s">
        <v>1856</v>
      </c>
      <c r="F701">
        <f>HYPERLINK("http://clipc-services.ceda.ac.uk/dreq/u/f7237f04672f809d49922d1b995f281f.html","web")</f>
        <v>0</v>
      </c>
      <c r="G701" t="s">
        <v>1857</v>
      </c>
      <c r="H701" t="s">
        <v>257</v>
      </c>
      <c r="J701" t="s">
        <v>1815</v>
      </c>
    </row>
    <row r="702" spans="1:10">
      <c r="A702" t="s">
        <v>1788</v>
      </c>
      <c r="B702" t="s">
        <v>1858</v>
      </c>
      <c r="C702" t="s">
        <v>86</v>
      </c>
      <c r="D702" t="s">
        <v>55</v>
      </c>
      <c r="E702" t="s">
        <v>1859</v>
      </c>
      <c r="F702">
        <f>HYPERLINK("http://clipc-services.ceda.ac.uk/dreq/u/640213ff812312e3ac8bf134f483ed0d.html","web")</f>
        <v>0</v>
      </c>
      <c r="G702" t="s">
        <v>1860</v>
      </c>
      <c r="H702" t="s">
        <v>257</v>
      </c>
      <c r="J702" t="s">
        <v>1815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2018-04-10T12:37:33Z</dcterms:created>
  <dcterms:modified xsi:type="dcterms:W3CDTF">2018-04-10T12:37:33Z</dcterms:modified>
</cp:coreProperties>
</file>