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<sst xmlns="http://schemas.openxmlformats.org/spreadsheetml/2006/main" count="3570" uniqueCount="1099">
  <si>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</si>
  <si>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</si>
  <si>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</si>
  <si>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</si>
  <si>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</si>
  <si>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</si>
  <si>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</si>
  <si>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</si>
  <si>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</si>
  <si>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</si>
  <si>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</si>
  <si>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</si>
  <si>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</si>
  <si>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</si>
  <si>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</si>
  <si>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Fraction</t>
  </si>
  <si>
    <t xml:space="preserve">%</t>
  </si>
  <si>
    <t xml:space="preserve">For Greenland this is the same as above sftgif. We do not have Antarctic ice sheet.</t>
  </si>
  <si>
    <t xml:space="preserve">Shuting</t>
  </si>
  <si>
    <t xml:space="preserve">Fraction of grid cell covered by grounded ice sheet</t>
  </si>
  <si>
    <t xml:space="preserve">CMIP,ISMIP6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</si>
  <si>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</si>
  <si>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</si>
  <si>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</si>
  <si>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</si>
  <si>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</si>
  <si>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Percentage water content of soil by volume at the wilting point. The wilting point of soil is the water content below which plants cannot extract sufficient water to balance their loss through transpiration. </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</si>
  <si>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</si>
  <si>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</si>
  <si>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</si>
  <si>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</si>
  <si>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The field capacity of soil is the maximum content of water it can retain against gravitational drainage. Provide as a percentage of the soil volume.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</si>
  <si>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</si>
  <si>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</si>
  <si>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</si>
  <si>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</si>
  <si>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</si>
  <si>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</si>
  <si>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</si>
  <si>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</si>
  <si>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</si>
  <si>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</si>
  <si>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</si>
  <si>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</si>
  <si>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1e-6 m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</si>
  <si>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</si>
  <si>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</si>
  <si>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</si>
  <si>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</si>
  <si>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</si>
  <si>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</si>
  <si>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'Content' indicates a quantity per unit area.</t>
  </si>
  <si>
    <t xml:space="preserve">slthick</t>
  </si>
  <si>
    <t xml:space="preserve">Thickness of Soil Layers</t>
  </si>
  <si>
    <t xml:space="preserve">m</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</si>
  <si>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</si>
  <si>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</si>
  <si>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grid-cell.</t>
  </si>
  <si>
    <t xml:space="preserve">6hrLev</t>
  </si>
  <si>
    <t xml:space="preserve">ec550aer</t>
  </si>
  <si>
    <t xml:space="preserve">longitude latitude alevel time1 lambda550nm</t>
  </si>
  <si>
    <t xml:space="preserve">Aerosol extinction coefficient</t>
  </si>
  <si>
    <t xml:space="preserve">m-1</t>
  </si>
  <si>
    <t xml:space="preserve">This TM5  variable name equals the cmor name. Postprocessing in ece2cmor3 has to be added.</t>
  </si>
  <si>
    <t xml:space="preserve">Tommi Bergman</t>
  </si>
  <si>
    <t xml:space="preserve">Aerosol Extinction at 550nm</t>
  </si>
  <si>
    <t xml:space="preserve">AerChemMIP</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</si>
  <si>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</si>
  <si>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</si>
  <si>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</si>
  <si>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</si>
  <si>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</si>
  <si>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</si>
  <si>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</si>
  <si>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</si>
  <si>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ISMIP6</t>
  </si>
  <si>
    <t xml:space="preserve">CFday</t>
  </si>
  <si>
    <t xml:space="preserve">cltisccp</t>
  </si>
  <si>
    <t xml:space="preserve">longitude latitude time</t>
  </si>
  <si>
    <t xml:space="preserve">ISCCP Total Total Cloud Fraction</t>
  </si>
  <si>
    <t xml:space="preserve">COSP: ISCCP total cloud area, CVEXTRA(5)='94 ISCCP_TOTALCLDAREA'</t>
  </si>
  <si>
    <t xml:space="preserve">Klaus</t>
  </si>
  <si>
    <t xml:space="preserve">Percentage total cloud cover, simulating ISCCP observations.</t>
  </si>
  <si>
    <t xml:space="preserve">CFMIP,HighResMIP</t>
  </si>
  <si>
    <t xml:space="preserve">albisccp</t>
  </si>
  <si>
    <t xml:space="preserve">ISCCP Mean Cloud Albedo</t>
  </si>
  <si>
    <t xml:space="preserve">COSP: ISCCP cloud albedo, CVEXTRA(7)='96 ISCCP_MEANALBEDOCLD'</t>
  </si>
  <si>
    <t xml:space="preserve">ISCCP Mean Cloud Albedo. Time-means are weighted by the ISCCP Total Cloud Fraction {:cltisccp} - see  http://cfmip.metoffice.com/COSP.html</t>
  </si>
  <si>
    <t xml:space="preserve">pctisccp</t>
  </si>
  <si>
    <t xml:space="preserve">ISCCP Mean Cloud Top Pressure</t>
  </si>
  <si>
    <t xml:space="preserve">Pa</t>
  </si>
  <si>
    <t xml:space="preserve">COSP: ISCCP cloud top pressure, CVEXTRA(6)='95 ISCCP_MEANPTOP'</t>
  </si>
  <si>
    <t xml:space="preserve">ISCCP Mean Cloud Top Pressure. Time-means are weighted by the ISCCP Total Cloud Fraction {:cltisccp} - see  http://cfmip.metoffice.com/COSP.html</t>
  </si>
  <si>
    <t xml:space="preserve">cltcalipso</t>
  </si>
  <si>
    <t xml:space="preserve">CALIPSO Total Cloud Fraction</t>
  </si>
  <si>
    <t xml:space="preserve">COSP: CALIPSO total cloud cover, CVEXTRA(4)='93 CALIPSO_CLDLAYER TOTAL'</t>
  </si>
  <si>
    <t xml:space="preserve">'X_area_fraction'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</si>
  <si>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 xml:space="preserve">cllcalipso</t>
  </si>
  <si>
    <t xml:space="preserve">longitude latitude time p840</t>
  </si>
  <si>
    <t xml:space="preserve">CALIPSO Low Level Cloud Fraction</t>
  </si>
  <si>
    <t xml:space="preserve">COSP: CALIPSO low cloud cover, CVEXTRA(1)='90 CALIPSO_CLDLAYER LOW'</t>
  </si>
  <si>
    <t xml:space="preserve">Percentage cloud cover in layer centred on 840hPa</t>
  </si>
  <si>
    <t xml:space="preserve">clmcalipso</t>
  </si>
  <si>
    <t xml:space="preserve">longitude latitude time p560</t>
  </si>
  <si>
    <t xml:space="preserve">CALIPSO Mid Level Cloud Fraction</t>
  </si>
  <si>
    <t xml:space="preserve">COSP: CALIPSO mid cloud cover, CVEXTRA(2)='91 CALIPSO_CLDLAYER MID'</t>
  </si>
  <si>
    <t xml:space="preserve">Percentage cloud cover in layer centred on 560hPa</t>
  </si>
  <si>
    <t xml:space="preserve">clhcalipso</t>
  </si>
  <si>
    <t xml:space="preserve">longitude latitude time p220</t>
  </si>
  <si>
    <t xml:space="preserve">CALIPSO High Level Cloud Fraction</t>
  </si>
  <si>
    <t xml:space="preserve">COSP: CALIPSO high cloud cover, CVEXTRA(3)='92 CALIPSO_CLDLAYER HIGH'</t>
  </si>
  <si>
    <t xml:space="preserve">Percentage cloud cover in layer centred on 220hPa</t>
  </si>
  <si>
    <t xml:space="preserve">phalf</t>
  </si>
  <si>
    <t xml:space="preserve">longitude latitude alevhalf time</t>
  </si>
  <si>
    <t xml:space="preserve">Pressure on Model Half-Levels</t>
  </si>
  <si>
    <t xml:space="preserve">Air pressure on model half-levels</t>
  </si>
  <si>
    <t xml:space="preserve">Eyr</t>
  </si>
  <si>
    <t xml:space="preserve">treeFrac</t>
  </si>
  <si>
    <t xml:space="preserve">2</t>
  </si>
  <si>
    <t xml:space="preserve">longitude latitude time typetree</t>
  </si>
  <si>
    <t xml:space="preserve">Tree Cover Fraction</t>
  </si>
  <si>
    <t xml:space="preserve">Available in LPJ-GUESS, will be cmorized by Peter Anthoni &amp; Lars Nieradzik</t>
  </si>
  <si>
    <t xml:space="preserve">David Warlind</t>
  </si>
  <si>
    <t xml:space="preserve">Percentage of entire grid cell  that is covered by trees.</t>
  </si>
  <si>
    <t xml:space="preserve">CMIP,DCPP,PAMIP</t>
  </si>
  <si>
    <t xml:space="preserve">grassFrac</t>
  </si>
  <si>
    <t xml:space="preserve">longitude latitude time typenatgr</t>
  </si>
  <si>
    <t xml:space="preserve">Natural Grass Area Percentage</t>
  </si>
  <si>
    <t xml:space="preserve">Fraction of entire grid cell that is covered by natural grass.</t>
  </si>
  <si>
    <t xml:space="preserve">shrubFrac</t>
  </si>
  <si>
    <t xml:space="preserve">longitude latitude time typeshrub</t>
  </si>
  <si>
    <t xml:space="preserve">Percentage Cover by Shrub</t>
  </si>
  <si>
    <t xml:space="preserve">Available in LPJ-GUESS, will be cmorized by Peter Anthoni &amp; Lars Nieradzik. Included for future use</t>
  </si>
  <si>
    <t xml:space="preserve">Percentage of entire grid cell  that is covered by shrub.</t>
  </si>
  <si>
    <t xml:space="preserve">cropFrac</t>
  </si>
  <si>
    <t xml:space="preserve">longitude latitude time typecrop</t>
  </si>
  <si>
    <t xml:space="preserve">Percentage Crop Cover</t>
  </si>
  <si>
    <t xml:space="preserve">Percentage of entire grid cell  that is covered by crop.</t>
  </si>
  <si>
    <t xml:space="preserve">baresoilFrac</t>
  </si>
  <si>
    <t xml:space="preserve">longitude latitude time typebare</t>
  </si>
  <si>
    <t xml:space="preserve">Bare Soil Percentage</t>
  </si>
  <si>
    <t xml:space="preserve">Percentage of entire grid cell  that is covered by bare soil.</t>
  </si>
  <si>
    <t xml:space="preserve">residualFrac</t>
  </si>
  <si>
    <t xml:space="preserve">longitude latitude time typeresidual</t>
  </si>
  <si>
    <t xml:space="preserve">Percentage of Grid Cell that is Land but Neither Vegetation-Covered nor Bare Soil</t>
  </si>
  <si>
    <t xml:space="preserve">Percentage of entire grid cell  that is land and is covered by  neither vegetation nor bare-soil (e.g., urban, ice, lakes, etc.)</t>
  </si>
  <si>
    <t xml:space="preserve">DCPP,PAMIP</t>
  </si>
  <si>
    <t xml:space="preserve">cSoilLut</t>
  </si>
  <si>
    <t xml:space="preserve">longitude latitude landUse time1</t>
  </si>
  <si>
    <t xml:space="preserve">carbon  in soil pool on land use tiles</t>
  </si>
  <si>
    <t xml:space="preserve">end of year values (not annual mean)</t>
  </si>
  <si>
    <t xml:space="preserve">LUMIP</t>
  </si>
  <si>
    <t xml:space="preserve">cVegLut</t>
  </si>
  <si>
    <t xml:space="preserve">carbon in vegetation on land use tiles</t>
  </si>
  <si>
    <t xml:space="preserve">cLitterLut</t>
  </si>
  <si>
    <t xml:space="preserve">carbon  in above and belowground litter pools on land use tiles</t>
  </si>
  <si>
    <t xml:space="preserve">cProductLut</t>
  </si>
  <si>
    <t xml:space="preserve">wood and agricultural product pool carbon associated with land use tiles; examples of products include paper, cardboard, timber for construction, and crop harvest for food or fuel.</t>
  </si>
  <si>
    <t xml:space="preserve">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</si>
  <si>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 xml:space="preserve">cSoil</t>
  </si>
  <si>
    <t xml:space="preserve">longitude latitude time1</t>
  </si>
  <si>
    <t xml:space="preserve">Carbon Mass in Soil Pool</t>
  </si>
  <si>
    <t xml:space="preserve">Carbon mass in the full depth of the soil model.</t>
  </si>
  <si>
    <t xml:space="preserve">cVeg</t>
  </si>
  <si>
    <t xml:space="preserve">Carbon Mass in Vegetation</t>
  </si>
  <si>
    <t xml:space="preserve">Carbon mass per unit area in vegetation.</t>
  </si>
  <si>
    <t xml:space="preserve">cLitter</t>
  </si>
  <si>
    <t xml:space="preserve">Carbon Mass in Litter Pool</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</si>
  <si>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</si>
  <si>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cProduct</t>
  </si>
  <si>
    <t xml:space="preserve">Carbon Mass in Products of Land Use Change</t>
  </si>
  <si>
    <t xml:space="preserve">Carbon mass per unit area in that has been removed from the environment through  land use change.</t>
  </si>
  <si>
    <t xml:space="preserve">fracOutLut</t>
  </si>
  <si>
    <t xml:space="preserve">longitude latitude landUse time</t>
  </si>
  <si>
    <t xml:space="preserve">Annual gross percentage of land use tile  that was transferred into other land use tiles</t>
  </si>
  <si>
    <t xml:space="preserve">Cumulative percentage trasitions over the year; note that percentage should be reported as percentage of atmospheric grid cell</t>
  </si>
  <si>
    <t xml:space="preserve">CMIP,LUMIP</t>
  </si>
  <si>
    <t xml:space="preserve">fracInLut</t>
  </si>
  <si>
    <t xml:space="preserve">Annual gross percentage that was transferred into this tile from other land use tiles</t>
  </si>
  <si>
    <t xml:space="preserve">Cumulative percentage transitions over the year; note that percentage should be reported as a percentage of atmospheric grid cell</t>
  </si>
  <si>
    <t xml:space="preserve">fracLut</t>
  </si>
  <si>
    <t xml:space="preserve">Percentage of grid cell for each land use tile</t>
  </si>
  <si>
    <t xml:space="preserve">End of year values (not annual mean); note that percentage should be reported as percentage of land grid cell (example: frac_lnd = 0.5, frac_ocn = 0.5, frac_crop_lnd = 0.2 (of land portion of grid cell), then frac_lut(crop) = 0.5*0.2 = 0.1)</t>
  </si>
  <si>
    <t xml:space="preserve">LImon</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</si>
  <si>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</si>
  <si>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</si>
  <si>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</si>
  <si>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</si>
  <si>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</si>
  <si>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</si>
  <si>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</si>
  <si>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</si>
  <si>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</si>
  <si>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</si>
  <si>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SImon</t>
  </si>
  <si>
    <t xml:space="preserve">siflswdtop</t>
  </si>
  <si>
    <t xml:space="preserve">Downwelling shortwave flux over sea ice</t>
  </si>
  <si>
    <t xml:space="preserve">W m-2</t>
  </si>
  <si>
    <t xml:space="preserve">Variable qsr_ice (solar heat flux at ice surface, W/m2),     &lt;field id="qsr_ice"   long_name="solar heat flux at ice surface: sum over categories"    standard_name="surface_downwelling_shortwave_flux_in_air"    unit="W/m2" </t>
  </si>
  <si>
    <t xml:space="preserve">David Docquier, Torben</t>
  </si>
  <si>
    <t xml:space="preserve">The downwelling shortwave flux over sea ice (always positive by sign convention)</t>
  </si>
  <si>
    <t xml:space="preserve">C4MIP,CMIP,FAFMIP,GMMIP,GeoMIP,HighResMIP,LS3MIP,PMIP,RFMIP,SIMIP,VIACSAB</t>
  </si>
  <si>
    <t xml:space="preserve">CFmon</t>
  </si>
  <si>
    <t xml:space="preserve">tnt</t>
  </si>
  <si>
    <t xml:space="preserve">longitude latitude alevel time</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</si>
  <si>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</si>
  <si>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</si>
  <si>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</si>
  <si>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</si>
  <si>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AerChemMIP,CFMIP,DAMIP,GeoMIP,HighResMIP,PMIP</t>
  </si>
  <si>
    <t xml:space="preserve">ISCCP Total Cloud Fraction</t>
  </si>
  <si>
    <t xml:space="preserve">AerChemMIP,CFMIP,DAMIP,HighResMIP,PMIP,RFMIP,VIACSAB</t>
  </si>
  <si>
    <t xml:space="preserve">AerChemMIP,CFMIP,DAMIP,HighResMIP,RFMIP</t>
  </si>
  <si>
    <t xml:space="preserve">CALIPSO Percentage Total Cloud</t>
  </si>
  <si>
    <t xml:space="preserve">AerChemMIP,CFMIP,DAMIP,HighResMIP,RFMIP,VIACSAB</t>
  </si>
  <si>
    <t xml:space="preserve">CALIPSO Percentage Low Level Cloud</t>
  </si>
  <si>
    <t xml:space="preserve">CALIPSO Percentage Mid Level Cloud</t>
  </si>
  <si>
    <t xml:space="preserve">CALIPSO Percentage High Level Cloud</t>
  </si>
  <si>
    <t xml:space="preserve">Omon</t>
  </si>
  <si>
    <t xml:space="preserve">dissicnatos</t>
  </si>
  <si>
    <t xml:space="preserve">Surface Natural Dissolved Inorganic Carbon Concentration</t>
  </si>
  <si>
    <t xml:space="preserve">mol m-3</t>
  </si>
  <si>
    <t xml:space="preserve">Available in PISCES: DIC in upper layer (DIC in simulation where ocean biogeochemistry sees preindustrial atmospheric pCO2 but radiative forcing sees historical+future atmospheric CO2)</t>
  </si>
  <si>
    <t xml:space="preserve">Raffaele Bernardello</t>
  </si>
  <si>
    <t xml:space="preserve">Dissolved inorganic carbon (CO3+HCO3+H2CO3) concentration at preindustrial atmospheric xCO2</t>
  </si>
  <si>
    <t xml:space="preserve">AerChemMIP,C4MIP,CMIP,GMMIP,GeoMIP,HighResMIP,LS3MIP,OMIP</t>
  </si>
  <si>
    <t xml:space="preserve">talknatos</t>
  </si>
  <si>
    <t xml:space="preserve">Surface Natural Total Alkalinity</t>
  </si>
  <si>
    <t xml:space="preserve">Available in PISCES: Alkalini in upper layer (Alkalini in simulation where ocean biogeochemistry sees preindustrial atmospheric pCO2 but radiative forcing sees historical+future atmospheric CO2)</t>
  </si>
  <si>
    <t xml:space="preserve">total alkalinity equivalent concentration (including carbonate, borate, phosphorus, silicon, and nitrogen components) at preindustrial atmospheric xCO2</t>
  </si>
  <si>
    <t xml:space="preserve">wfcorr</t>
  </si>
  <si>
    <t xml:space="preserve">Water Flux Correction</t>
  </si>
  <si>
    <t xml:space="preserve">(Not available in NEMO-OPA.)  Torben: &lt;field field_ref="erp"    name="wfcorr"   long_name="water_flux_correction" </t>
  </si>
  <si>
    <t xml:space="preserve">Raffaele, Torben</t>
  </si>
  <si>
    <t xml:space="preserve">Positive flux implies correction adds water to ocean.</t>
  </si>
  <si>
    <t xml:space="preserve">AerChemMIP,C4MIP,CMIP,DAMIP,GMMIP,GeoMIP,HighResMIP,LS3MIP,OMIP,VIACSAB</t>
  </si>
  <si>
    <t xml:space="preserve">hfibthermds</t>
  </si>
  <si>
    <t xml:space="preserve">longitude latitude olevel time</t>
  </si>
  <si>
    <t xml:space="preserve">Heat Flux into Sea Water due to Iceberg Thermodynamics</t>
  </si>
  <si>
    <t xml:space="preserve">Available in OPA: &lt;field id="hflx_cal_cea"  long_name="heat flux due to calving"   standard_name="heat_flux_into_sea_water_due_to_iceberg_thermodynamics   &lt;!-- available if key_oasis3 + conservative method --&gt;</t>
  </si>
  <si>
    <t xml:space="preserve">Torben</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</si>
  <si>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</si>
  <si>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</si>
  <si>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rlntds</t>
  </si>
  <si>
    <t xml:space="preserve">Surface Net Downward Longwave Radiation</t>
  </si>
  <si>
    <t xml:space="preserve">Available in OPA: &lt;field id="qlw_oce"   long_name="Longwave Downward Heat Flux over open ocean"  standard_name="surface_net_downward_longwave_flux"   unit="W/m2"  /&gt;</t>
  </si>
  <si>
    <t xml:space="preserve">This is defined as 'where ice_free_sea over sea'</t>
  </si>
  <si>
    <t xml:space="preserve">AerChemMIP,C4MIP,CMIP,GMMIP,GeoMIP,HighResMIP,LS3MIP,OMIP,VIACSAB,VolMIP</t>
  </si>
  <si>
    <t xml:space="preserve">hflso</t>
  </si>
  <si>
    <t xml:space="preserve">Surface Downward Latent Heat Flux</t>
  </si>
  <si>
    <t xml:space="preserve">Available in OPA: &lt;field id="qla_oce" long_name="Latent Downward Heat Flux over open ocean" standard_name="surface_downward_latent_heat_flux" unit="W/m2" /&gt;</t>
  </si>
  <si>
    <t xml:space="preserve">This is defined as with the cell methods string: where ice_free_sea over sea</t>
  </si>
  <si>
    <t xml:space="preserve">hfsso</t>
  </si>
  <si>
    <t xml:space="preserve">Surface Downward Sensible Heat Flux</t>
  </si>
  <si>
    <t xml:space="preserve">Available in OPA: &lt;field id="qsb_oce" long_name="Sensible Downward Heat Flux over open ocean" standard_name="surface_downward_sensible_heat_flux" unit="W/m2" /&gt;</t>
  </si>
  <si>
    <t xml:space="preserve">hfcorr</t>
  </si>
  <si>
    <t xml:space="preserve">Heat Flux Correction</t>
  </si>
  <si>
    <t xml:space="preserve">(Not available in NEMO-OPA.)  Torben: &lt;field field_ref="qrp"     name="hfcorr"      long_name="heat_flux_correction"</t>
  </si>
  <si>
    <t xml:space="preserve">Flux correction is also called 'flux adjustment'. A positive flux correction is downward i.e. added to the ocean. In accordance with common usage in geophysical disciplines, 'flux' implies per unit area, called 'flux density' in physics.</t>
  </si>
  <si>
    <t xml:space="preserve">AerChemMIP,C4MIP,CMIP,DAMIP,GMMIP,GeoMIP,HighResMIP,LS3MIP,OMIP,VIACSAB,VolMIP</t>
  </si>
  <si>
    <t xml:space="preserve">IfxGre</t>
  </si>
  <si>
    <t xml:space="preserve">areacellg</t>
  </si>
  <si>
    <t xml:space="preserve">longitude latitude</t>
  </si>
  <si>
    <t xml:space="preserve">Grid-Cell Area for Ice Sheet Variables</t>
  </si>
  <si>
    <t xml:space="preserve">m2</t>
  </si>
  <si>
    <t xml:space="preserve">Available in PISM. This is the ice sheet mask (in fraction) defined in the ice sheet model grid</t>
  </si>
  <si>
    <t xml:space="preserve">Area of the target grid (not the interpolated area of the source grid).</t>
  </si>
  <si>
    <t xml:space="preserve">Amon</t>
  </si>
  <si>
    <t xml:space="preserve">fco2antt</t>
  </si>
  <si>
    <t xml:space="preserve">Carbon Mass Flux into Atmosphere Due to All Anthropogenic Emissions of CO2</t>
  </si>
  <si>
    <t xml:space="preserve">Available in LPJ-GUESS, will be cmorized by Peter Anthoni &amp; Lars Nieradzik.  Previous: Not available in the AOGCM, neither in TM5. TM5 can only provide total fluxes. Maybe sum the land use in LPJ-GUESS + fossil fuel from CEDS? This means it then has to be added in an additional post processing step.</t>
  </si>
  <si>
    <t xml:space="preserve">David Warlind, Tommi Bergman</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</si>
  <si>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</si>
  <si>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AerChemMIP,C4MIP,CMIP,DAMIP,FAFMIP,GMMIP,GeoMIP,HighResMIP,LS3MIP,LUMIP,RFMIP,VIACSAB,VolMIP</t>
  </si>
  <si>
    <t xml:space="preserve">fco2fos</t>
  </si>
  <si>
    <t xml:space="preserve">Carbon Mass Flux into Atmosphere Due to Fossil Fuel Emissions of CO2</t>
  </si>
  <si>
    <t xml:space="preserve">Not available in the AOGCM, neither in TM5. TM5 can only provide total fluxes. Fossil fuel emissions are based on CEDS, and can therefore be constructed from the forcing data.</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</si>
  <si>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</si>
  <si>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</si>
  <si>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</si>
  <si>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Available in LPJ-GUESS, will be cmorized by Peter Anthoni &amp; Lars Nieradzik.  Previous: Not available in the AOGCM, neither in TM5. TM5 can only provide total fluxes. It is not clear to us if this variable includes the contribution from land use. This variable can be calculated from the total CO2 flux provided by TM5 and the contributions from CEDS and land use from LPJ-GUESS. This "Surface Carbon Mass Flux into the Atmosphere Due to Natural Sources" could be provided by LPJ-GUESS but its definition is very vague... Should we include emissions from managed forests? Cropland? Pasture? Any managed land? If a land has a history of being managed, but now is "natural"?</t>
  </si>
  <si>
    <t xml:space="preserve">This is what the atmosphere sees (on its own grid).  This field should be equivalent to the combined natural fluxes of carbon  that account for natural exchanges between the atmosphere and land (nep) or ocean (fgco2) reservoirs.</t>
  </si>
  <si>
    <t xml:space="preserve">o3</t>
  </si>
  <si>
    <t xml:space="preserve">longitude latitude plev19 time</t>
  </si>
  <si>
    <t xml:space="preserve">Mole Fraction of O3</t>
  </si>
  <si>
    <t xml:space="preserve">mol mol-1</t>
  </si>
  <si>
    <t xml:space="preserve">Mole fraction is used in the construction mole_fraction_of_X_in_Y, where X is a material constituent of Y.</t>
  </si>
  <si>
    <t xml:space="preserve">AerChemMIP,C4MIP,CFMIP,CMIP,DAMIP,FAFMIP,GMMIP,GeoMIP,HighResMIP,LS3MIP,LUMIP,RFMIP,VolMIP</t>
  </si>
  <si>
    <t xml:space="preserve">o3Clim</t>
  </si>
  <si>
    <t xml:space="preserve">longitude latitude plev19 time2</t>
  </si>
  <si>
    <t xml:space="preserve">Not available in the AOGCM, but will be added by Tommi  in the ESM in TM5 with its cmor name.</t>
  </si>
  <si>
    <t xml:space="preserve">co2</t>
  </si>
  <si>
    <t xml:space="preserve">Mole Fraction of CO2</t>
  </si>
  <si>
    <t xml:space="preserve">AerChemMIP,C4MIP,CFMIP,CMIP,DAMIP,FAFMIP,GMMIP,GeoMIP,HighResMIP,LS3MIP,LUMIP,PMIP,RFMIP,VolMIP</t>
  </si>
  <si>
    <t xml:space="preserve">co2Clim</t>
  </si>
  <si>
    <t xml:space="preserve">co2mass</t>
  </si>
  <si>
    <t xml:space="preserve">time</t>
  </si>
  <si>
    <t xml:space="preserve">Total Atmospheric Mass of CO2</t>
  </si>
  <si>
    <t xml:space="preserve">kg</t>
  </si>
  <si>
    <t xml:space="preserve">Total atmospheric mass of Carbon Dioxide</t>
  </si>
  <si>
    <t xml:space="preserve">co2massClim</t>
  </si>
  <si>
    <t xml:space="preserve">time2</t>
  </si>
  <si>
    <t xml:space="preserve">ch4</t>
  </si>
  <si>
    <t xml:space="preserve">Mole Fraction of CH4</t>
  </si>
  <si>
    <t xml:space="preserve">ch4Clim</t>
  </si>
  <si>
    <t xml:space="preserve">ch4global</t>
  </si>
  <si>
    <t xml:space="preserve">Global Mean Mole Fraction of CH4</t>
  </si>
  <si>
    <t xml:space="preserve">1e-09</t>
  </si>
  <si>
    <t xml:space="preserve">ch4globalClim</t>
  </si>
  <si>
    <t xml:space="preserve">longitude latitude alevhalf time2</t>
  </si>
  <si>
    <t xml:space="preserve">AerChemMIP,C4MIP,CFMIP,CMIP,DAMIP,FAFMIP,GMMIP,GeoMIP,HighResMIP,LS3MIP,LUMIP,RFMIP,VIACSAB,VolMIP</t>
  </si>
  <si>
    <t xml:space="preserve">6hrPlev</t>
  </si>
  <si>
    <t xml:space="preserve">bldep</t>
  </si>
  <si>
    <t xml:space="preserve">Boundary Layer Depth</t>
  </si>
  <si>
    <t xml:space="preserve">Boundary layer depth</t>
  </si>
  <si>
    <t xml:space="preserve">VIACSAB</t>
  </si>
  <si>
    <t xml:space="preserve">AERhr</t>
  </si>
  <si>
    <t xml:space="preserve">sfno2</t>
  </si>
  <si>
    <t xml:space="preserve">NO2 volume mixing ratio in lowest model layer</t>
  </si>
  <si>
    <t xml:space="preserve">sfo3</t>
  </si>
  <si>
    <t xml:space="preserve">O3 volume mixing ratio in lowest model layer</t>
  </si>
  <si>
    <t xml:space="preserve">AerChemMIP,VIACSAB</t>
  </si>
  <si>
    <t xml:space="preserve">sfpm25</t>
  </si>
  <si>
    <t xml:space="preserve">PM2.5 mass mixing ratio in lowest model layer</t>
  </si>
  <si>
    <t xml:space="preserve">kg kg-1</t>
  </si>
  <si>
    <t xml:space="preserve">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means atmospheric particulate compounds with an aerodynamic diameter of less than or equal to 2.5 micrometers.</t>
  </si>
  <si>
    <t xml:space="preserve">AERmon</t>
  </si>
  <si>
    <t xml:space="preserve">abs550aer</t>
  </si>
  <si>
    <t xml:space="preserve">longitude latitude time lambda550nm</t>
  </si>
  <si>
    <t xml:space="preserve">ambient aerosol absorption optical thickness at 550 nm</t>
  </si>
  <si>
    <t xml:space="preserve">Optical thickness of atmospheric aerosols at wavelength 550 nanometers.</t>
  </si>
  <si>
    <t xml:space="preserve">AerChemMIP,CFMIP,CMIP,DAMIP,GeoMIP,HighResMIP,PMIP,RFMIP,VIACSAB</t>
  </si>
  <si>
    <t xml:space="preserve">airmass</t>
  </si>
  <si>
    <t xml:space="preserve">Vertically integrated mass content of air in layer</t>
  </si>
  <si>
    <t xml:space="preserve">The mass of air in an atmospheric layer.</t>
  </si>
  <si>
    <t xml:space="preserve">AerChemMIP,DAMIP</t>
  </si>
  <si>
    <t xml:space="preserve">AerChemMIP,DAMIP,HighResMIP</t>
  </si>
  <si>
    <t xml:space="preserve">c2h6</t>
  </si>
  <si>
    <t xml:space="preserve">C2H6 volume mixing ratio</t>
  </si>
  <si>
    <t xml:space="preserve">c3h6</t>
  </si>
  <si>
    <t xml:space="preserve">C3H6  volume mixing ratio</t>
  </si>
  <si>
    <t xml:space="preserve">c3h8</t>
  </si>
  <si>
    <t xml:space="preserve">C3H8  volume mixing ratio</t>
  </si>
  <si>
    <t xml:space="preserve">cdnc</t>
  </si>
  <si>
    <t xml:space="preserve">Cloud Liquid Droplet Number Concentration</t>
  </si>
  <si>
    <t xml:space="preserve">m-3</t>
  </si>
  <si>
    <t xml:space="preserve">In runtime/classic/ctrl/namelist.ifs.cloudact+diag.sh CVEXTRA(1)='CDNC' which is a PEXTRA variable.</t>
  </si>
  <si>
    <t xml:space="preserve">Twan &amp; Thomas</t>
  </si>
  <si>
    <t xml:space="preserve">Cloud Droplet Number Concentration in liquid water clouds.</t>
  </si>
  <si>
    <t xml:space="preserve">AerChemMIP,CFMIP,DAMIP</t>
  </si>
  <si>
    <t xml:space="preserve">ch3coch3</t>
  </si>
  <si>
    <t xml:space="preserve">CH3COCH3  volume mixing ratio</t>
  </si>
  <si>
    <t xml:space="preserve">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</si>
  <si>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 xml:space="preserve">CH4 volume mixing ratio</t>
  </si>
  <si>
    <t xml:space="preserve">cheaqpso4</t>
  </si>
  <si>
    <t xml:space="preserve">Aqueous-phase production rate of SO4</t>
  </si>
  <si>
    <t xml:space="preserve">proposed name: tendency_of_atmosphere_mass_content_of_sulfate_dry_aerosol_due_to_aqueous_phase_net_chemical_production</t>
  </si>
  <si>
    <t xml:space="preserve">chegpso4</t>
  </si>
  <si>
    <t xml:space="preserve">Gas-phase production rate of SO4</t>
  </si>
  <si>
    <t xml:space="preserve">proposed name: tendency_of_atmosphere_mass_content_of_sulfate_dry_aerosol_due_to_gas_phase_net_chemical_production</t>
  </si>
  <si>
    <t xml:space="preserve">chepsoa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</si>
  <si>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</si>
  <si>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</si>
  <si>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co</t>
  </si>
  <si>
    <t xml:space="preserve">CO volume mixing ratio</t>
  </si>
  <si>
    <t xml:space="preserve">CO2 volume mixing ratio</t>
  </si>
  <si>
    <t xml:space="preserve">dms</t>
  </si>
  <si>
    <t xml:space="preserve">DMS volume mixing ratio</t>
  </si>
  <si>
    <t xml:space="preserve">drybc</t>
  </si>
  <si>
    <t xml:space="preserve">dry deposition rate of black carbon aerosol mass</t>
  </si>
  <si>
    <t xml:space="preserve">Dry deposition includes gravitational settling, impact scavenging, and turbulent deposition.</t>
  </si>
  <si>
    <t xml:space="preserve">drydust</t>
  </si>
  <si>
    <t xml:space="preserve">dry deposition rate of dust</t>
  </si>
  <si>
    <t xml:space="preserve">AerChemMIP,DAMIP,GeoMIP,HighResMIP,PMIP,VIACSAB</t>
  </si>
  <si>
    <t xml:space="preserve">drynh3</t>
  </si>
  <si>
    <t xml:space="preserve">dry deposition rate of nh3</t>
  </si>
  <si>
    <t xml:space="preserve">dry deposition includes gravitational settling, impact scavenging, and turbulent deposition</t>
  </si>
  <si>
    <t xml:space="preserve">AerChemMIP,DAMIP,HighResMIP,VIACSAB</t>
  </si>
  <si>
    <t xml:space="preserve">drynh4</t>
  </si>
  <si>
    <t xml:space="preserve">dry deposition rate of nh4</t>
  </si>
  <si>
    <t xml:space="preserve">drynoy</t>
  </si>
  <si>
    <t xml:space="preserve">dry deposition rate of noy</t>
  </si>
  <si>
    <t xml:space="preserve">NOy is the sum of all simulated oxidized nitrogen species out of NO, NO2, HNO3, HNO4, NO3aerosol, NO3(radical), N2O5, PAN, other organic nitrates. Dry deposition includes gravitational settling, impact scavenging, and turbulent deposition.</t>
  </si>
  <si>
    <t xml:space="preserve">dryo3</t>
  </si>
  <si>
    <t xml:space="preserve">dry deposition rate of o3</t>
  </si>
  <si>
    <t xml:space="preserve">dry deposition includes gravitational settling, impact scavenging, and turbulent deposition.</t>
  </si>
  <si>
    <t xml:space="preserve">dryoa</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</si>
  <si>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</si>
  <si>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</si>
  <si>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dryso2</t>
  </si>
  <si>
    <t xml:space="preserve">dry deposition rate of so2</t>
  </si>
  <si>
    <t xml:space="preserve">AerChemMIP,DAMIP,GeoMIP,HighResMIP,VIACSAB</t>
  </si>
  <si>
    <t xml:space="preserve">dryso4</t>
  </si>
  <si>
    <t xml:space="preserve">dry deposition rate of so4</t>
  </si>
  <si>
    <t xml:space="preserve">dryss</t>
  </si>
  <si>
    <t xml:space="preserve">dry deposition rate of seasalt</t>
  </si>
  <si>
    <t xml:space="preserve">emibc</t>
  </si>
  <si>
    <t xml:space="preserve">emission rate of black carbon aerosol mass</t>
  </si>
  <si>
    <t xml:space="preserve">Integrate 3D emission field vertically to 2d field.</t>
  </si>
  <si>
    <t xml:space="preserve">emibvoc</t>
  </si>
  <si>
    <t xml:space="preserve">total emission rate of biogenic nmvoc</t>
  </si>
  <si>
    <t xml:space="preserve">Integrate 3D emission field vertically to 2d field._If_ fixed molecular weight of NMVOC is not available in model, please provide in units of kilomole m-2 s-1 (i.e. kg m-2 s-1 as if model NMVOC had molecular weight of 1) and add a comment to your file.</t>
  </si>
  <si>
    <t xml:space="preserve">emico</t>
  </si>
  <si>
    <t xml:space="preserve">total emission rate of co</t>
  </si>
  <si>
    <t xml:space="preserve">emidms</t>
  </si>
  <si>
    <t xml:space="preserve">total emission rate of dms</t>
  </si>
  <si>
    <t xml:space="preserve">emidust</t>
  </si>
  <si>
    <t xml:space="preserve">total emission rate of dust</t>
  </si>
  <si>
    <t xml:space="preserve">emiisop</t>
  </si>
  <si>
    <t xml:space="preserve">total emission rate of isoprene</t>
  </si>
  <si>
    <t xml:space="preserve">Integrate 3D emission field vertically to 2d field</t>
  </si>
  <si>
    <t xml:space="preserve">emilnox</t>
  </si>
  <si>
    <t xml:space="preserve">layer-integrated lightning production of NOx</t>
  </si>
  <si>
    <t xml:space="preserve">mol s-1</t>
  </si>
  <si>
    <t xml:space="preserve">Integrate the NOx production for lightning over model layer. proposed name: tendency_of_atmosphere_mass_content_of_nox_from_lightning</t>
  </si>
  <si>
    <t xml:space="preserve">eminh3</t>
  </si>
  <si>
    <t xml:space="preserve">total emission rate of nh3</t>
  </si>
  <si>
    <t xml:space="preserve">eminox</t>
  </si>
  <si>
    <t xml:space="preserve">total emission rate of nox</t>
  </si>
  <si>
    <t xml:space="preserve">NOx=NO+NO2. Integrate 3D emission field vertically to 2d field.</t>
  </si>
  <si>
    <t xml:space="preserve">emioa</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</si>
  <si>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</si>
  <si>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</si>
  <si>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emiso2</t>
  </si>
  <si>
    <t xml:space="preserve">total emission rate of so2</t>
  </si>
  <si>
    <t xml:space="preserve">emiso4</t>
  </si>
  <si>
    <t xml:space="preserve">total direct emission rate of so4</t>
  </si>
  <si>
    <t xml:space="preserve">Direct primary emission does not include secondary sulfate production. Integrate 3D emission field vertically to 2d field.</t>
  </si>
  <si>
    <t xml:space="preserve">emiss</t>
  </si>
  <si>
    <t xml:space="preserve">total emission rate of seasalt</t>
  </si>
  <si>
    <t xml:space="preserve">emivoc</t>
  </si>
  <si>
    <t xml:space="preserve">total emission rate of nmvoc</t>
  </si>
  <si>
    <t xml:space="preserve">Integrate 3D emission field vertically to 2d field. _If_ fixed molecular weight of NMVOC is not available in model, please provide in units of kilomole m-2 s-1 (i.e. kg m-2 s-1 as if model NMVOC had molecular weight of 1) and add a comment to your file.</t>
  </si>
  <si>
    <t xml:space="preserve">h2o</t>
  </si>
  <si>
    <t xml:space="preserve">Mass Fraction of Water</t>
  </si>
  <si>
    <t xml:space="preserve">includes all phases of water</t>
  </si>
  <si>
    <t xml:space="preserve">hcho</t>
  </si>
  <si>
    <t xml:space="preserve">Formaldehyde volume mixing ratio</t>
  </si>
  <si>
    <t xml:space="preserve">Twan, Tommi Bergman</t>
  </si>
  <si>
    <t xml:space="preserve">hno3</t>
  </si>
  <si>
    <t xml:space="preserve">HNO3 volume mixing ratio</t>
  </si>
  <si>
    <t xml:space="preserve">isop</t>
  </si>
  <si>
    <t xml:space="preserve">Isoprene volume mixing ratio</t>
  </si>
  <si>
    <t xml:space="preserve">Mole fraction of isoprene in air.</t>
  </si>
  <si>
    <t xml:space="preserve">jno2</t>
  </si>
  <si>
    <t xml:space="preserve">photolysis rate of NO2</t>
  </si>
  <si>
    <t xml:space="preserve">s-1</t>
  </si>
  <si>
    <t xml:space="preserve">Photolysis rate of nitrogen dioxide (NO2)</t>
  </si>
  <si>
    <t xml:space="preserve">lossch4</t>
  </si>
  <si>
    <t xml:space="preserve">Monthly Loss of atmospheric Methane</t>
  </si>
  <si>
    <t xml:space="preserve">mol m-3 s-1</t>
  </si>
  <si>
    <t xml:space="preserve">Available in TM5.</t>
  </si>
  <si>
    <t xml:space="preserve">monthly averaged atmospheric loss</t>
  </si>
  <si>
    <t xml:space="preserve">lossco</t>
  </si>
  <si>
    <t xml:space="preserve">Monthly Loss of atmospheric Carbon Monoxide</t>
  </si>
  <si>
    <t xml:space="preserve">mmraerh2o</t>
  </si>
  <si>
    <t xml:space="preserve">Aerosol water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</si>
  <si>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</si>
  <si>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AerChemMIP,DAMIP,GeoMIP,RFMIP</t>
  </si>
  <si>
    <t xml:space="preserve">mmrbc</t>
  </si>
  <si>
    <t xml:space="preserve">Elemental carbon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</si>
  <si>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</si>
  <si>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 xml:space="preserve">AerChemMIP,CFMIP,DAMIP,PMIP,RFMIP</t>
  </si>
  <si>
    <t xml:space="preserve">mmrdust</t>
  </si>
  <si>
    <t xml:space="preserve">Dust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</si>
  <si>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</si>
  <si>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AerChemMIP,CFMIP,DAMIP,GeoMIP,PMIP,RFMIP</t>
  </si>
  <si>
    <t xml:space="preserve">mmrnh4</t>
  </si>
  <si>
    <t xml:space="preserve">NH4 mass mixing ratio</t>
  </si>
  <si>
    <t xml:space="preserve">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</si>
  <si>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mmrno3</t>
  </si>
  <si>
    <t xml:space="preserve">NO3 aerosol mass mixing ratio</t>
  </si>
  <si>
    <t xml:space="preserve">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</si>
  <si>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AerChemMIP,CFMIP,DAMIP,RFMIP</t>
  </si>
  <si>
    <t xml:space="preserve">mmroa</t>
  </si>
  <si>
    <t xml:space="preserve">Total organic aerosol mass mixing ratio</t>
  </si>
  <si>
    <t xml:space="preserve">We recommend a scale factor of POM=1.4*OC, unless your model has more detailed info available.</t>
  </si>
  <si>
    <t xml:space="preserve">mmrpm1</t>
  </si>
  <si>
    <t xml:space="preserve">PM1.0 mass mixing ratio</t>
  </si>
  <si>
    <t xml:space="preserve">E.g. mass_fraction_of_pm1_aerosol_at_50_percent_relative_humidity_in_air. proposed name:  mass_fraction_of_pm1_dry_aerosol_in_air</t>
  </si>
  <si>
    <t xml:space="preserve">mmrpm10</t>
  </si>
  <si>
    <t xml:space="preserve">PM10 mass mixing ratio</t>
  </si>
  <si>
    <t xml:space="preserve">E.g. mass_fraction_of_pm10_aerosol_at_50_percent_relative_humidity_in_air, proposed name: mass_fraction_of_pm10_dry_aerosol_in_air</t>
  </si>
  <si>
    <t xml:space="preserve">mmrpm2p5</t>
  </si>
  <si>
    <t xml:space="preserve">PM2.5 mass mixing ratio</t>
  </si>
  <si>
    <t xml:space="preserve">E.g. mass_fraction_of_pm2p5_aerosol_at_50_percent_relative_humidity_in_air, proposed_name: mass_fraction_of_pm2p5_dry_aerosol_in_air</t>
  </si>
  <si>
    <t xml:space="preserve">mmrso4</t>
  </si>
  <si>
    <t xml:space="preserve">Aerosol sulfate mass mixing ratio</t>
  </si>
  <si>
    <t xml:space="preserve">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</si>
  <si>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mmrsoa</t>
  </si>
  <si>
    <t xml:space="preserve">Secondary organic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</si>
  <si>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</si>
  <si>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 xml:space="preserve">mmrss</t>
  </si>
  <si>
    <t xml:space="preserve">Sea Salt mass mixing ratio</t>
  </si>
  <si>
    <t xml:space="preserve">nh50</t>
  </si>
  <si>
    <t xml:space="preserve">Artificial tracer with 50 day lifetime</t>
  </si>
  <si>
    <t xml:space="preserve">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</si>
  <si>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 xml:space="preserve">no</t>
  </si>
  <si>
    <t xml:space="preserve">NO volume mixing ratio</t>
  </si>
  <si>
    <t xml:space="preserve">no2</t>
  </si>
  <si>
    <t xml:space="preserve">NO2 volume mixing ratio</t>
  </si>
  <si>
    <t xml:space="preserve">Ozone volume mixing ratio</t>
  </si>
  <si>
    <t xml:space="preserve">o3loss</t>
  </si>
  <si>
    <t xml:space="preserve">O3 destruction rate</t>
  </si>
  <si>
    <t xml:space="preserve">ONLY provide the sum of the following reactions: (i) O(1D)+H2O; (ii) O3+HO2; (iii) O3+OH; (iv) O3+alkenes (isoprene, ethene,...)</t>
  </si>
  <si>
    <t xml:space="preserve">o3prod</t>
  </si>
  <si>
    <t xml:space="preserve">O3 production rate</t>
  </si>
  <si>
    <t xml:space="preserve">ONLY provide the sum of all the HO2/RO2 + NO reactions (as k*[HO2]*[NO])</t>
  </si>
  <si>
    <t xml:space="preserve">o3ste</t>
  </si>
  <si>
    <t xml:space="preserve">Ozone tracer intended to map out strat-trop exchange (STE) of ozone.</t>
  </si>
  <si>
    <t xml:space="preserve">od440aer</t>
  </si>
  <si>
    <t xml:space="preserve">ambient aerosol optical thickness at 440 nm</t>
  </si>
  <si>
    <t xml:space="preserve">AOD from the ambient aerosols (i.e., includes aerosol water).  Does not include AOD from stratospheric aerosols if these are prescribed but includes other possible background aerosol types. Needs a comment attribute 'wavelength: 440 nm'</t>
  </si>
  <si>
    <t xml:space="preserve">AerChemMIP,DAMIP,HighResMIP,RFMIP</t>
  </si>
  <si>
    <t xml:space="preserve">od550aer</t>
  </si>
  <si>
    <t xml:space="preserve">ambient aerosol optical thickness at 550 nm</t>
  </si>
  <si>
    <t xml:space="preserve">AOD from the ambient aerosols (i.e., includes aerosol water).  Does not include AOD from stratospheric aerosols if these are prescribed but includes other possible background aerosol types. Needs a comment attribute 'wavelength: 550 nm'</t>
  </si>
  <si>
    <t xml:space="preserve">od550aerh2o</t>
  </si>
  <si>
    <t xml:space="preserve">aerosol water aod@550nm</t>
  </si>
  <si>
    <t xml:space="preserve">proposed name: atmosphere_optical_thickness_due_to_water_ambient_aerosol</t>
  </si>
  <si>
    <t xml:space="preserve">od550bc</t>
  </si>
  <si>
    <t xml:space="preserve">black carbon aod@550nm</t>
  </si>
  <si>
    <t xml:space="preserve">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</si>
  <si>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 xml:space="preserve">od550csaer</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</si>
  <si>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 nm'</t>
  </si>
  <si>
    <t xml:space="preserve">od550dust</t>
  </si>
  <si>
    <t xml:space="preserve">dust aod@550nm</t>
  </si>
  <si>
    <t xml:space="preserve">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 coordinate variable of radiation_wavelength or radiation_frequency can be specified to indicate that the optical thickness applies at specific wavelengths or frequencies.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</si>
  <si>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AerChemMIP,DAMIP,HighResMIP,PMIP,RFMIP</t>
  </si>
  <si>
    <t xml:space="preserve">od550lt1aer</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</si>
  <si>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</si>
  <si>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</si>
  <si>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AerChemMIP,CFMIP,DAMIP,GeoMIP,HighResMIP,RFMIP,VIACSAB</t>
  </si>
  <si>
    <t xml:space="preserve">od550no3</t>
  </si>
  <si>
    <t xml:space="preserve">nitrate aod@550nm</t>
  </si>
  <si>
    <t xml:space="preserve">proposed name: atmosphere_optical_thickness_due_to_nitrate_ambient_aerosol</t>
  </si>
  <si>
    <t xml:space="preserve">od550oa</t>
  </si>
  <si>
    <t xml:space="preserve">total organic aerosol aod@550nm</t>
  </si>
  <si>
    <t xml:space="preserve">od550so4</t>
  </si>
  <si>
    <t xml:space="preserve">sulfate aod@550nm</t>
  </si>
  <si>
    <t xml:space="preserve">proposed name: atmosphere_optical_thickness_due_to_sulfate_ambient_aerosol</t>
  </si>
  <si>
    <t xml:space="preserve">od550soa</t>
  </si>
  <si>
    <t xml:space="preserve">soa aod@550nm</t>
  </si>
  <si>
    <t xml:space="preserve">total organic aerosol AOD due to secondary aerosol formation</t>
  </si>
  <si>
    <t xml:space="preserve">od550ss</t>
  </si>
  <si>
    <t xml:space="preserve">sea salt aod@550nm</t>
  </si>
  <si>
    <t xml:space="preserve">od870aer</t>
  </si>
  <si>
    <t xml:space="preserve">ambient aerosol optical thickness at 870 nm</t>
  </si>
  <si>
    <t xml:space="preserve">AOD from the ambient aerosols (i.e., includes aerosol water).  Does not include AOD from stratospheric aerosols if these are prescribed but includes other possible background aerosol types. Needs a comment attribute 'wavelength: 870 nm'</t>
  </si>
  <si>
    <t xml:space="preserve">oh</t>
  </si>
  <si>
    <t xml:space="preserve">OH volume mixing ratio</t>
  </si>
  <si>
    <t xml:space="preserve">pan</t>
  </si>
  <si>
    <t xml:space="preserve">PAN volume mixing ratio</t>
  </si>
  <si>
    <t xml:space="preserve">AerChemMIP,DAMIP,PMIP</t>
  </si>
  <si>
    <t xml:space="preserve">ptp</t>
  </si>
  <si>
    <t xml:space="preserve">Tropopause Air Pressure</t>
  </si>
  <si>
    <t xml:space="preserve">2D monthly mean thermal tropopause calculated using WMO tropopause definition on 3d temperature</t>
  </si>
  <si>
    <t xml:space="preserve">rlutaf</t>
  </si>
  <si>
    <t xml:space="preserve">TOA Outgoing Aerosol-Free Longwave Radiation</t>
  </si>
  <si>
    <t xml:space="preserve">Available from double radiation call in IFS. See also PEXTRA issue #403</t>
  </si>
  <si>
    <t xml:space="preserve">Flux corresponding to rlut resulting from aerosol-free call to radiation, following Ghan (ACP, 2013)</t>
  </si>
  <si>
    <t xml:space="preserve">rlutcsaf</t>
  </si>
  <si>
    <t xml:space="preserve">TOA Outgoing Clear-Sky, Aerosol-Free Longwave Radiation</t>
  </si>
  <si>
    <t xml:space="preserve">Available from double radiation call in IFS. See also PEXTRA issue #404</t>
  </si>
  <si>
    <t xml:space="preserve">Flux corresponding to rlutcs resulting from aerosol-free call to radiation, following Ghan (ACP, 2013)</t>
  </si>
  <si>
    <t xml:space="preserve">rsutaf</t>
  </si>
  <si>
    <t xml:space="preserve">TOA Outgoing Aerosol-Free Shortwave Radiation</t>
  </si>
  <si>
    <t xml:space="preserve">Available from double radiation call in IFS. See also PEXTRA issue #403   aerosol free</t>
  </si>
  <si>
    <t xml:space="preserve">Flux corresponding to rsut resulting from aerosol-free call to radiation, following Ghan (ACP, 2013)</t>
  </si>
  <si>
    <t xml:space="preserve">AerChemMIP,DAMIP,GeoMIP,HighResMIP</t>
  </si>
  <si>
    <t xml:space="preserve">rsutcsaf</t>
  </si>
  <si>
    <t xml:space="preserve">TOA Outgoing Clear-Sky, Aerosol-Free Shortwave Radiation</t>
  </si>
  <si>
    <t xml:space="preserve">Flux corresponding to rsutcs resulting from aerosol-free call to radiation, following Ghan (ACP, 2013)</t>
  </si>
  <si>
    <t xml:space="preserve">so2</t>
  </si>
  <si>
    <t xml:space="preserve">SO2 volume mixing ratio</t>
  </si>
  <si>
    <t xml:space="preserve">AerChemMIP,CFMIP,DAMIP,GeoMIP</t>
  </si>
  <si>
    <t xml:space="preserve">tatp</t>
  </si>
  <si>
    <t xml:space="preserve">Tropopause Air Temperature</t>
  </si>
  <si>
    <t xml:space="preserve">K</t>
  </si>
  <si>
    <t xml:space="preserve">toz</t>
  </si>
  <si>
    <t xml:space="preserve">Total Ozone Column</t>
  </si>
  <si>
    <t xml:space="preserve">Total ozone column calculated at 0 degrees C and 1 bar, such that 1m = 1e5 DU.</t>
  </si>
  <si>
    <t xml:space="preserve">tropoz</t>
  </si>
  <si>
    <t xml:space="preserve">Tropospheric Ozone Column</t>
  </si>
  <si>
    <t xml:space="preserve">Tropospheric ozone column, should be consistent with definition of tropopause used to calculate the pressure of the tropopause (ptp). Calculated at 0 degrees C and 1 bar, such that 1m = 1e5 DU.</t>
  </si>
  <si>
    <t xml:space="preserve">wetbc</t>
  </si>
  <si>
    <t xml:space="preserve">wet deposition rate of black carbon aerosol mass</t>
  </si>
  <si>
    <t xml:space="preserve">The phrase 'tendency_of_X' means derivative of X with respect to time. The phrase 'minus_tendency' means that the quantity described takes the opposite sign convention to that for the quantity which has the same standard name apart from this phrase, i.e. the two quantities differ from one another by a factor of -1. Thus a 'minus_tendency' in the atmosphere means a positive deposition rate onto the underlying surface.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t>
  </si>
  <si>
    <t xml:space="preserve">wetdust</t>
  </si>
  <si>
    <t xml:space="preserve">wet deposition rate of dust</t>
  </si>
  <si>
    <t xml:space="preserve">wetnh3</t>
  </si>
  <si>
    <t xml:space="preserve">Wet Deposition Rate of NH3</t>
  </si>
  <si>
    <t xml:space="preserve">The phrase 'tendency_of_X' means derivative of X with respect to time. The phrase 'minus_tendency' means that the quantity described takes the opposite sign convention to that for the quantity which has the same standard name apart from this phrase, i.e. the two quantities differ from one another by a factor of -1. Thus a 'minus_tendency' in the atmosphere means a positive deposition rate onto the underlying surface.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ammonia is NH3. The mass is the total mass of the molecules. The specification of a physical process by the phrase 'due_to_' process means that the quantity named is a single term in a sum of terms which together compose the general quantity named by omitting the phrase.</t>
  </si>
  <si>
    <t xml:space="preserve">wetnh4</t>
  </si>
  <si>
    <t xml:space="preserve">Wet Deposition Rate of NH4</t>
  </si>
  <si>
    <t xml:space="preserve">wetnoy</t>
  </si>
  <si>
    <t xml:space="preserve">Wet Deposition Rate of NOy including Aerosol Nitrate</t>
  </si>
  <si>
    <t xml:space="preserve">NOy is the sum of all simulated oxidized nitrogen species, out of NO, NO2, HNO3, HNO4, NO3aerosol, NO3(radical), N2O5, PAN, other organic nitrates.</t>
  </si>
  <si>
    <t xml:space="preserve">wetoa</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</si>
  <si>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</si>
  <si>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</si>
  <si>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wetso2</t>
  </si>
  <si>
    <t xml:space="preserve">Wet Deposition Rate of SO2</t>
  </si>
  <si>
    <t xml:space="preserve">The phrase 'tendency_of_X' means derivative of X with respect to time. The phrase 'minus_tendency' means that the quantity described takes the opposite sign convention to that for the quantity which has the same standard name apart from this phrase, i.e. the two quantities differ from one another by a factor of -1. Thus a 'minus_tendency' in the atmosphere means a positive deposition rate onto the underlying surface.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sulfur dioxide is SO2. The mass is the total mass of the molecules. The specification of a physical process by the phrase 'due_to_' process means that the quantity named is a single term in a sum of terms which together compose the general quantity named by omitting the phrase.</t>
  </si>
  <si>
    <t xml:space="preserve">wetso4</t>
  </si>
  <si>
    <t xml:space="preserve">Wet Deposition Rate of SO4</t>
  </si>
  <si>
    <t xml:space="preserve">proposed name: tendency_of_atmosphere_mass_content_of_sulfate_dry_aerosol_due_to_wet_deposition</t>
  </si>
  <si>
    <t xml:space="preserve">wetss</t>
  </si>
  <si>
    <t xml:space="preserve">Wet Deposition Rate of Seasalt</t>
  </si>
  <si>
    <t xml:space="preserve">ztp</t>
  </si>
  <si>
    <t xml:space="preserve">Tropopause Altitude above Geoid</t>
  </si>
  <si>
    <t xml:space="preserve">E3hrPt</t>
  </si>
  <si>
    <t xml:space="preserve">CFMIP</t>
  </si>
  <si>
    <t xml:space="preserve">longitude latitude time1 p840</t>
  </si>
  <si>
    <t xml:space="preserve">longitude latitude time1 p560</t>
  </si>
  <si>
    <t xml:space="preserve">longitude latitude time1 p220</t>
  </si>
  <si>
    <t xml:space="preserve">RFMIP</t>
  </si>
  <si>
    <t xml:space="preserve">rsdscsaf</t>
  </si>
  <si>
    <t xml:space="preserve">Surface Downwelling Clear-Sky, Aerosol-Free Shortwave Radiation</t>
  </si>
  <si>
    <t xml:space="preserve">Calculated in the absence of aerosols and clouds.</t>
  </si>
  <si>
    <t xml:space="preserve">rsuscsaf</t>
  </si>
  <si>
    <t xml:space="preserve">Surface Upwelling Clean Clear-Sky Shortwave Radiation</t>
  </si>
  <si>
    <t xml:space="preserve">Available from double radiation call in IFS. See also PEXTRA issue #405</t>
  </si>
  <si>
    <t xml:space="preserve">Surface Upwelling Clear-sky, Aerosol Free Shortwave Radiation</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</si>
  <si>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</si>
  <si>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</si>
  <si>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</si>
  <si>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</si>
  <si>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</si>
  <si>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longitude latitude alevel time1</t>
  </si>
  <si>
    <t xml:space="preserve">Esubhr</t>
  </si>
  <si>
    <t xml:space="preserve">3</t>
  </si>
  <si>
    <t xml:space="preserve">HighResMIP</t>
  </si>
  <si>
    <t xml:space="preserve">AERday</t>
  </si>
  <si>
    <t xml:space="preserve">maxpblz</t>
  </si>
  <si>
    <t xml:space="preserve">maximum PBL height</t>
  </si>
  <si>
    <t xml:space="preserve">maximum boundary layer height during the day (add cell_methods attribute: 'time: maximum')</t>
  </si>
  <si>
    <t xml:space="preserve">minpblz</t>
  </si>
  <si>
    <t xml:space="preserve">minimum PBL height</t>
  </si>
  <si>
    <t xml:space="preserve">minimum boundary layer height during the day (add cell_methods attribute: 'time: minimum')</t>
  </si>
  <si>
    <t xml:space="preserve">sfo3max</t>
  </si>
  <si>
    <t xml:space="preserve">daily maximum O3 volume mixing ratio in lowest model layer</t>
  </si>
  <si>
    <t xml:space="preserve">Total Column Ozone</t>
  </si>
  <si>
    <t xml:space="preserve">Eday</t>
  </si>
  <si>
    <t xml:space="preserve">lai</t>
  </si>
  <si>
    <t xml:space="preserve">Leaf Area Index</t>
  </si>
  <si>
    <t xml:space="preserve">A ratio obtained by dividing the total upper leaf surface area of vegetation by the (horizontal) surface area of the land on which it grows.</t>
  </si>
  <si>
    <t xml:space="preserve">C4MIP</t>
  </si>
  <si>
    <t xml:space="preserve">mrsll</t>
  </si>
  <si>
    <t xml:space="preserve">longitude latitude sdepth time</t>
  </si>
  <si>
    <t xml:space="preserve">Liquid water content of soil layer</t>
  </si>
  <si>
    <t xml:space="preserve">Available in LPJ-GUESS, but the field will be the same as mrsol because: No frozen fraction of water</t>
  </si>
  <si>
    <t xml:space="preserve">in each soil layer, the mass of water in liquid phase.  Reported as 'missing' for grid cells occupied entirely by 'sea'</t>
  </si>
  <si>
    <t xml:space="preserve">loaddust</t>
  </si>
  <si>
    <t xml:space="preserve">Load of Dust</t>
  </si>
  <si>
    <t xml:space="preserve">Available in TM5</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</si>
  <si>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</si>
  <si>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tauupbl</t>
  </si>
  <si>
    <t xml:space="preserve">eastward surface stress from planetary boundary layer scheme</t>
  </si>
  <si>
    <t xml:space="preserve">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</si>
  <si>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</si>
  <si>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DynVar</t>
  </si>
  <si>
    <t xml:space="preserve">tauvpbl</t>
  </si>
  <si>
    <t xml:space="preserve">northward surface stress from planetary boundary layer scheme</t>
  </si>
  <si>
    <t xml:space="preserve">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</si>
  <si>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</si>
  <si>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prCrop</t>
  </si>
  <si>
    <t xml:space="preserve">Precipitation over Crop Tile</t>
  </si>
  <si>
    <t xml:space="preserve">Available in LPJ-GUESS, but the field will be the same precipitation over crops as for the rest of the gridcell. Available in LPJ-GUESS, but the field will be the same precipitation over crops as for the rest of the gridcell.</t>
  </si>
  <si>
    <t xml:space="preserve">includes both liquid and solid phases</t>
  </si>
  <si>
    <t xml:space="preserve">AERmonZ</t>
  </si>
  <si>
    <t xml:space="preserve">latitude plev39 time</t>
  </si>
  <si>
    <t xml:space="preserve">ho2</t>
  </si>
  <si>
    <t xml:space="preserve">HO2 volume mixing ratio</t>
  </si>
  <si>
    <t xml:space="preserve">Mole fraction is used in the construction mole_fraction_of_X_in_Y, where X is a material constituent of Y.  The chemical formula of hydroperoxyl radical is HO2.</t>
  </si>
  <si>
    <t xml:space="preserve">noy</t>
  </si>
  <si>
    <t xml:space="preserve">Total reactive nitrogen volume mixing ratio</t>
  </si>
  <si>
    <t xml:space="preserve">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</si>
  <si>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 xml:space="preserve">CF3hr</t>
  </si>
  <si>
    <t xml:space="preserve">longitude latitude alevhalf time1</t>
  </si>
  <si>
    <t xml:space="preserve">CFMIP,RFMIP</t>
  </si>
  <si>
    <t xml:space="preserve">E3hr</t>
  </si>
  <si>
    <t xml:space="preserve">prrc</t>
  </si>
  <si>
    <t xml:space="preserve">Convective Rainfall rate</t>
  </si>
  <si>
    <t xml:space="preserve">Availlable in IFS: Precip. flux from convection liquid grib 128.107, this is a 3D field so the surface field has to be extracted from this. So only level 91 needs to be outputted.</t>
  </si>
  <si>
    <t xml:space="preserve">In accordance with common usage in geophysical disciplines, 'flux' implies per unit area, called 'flux density' in physics.</t>
  </si>
  <si>
    <t xml:space="preserve">Emon</t>
  </si>
  <si>
    <t xml:space="preserve">AerChemMIP,C4MIP,CMIP,DCPP,FAFMIP,GMMIP,GeoMIP,HighResMIP,LS3MIP,LUMIP,PAMIP,PMIP,RFMIP,VIACSAB,VolMIP</t>
  </si>
  <si>
    <t xml:space="preserve">fCLandToOcean</t>
  </si>
  <si>
    <t xml:space="preserve">Lateral transfer of carbon out of gridcell that eventually goes into ocean</t>
  </si>
  <si>
    <t xml:space="preserve">leached carbon etc that goes into run off or river routing and finds its way into ocean should be reported here.</t>
  </si>
  <si>
    <t xml:space="preserve">C4MIP,LUMIP</t>
  </si>
  <si>
    <t xml:space="preserve">fFireNat</t>
  </si>
  <si>
    <t xml:space="preserve">Carbon Mass Flux into Atmosphere due to CO2 Emission from natural Fire</t>
  </si>
  <si>
    <t xml:space="preserve">CO2 emissions from natural fires</t>
  </si>
  <si>
    <t xml:space="preserve">fProductDecomp</t>
  </si>
  <si>
    <t xml:space="preserve">decomposition out of product pools to CO2 in atmos</t>
  </si>
  <si>
    <t xml:space="preserve">'tendency_of_X' means derivative of X with respect to time.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t>
  </si>
  <si>
    <t xml:space="preserve">fAnthDisturb</t>
  </si>
  <si>
    <t xml:space="preserve">Carbon Mass Flux from Vegetation, Litter or Soil Pools into the Atmosphere due to Any Human Activity</t>
  </si>
  <si>
    <t xml:space="preserve">will require some careful definition to make sure we capture everything - any human activity that releases carbon to the atmosphere instead of into product pool goes here. E.g. Deforestation fire, harvest assumed to decompose straight away, grazing...</t>
  </si>
  <si>
    <t xml:space="preserve">fDeforestToProduct</t>
  </si>
  <si>
    <t xml:space="preserve">Deforested biomass that goes into product pool as a result of anthropogenic land use change</t>
  </si>
  <si>
    <t xml:space="preserve">When land use change results in deforestation of natural vegetation (trees or grasslands) then natural biomass is removed. The treatment of deforested biomass differs significantly across models, but it should be straight-forward to compare deforested biomass across models.</t>
  </si>
  <si>
    <t xml:space="preserve">fHarvestToProduct</t>
  </si>
  <si>
    <t xml:space="preserve">Harvested biomass that goes into product pool</t>
  </si>
  <si>
    <t xml:space="preserve">be it food or wood harvest, any carbon that is subsequently stored is reported here</t>
  </si>
  <si>
    <t xml:space="preserve">nLitter</t>
  </si>
  <si>
    <t xml:space="preserve">Nitrogen Mass in Litter Pool</t>
  </si>
  <si>
    <t xml:space="preserve">Report missing data over ocean grid cells. For fractional land report value averaged over the land fraction.</t>
  </si>
  <si>
    <t xml:space="preserve">C4MIP,LUMIP,PMIP</t>
  </si>
  <si>
    <t xml:space="preserve">nProduct</t>
  </si>
  <si>
    <t xml:space="preserve">Nitrogen Mass in Products of Land Use Change</t>
  </si>
  <si>
    <t xml:space="preserve">nLand</t>
  </si>
  <si>
    <t xml:space="preserve">Total nitrogen in all terrestrial nitrogen pools</t>
  </si>
  <si>
    <t xml:space="preserve">nMineral</t>
  </si>
  <si>
    <t xml:space="preserve">Mineral nitrogen in the soil</t>
  </si>
  <si>
    <t xml:space="preserve">SUM of ammonium, nitrite, nitrate, etc over all soil layers</t>
  </si>
  <si>
    <t xml:space="preserve">fNloss</t>
  </si>
  <si>
    <t xml:space="preserve">Total N lost (including NHx, NOx, N2O, N2 and leaching)</t>
  </si>
  <si>
    <t xml:space="preserve">Not all models split losses into gasesous and leaching</t>
  </si>
  <si>
    <t xml:space="preserve">fNfert</t>
  </si>
  <si>
    <t xml:space="preserve">total N added for cropland fertilisation (artificial and manure)</t>
  </si>
  <si>
    <t xml:space="preserve">relative to total land area of a grid cell, not relative to agricultural area</t>
  </si>
  <si>
    <t xml:space="preserve">fNdep</t>
  </si>
  <si>
    <t xml:space="preserve">Dry and Wet Deposition of Reactive Nitrogen onto Land</t>
  </si>
  <si>
    <t xml:space="preserve">The phrase 'tendency_of_X' means derivative of X with respect to time. The phrase 'minus_tendency' means that the quantity described takes the opposite sign convention to that for the quantity which has the same standard name apart from this phrase, i.e. the two quantities differ from one another by a factor of -1. Thus a 'minus_tendency' in the atmosphere means a positive deposition rate onto the underlying surface.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</si>
  <si>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fBNF</t>
  </si>
  <si>
    <t xml:space="preserve">biological nitrogen fixation</t>
  </si>
  <si>
    <t xml:space="preserve">The phrase 'tendency_of_X' means derivative of X with respect to time. 'Content' indicates a quantity per unit area. On land, 'nitrogen fixation' means the uptake of nitrogen gas directly from the atmosphere. The representation of fixed nitrogen is model dependent, with the nitrogen entering either vegetation, soil or both. 'Vegetation' means any living plants e.g. trees, shrubs, grass. The phrase 'expressed_as' is used in the construction A_expressed_as_B, where B is a chemical constituent of A. It means that the quantity indicated by the standard name is calculated solely with respect to the B contained in A, neglecting all other chemical constituents of A. 'Nitrogen compounds' summarizes all chemical species containing nitrogen atoms. The list of individual species that are included in this quantity can vary between models. Where possible, the data variable should be accompanied by a complete description of the species represented, for example, by using a comment attribute.</t>
  </si>
  <si>
    <t xml:space="preserve">fNup</t>
  </si>
  <si>
    <t xml:space="preserve">total plant nitrogen uptake (sum of ammonium and nitrate), irrespective of the source of nitrogen</t>
  </si>
  <si>
    <t xml:space="preserve">The phrase 'tendency_of_X' means derivative of X with respect to time. 'Content' indicates a quantity per unit area. 'Vegetation' means any living plants e.g. trees, shrubs, grass. The term 'plants' refers to the kingdom of plants in the modern classification which excludes fungi. Plants are autotrophs i.e. 'producers' of biomass using carbon obtained from carbon dioxide. The phrase 'expressed_as' is used in the construction A_expressed_as_B, where B is a chemical constituent of A. It means that the quantity indicated by the standard name is calculated solely with respect to the B contained in A, neglecting all other chemical constituents of A. 'Nitrogen compounds' summarizes all chemical species containing nitrogen atoms. The specification of a physical process by the phrase 'due_to_' process means that the quantity named is a single term in a sum of terms which together compose the general quantity named by omitting the phrase.</t>
  </si>
  <si>
    <t xml:space="preserve">fNnetmin</t>
  </si>
  <si>
    <t xml:space="preserve">Net nitrogen release from soil and litter as the outcome of nitrogen immobilisation and gross mineralisation</t>
  </si>
  <si>
    <t xml:space="preserve">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'Nitrogen compounds' summarizes all chemical species containing nitrogen atoms. 'Litter' is dead plant material in or above the soil. It is distinct from coarse wood debris. The precise distinction between 'fine' and 'coarse' is model dependent. The specification of a physical process by the phrase 'due_to_' process means that the quantity named is a single term in a sum of terms which together compose the general quantity named by omitting the phrase.</t>
  </si>
  <si>
    <t xml:space="preserve">fNVegLitter</t>
  </si>
  <si>
    <t xml:space="preserve">Total Nitrogen Mass Flux from Vegetation to Litter</t>
  </si>
  <si>
    <t xml:space="preserve">In accordance with common usage in geophysical disciplines, 'flux' implies per unit area, called 'flux density' in physics. 'Litter' is dead plant material in or above the soil. 'Vegetation' means any living plants e.g. trees, shrubs, grass.</t>
  </si>
  <si>
    <t xml:space="preserve">fNLandToOcean</t>
  </si>
  <si>
    <t xml:space="preserve">Lateral transfer of nitrogen out of gridcell that eventually goes into ocean</t>
  </si>
  <si>
    <t xml:space="preserve">leached nitrogen etc that goes into run off or river routing and finds its way into ocean should be reported here.</t>
  </si>
  <si>
    <t xml:space="preserve">fNLitterSoil</t>
  </si>
  <si>
    <t xml:space="preserve">Total Nitrogen Mass Flux from Litter to Soil</t>
  </si>
  <si>
    <t xml:space="preserve">In accordance with common usage in geophysical disciplines, 'flux' implies per unit area, called 'flux density' in physics. 'Litter' is dead plant material in or above the soil.</t>
  </si>
  <si>
    <t xml:space="preserve">fNProduct</t>
  </si>
  <si>
    <t xml:space="preserve">Deforested or harvested biomass as a result of anthropogenic land use or change</t>
  </si>
  <si>
    <t xml:space="preserve">fNAnthDisturb</t>
  </si>
  <si>
    <t xml:space="preserve">nitrogen mass flux out of land due to any human activity</t>
  </si>
  <si>
    <t xml:space="preserve">will require some careful definition to make sure we capture everything - any human activity that releases nitrogen from land  instead of into product pool goes here. E.g. Deforestation fire, harvest assumed to decompose straight away, grazing...</t>
  </si>
  <si>
    <t xml:space="preserve">treeFracNdlDcd</t>
  </si>
  <si>
    <t xml:space="preserve">longitude latitude time typetreend</t>
  </si>
  <si>
    <t xml:space="preserve">Needleleaf deciduous tree area percentage</t>
  </si>
  <si>
    <t xml:space="preserve">This is the percentage of the entire grid cell that is covered by needleleaf deciduous trees.</t>
  </si>
  <si>
    <t xml:space="preserve">C4MIP,CMIP,LUMIP,PMIP</t>
  </si>
  <si>
    <t xml:space="preserve">treeFracBdlEvg</t>
  </si>
  <si>
    <t xml:space="preserve">longitude latitude time typetreebe</t>
  </si>
  <si>
    <t xml:space="preserve">Broadleaf evergreen tree area percentage</t>
  </si>
  <si>
    <t xml:space="preserve">This is the percentage of the entire grid cell that is covered by broadleaf evergreen trees.</t>
  </si>
  <si>
    <t xml:space="preserve">treeFracBdlDcd</t>
  </si>
  <si>
    <t xml:space="preserve">longitude latitude time typetreebd</t>
  </si>
  <si>
    <t xml:space="preserve">Broadleaf deciduous tree area percentage</t>
  </si>
  <si>
    <t xml:space="preserve">This is the percentage of the entire grid cell that is covered by broadleaf deciduous trees.</t>
  </si>
  <si>
    <t xml:space="preserve">grassFracC3</t>
  </si>
  <si>
    <t xml:space="preserve">longitude latitude time typec3natg</t>
  </si>
  <si>
    <t xml:space="preserve">C3 Grass Area Percentage</t>
  </si>
  <si>
    <t xml:space="preserve">Fraction of entire grid cell covered by C3 grass.</t>
  </si>
  <si>
    <t xml:space="preserve">grassFracC4</t>
  </si>
  <si>
    <t xml:space="preserve">longitude latitude time typec4natg</t>
  </si>
  <si>
    <t xml:space="preserve">C4 Grass Area Percentage</t>
  </si>
  <si>
    <t xml:space="preserve">Fraction of entire grid cell covered by C4 grass.</t>
  </si>
  <si>
    <t xml:space="preserve">pastureFracC3</t>
  </si>
  <si>
    <t xml:space="preserve">longitude latitude time typec3pastures</t>
  </si>
  <si>
    <t xml:space="preserve">C3 Pasture Area Percentage</t>
  </si>
  <si>
    <t xml:space="preserve">Percentage of entire grid cell covered by C3 pasture</t>
  </si>
  <si>
    <t xml:space="preserve">C4MIP,CMIP,LUMIP</t>
  </si>
  <si>
    <t xml:space="preserve">pastureFracC4</t>
  </si>
  <si>
    <t xml:space="preserve">longitude latitude time typec4pastures</t>
  </si>
  <si>
    <t xml:space="preserve">C4 Pasture Area Percentage</t>
  </si>
  <si>
    <t xml:space="preserve">Percentage of entire grid cell covered by C4 pasture</t>
  </si>
  <si>
    <t xml:space="preserve">cStem</t>
  </si>
  <si>
    <t xml:space="preserve">Carbon Mass in Stem</t>
  </si>
  <si>
    <t xml:space="preserve">including sapwood and hardwood.</t>
  </si>
  <si>
    <t xml:space="preserve">cOther</t>
  </si>
  <si>
    <t xml:space="preserve">Carbon Mass in Vegetation Components other than Leaves, Stems and Roots</t>
  </si>
  <si>
    <t xml:space="preserve">E.g. fruits, seeds, etc.</t>
  </si>
  <si>
    <t xml:space="preserve">cLitterCwd</t>
  </si>
  <si>
    <t xml:space="preserve">Carbon Mass in Coarse Woody Debris</t>
  </si>
  <si>
    <t xml:space="preserve">'Content' indicates a quantity per unit area. 'Wood debris' means dead organic matter composed of coarse wood. It is distinct from fine litter. The precise distinction between 'fine' and 'coarse' is model dependent.</t>
  </si>
  <si>
    <t xml:space="preserve">cLitterSurf</t>
  </si>
  <si>
    <t xml:space="preserve">Carbon Mass in Above-Ground Litter</t>
  </si>
  <si>
    <t xml:space="preserve">Surface or near-surface litter pool fed by leaf and above-ground litterfall</t>
  </si>
  <si>
    <t xml:space="preserve">cLitterSubSurf</t>
  </si>
  <si>
    <t xml:space="preserve">Carbon Mass in Below-Ground Litter</t>
  </si>
  <si>
    <t xml:space="preserve">sub-surface litter pool fed by root inputs.</t>
  </si>
  <si>
    <t xml:space="preserve">fVegFire</t>
  </si>
  <si>
    <t xml:space="preserve">Carbon Mass Flux from Vegetation into Atmosphere due to CO2 Emission from all Fire</t>
  </si>
  <si>
    <t xml:space="preserve">Required for unambiguous separation of vegetation and soil + litter turnover times, since total fire flux draws from both sources</t>
  </si>
  <si>
    <t xml:space="preserve">fLitterFire</t>
  </si>
  <si>
    <t xml:space="preserve">Carbon Mass Flux from Litter, CWD or any non-living pool into Atmosphere due to CO2 Emission from all Fire</t>
  </si>
  <si>
    <t xml:space="preserve">fFireAll</t>
  </si>
  <si>
    <t xml:space="preserve">Carbon Mass Flux into Atmosphere due to CO2 emissions from Fire resulting from all sources including natural, anthropogenic and land use change.</t>
  </si>
  <si>
    <t xml:space="preserve">Only total fire emissions can be compared to observations.</t>
  </si>
  <si>
    <t xml:space="preserve">raRoot</t>
  </si>
  <si>
    <t xml:space="preserve">Total Respiration from Roots</t>
  </si>
  <si>
    <t xml:space="preserve">Total autotrophic respiration from all belowground plant parts.  This has benchmarking value because the sum of Rh and root respiration can be compared to observations of total soil respiration.</t>
  </si>
  <si>
    <t xml:space="preserve">raStem</t>
  </si>
  <si>
    <t xml:space="preserve">Total Respiration from Stem</t>
  </si>
  <si>
    <t xml:space="preserve">added for completeness with Ra_root</t>
  </si>
  <si>
    <t xml:space="preserve">raLeaf</t>
  </si>
  <si>
    <t xml:space="preserve">Total respiration from leaves</t>
  </si>
  <si>
    <t xml:space="preserve">raOther</t>
  </si>
  <si>
    <t xml:space="preserve">Total respiration from other pools (not leaves stem or roots)</t>
  </si>
  <si>
    <t xml:space="preserve">rhLitter</t>
  </si>
  <si>
    <t xml:space="preserve">Carbon Mass Flux into Atmosphere due to Heterotrophic Respiration from Litter on Land</t>
  </si>
  <si>
    <t xml:space="preserve">Needed to calculate litter bulk turnover time. Includes respiration from CWD as well.</t>
  </si>
  <si>
    <t xml:space="preserve">rhSoil</t>
  </si>
  <si>
    <t xml:space="preserve">Carbon Mass Flux into Atmosphere due to Heterotrophic Respiration from Soil on Land</t>
  </si>
  <si>
    <t xml:space="preserve">Needed to calculate soil bulk turnover time</t>
  </si>
  <si>
    <t xml:space="preserve">gppTree</t>
  </si>
  <si>
    <t xml:space="preserve">gross primary production on tree tiles</t>
  </si>
  <si>
    <t xml:space="preserve">Total GPP of trees in the gridcell</t>
  </si>
  <si>
    <t xml:space="preserve">gppGrass</t>
  </si>
  <si>
    <t xml:space="preserve">gross primary production on grass tiles</t>
  </si>
  <si>
    <t xml:space="preserve">Total GPP of grass in the gridcell</t>
  </si>
  <si>
    <t xml:space="preserve">nppTree</t>
  </si>
  <si>
    <t xml:space="preserve">net primary production on tree tiles</t>
  </si>
  <si>
    <t xml:space="preserve">Total NPP of trees in the gridcell</t>
  </si>
  <si>
    <t xml:space="preserve">nppGrass</t>
  </si>
  <si>
    <t xml:space="preserve">net primary production on grass tiles</t>
  </si>
  <si>
    <t xml:space="preserve">Total NPP of grass in the gridcell</t>
  </si>
  <si>
    <t xml:space="preserve">raTree</t>
  </si>
  <si>
    <t xml:space="preserve">autotrophic respiration on tree tiles</t>
  </si>
  <si>
    <t xml:space="preserve">Total RA of trees in the gridcell</t>
  </si>
  <si>
    <t xml:space="preserve">raGrass</t>
  </si>
  <si>
    <t xml:space="preserve">autotrophic respiration on grass tiles</t>
  </si>
  <si>
    <t xml:space="preserve">Total RA of grass in the gridcell</t>
  </si>
  <si>
    <t xml:space="preserve">fHarvestToAtmos</t>
  </si>
  <si>
    <t xml:space="preserve">Harvested biomass that goes straight into atmosphere</t>
  </si>
  <si>
    <t xml:space="preserve">any harvested carbon that is assumed to decompose immediately into the atmosphere is reported here</t>
  </si>
  <si>
    <t xml:space="preserve">fDeforestToAtmos</t>
  </si>
  <si>
    <t xml:space="preserve">Deforested biomass that goes into atmosphere as a result of anthropogenic land use change</t>
  </si>
  <si>
    <t xml:space="preserve">nLeaf</t>
  </si>
  <si>
    <t xml:space="preserve">Nitrogen Mass in Leaves</t>
  </si>
  <si>
    <t xml:space="preserve">nStem</t>
  </si>
  <si>
    <t xml:space="preserve">Nitrogen Mass in Stem</t>
  </si>
  <si>
    <t xml:space="preserve">nRoot</t>
  </si>
  <si>
    <t xml:space="preserve">Nitrogen Mass in Roots</t>
  </si>
  <si>
    <t xml:space="preserve">including fine and coarse roots.</t>
  </si>
  <si>
    <t xml:space="preserve">nOther</t>
  </si>
  <si>
    <t xml:space="preserve">Nitrogen mass in vegetation components other than leaves, stem and root</t>
  </si>
  <si>
    <t xml:space="preserve">nLitterCwd</t>
  </si>
  <si>
    <t xml:space="preserve">Nitrogen Mass in Coarse Woody Debris</t>
  </si>
  <si>
    <t xml:space="preserve">'Content' indicates a quantity per unit area. 'Wood debris' means dead organic matter composed of coarse wood. It is distinct from fine litter. The precise distinction between 'fine' and 'coarse' is model dependent. The sum of the quantities with standard names wood_debris_mass_content_of_nitrogen, surface_litter_mass_content_of_nitrogen and subsurface_litter_mass_content_of_nitrogen is the total nitrogen mass content of dead plant material.</t>
  </si>
  <si>
    <t xml:space="preserve">nLitterSurf</t>
  </si>
  <si>
    <t xml:space="preserve">Nitrogen Mass in above ground litter (non CWD)</t>
  </si>
  <si>
    <t xml:space="preserve">'Content' indicates a quantity per unit area. 'Litter' is dead plant material in or above the soil. It is distinct from coarse wood debris. The precise distinction between 'fine' and 'coarse' is model dependent. 'Surface litter' means the part of the litter resting above the soil surface. The sum of the quantities with standard names wood_debris_mass_content_of_nitrogen, surface_litter_mass_content_of_nitrogen and subsurface_litter_mass_content_of_nitrogen is the total nitrogen mass content of dead plant material.</t>
  </si>
  <si>
    <t xml:space="preserve">nLitterSubSurf</t>
  </si>
  <si>
    <t xml:space="preserve">Nitrogen Mass in below ground litter (non CWD)</t>
  </si>
  <si>
    <t xml:space="preserve">'Content' indicates a quantity per unit area. 'Litter' is dead plant material in or above the soil. It is distinct from coarse wood debris. The precise distinction between 'fine' and 'coarse' is model dependent. 'Subsurface litter' means the part of the litter mixed within the soil below the surface. The sum of the quantities with standard names wood_debris_mass_content_of_nitrogen, surface_litter_mass_content_of_nitrogen and subsurface_litter_mass_content_of_nitrogen is the total nitrogen mass content of dead plant material.</t>
  </si>
  <si>
    <t xml:space="preserve">nMineralNH4</t>
  </si>
  <si>
    <t xml:space="preserve">Mineral ammonium in the soil</t>
  </si>
  <si>
    <t xml:space="preserve">SUM of ammonium over all soil layers</t>
  </si>
  <si>
    <t xml:space="preserve">nMineralNO3</t>
  </si>
  <si>
    <t xml:space="preserve">Mineral nitrate in the soil</t>
  </si>
  <si>
    <t xml:space="preserve">SUM of nitrate over all soil layers</t>
  </si>
  <si>
    <t xml:space="preserve">fNleach</t>
  </si>
  <si>
    <t xml:space="preserve">Total N loss to leaching or runoff (sum of ammonium, nitrite and nitrate)</t>
  </si>
  <si>
    <t xml:space="preserve">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'Leaching' means the loss of water soluble chemical species from soil. Runoff is the liquid water which drains from land. If not specified, 'runoff' refers to the sum of surface runoff and subsurface drainage.</t>
  </si>
  <si>
    <t xml:space="preserve">fNgasNonFire</t>
  </si>
  <si>
    <t xml:space="preserve">Total N lost to the atmosphere (including NHx, NOx, N2O, N2) from all processes except fire.</t>
  </si>
  <si>
    <t xml:space="preserve">'Upward'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'Nitrogen compounds' summarizes all chemical species containing nitrogen atoms. The list of individual species that are included in this quantity can vary between models. Where possible, the data variable should be accompanied by a complete description of the species represented, for example, by using a comment attribute.</t>
  </si>
  <si>
    <t xml:space="preserve">fNgasFire</t>
  </si>
  <si>
    <t xml:space="preserve">Total N lost to the atmosphere (including NHx, NOx, N2O, N2) from fire.</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</si>
  <si>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'Nitrogen compounds' summarizes all chemical species containing nitrogen atoms. The list of individual species that are included in this quantity can vary between models. Where possible, the data variable should be accompanied by a complete description of the species represented, for example, by using a comment attribute.</t>
  </si>
  <si>
    <t xml:space="preserve">netAtmosLandCO2Flux</t>
  </si>
  <si>
    <t xml:space="preserve">Net flux of CO2 between atmosphere and land (positive into land) as a result of all processes.</t>
  </si>
  <si>
    <t xml:space="preserve">Available in LPJ-GUESS, but the field will be the same as nbp in Lmon</t>
  </si>
  <si>
    <t xml:space="preserve">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</si>
  <si>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C4MIP,DCPP,LUMIP,PAMIP,PMIP</t>
  </si>
  <si>
    <t xml:space="preserve">longitude latitude alevel time lambda550nm</t>
  </si>
  <si>
    <t xml:space="preserve">GeoMIP,VIACSAB</t>
  </si>
  <si>
    <t xml:space="preserve">uqint</t>
  </si>
  <si>
    <t xml:space="preserve">integrated_eastward_wind_times_humidity</t>
  </si>
  <si>
    <t xml:space="preserve">m2 s-1</t>
  </si>
  <si>
    <t xml:space="preserve">Available in IFS, via postprocessing the vertical integral can be taken of the following grib 128.131 * 128.133</t>
  </si>
  <si>
    <t xml:space="preserve">Column integrated eastward wind times specific humidity</t>
  </si>
  <si>
    <t xml:space="preserve">vqint</t>
  </si>
  <si>
    <t xml:space="preserve">integrated_northward_wind_times_humidity</t>
  </si>
  <si>
    <t xml:space="preserve">Available in IFS, via postprocessing the vertical integral can be taken of the following grib 128.132 * 128.133</t>
  </si>
  <si>
    <t xml:space="preserve">Column integrated northward wind times specific humidity</t>
  </si>
  <si>
    <t xml:space="preserve">nep</t>
  </si>
  <si>
    <t xml:space="preserve">Net Carbon Mass Flux out of Atmophere due to Net Ecosystem Productivity on Land.</t>
  </si>
  <si>
    <t xml:space="preserve">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</si>
  <si>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AerChemMIP,CMIP,FAFMIP,GMMIP,GeoMIP,HighResMIP,LS3MIP,RFMIP,VIACSAB,VolMIP</t>
  </si>
  <si>
    <t xml:space="preserve">fLuc</t>
  </si>
  <si>
    <t xml:space="preserve">Net Carbon Mass Flux into Atmosphere due to Land Use Change</t>
  </si>
  <si>
    <t xml:space="preserve">Carbon mass flux per unit area into atmosphere due to human changes to land (excluding forest regrowth) accounting possibly for different time-scales related to fate of the wood, for example.</t>
  </si>
  <si>
    <t xml:space="preserve">cWood</t>
  </si>
  <si>
    <t xml:space="preserve">Carbon Mass in Wood</t>
  </si>
  <si>
    <t xml:space="preserve">Carbon mass per unit area in wood, including sapwood and hardwood.</t>
  </si>
  <si>
    <t xml:space="preserve">gppLut</t>
  </si>
  <si>
    <t xml:space="preserve">gross primary productivity on land use tile</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</si>
  <si>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</si>
  <si>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raLut</t>
  </si>
  <si>
    <t xml:space="preserve">plant respiration on land use tile</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</si>
  <si>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chemical formula for carbon dioxide is CO2.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Plant respiration is the sum of respiration by parts of plants both above and below the soil. It is assumed that all the respired carbon dioxide is emitted to the atmosphere.</t>
  </si>
  <si>
    <t xml:space="preserve">nppLut</t>
  </si>
  <si>
    <t xml:space="preserve">net primary productivity on land use tile</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</si>
  <si>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</si>
  <si>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cTotFireLut</t>
  </si>
  <si>
    <t xml:space="preserve">Total carbon loss from natural and managed fire on land use tile, including deforestation fires</t>
  </si>
  <si>
    <t xml:space="preserve">Different from LMON this flux should include all fires occurring on the land use tile, including natural, man-made and deforestation fires</t>
  </si>
  <si>
    <t xml:space="preserve">rhLut</t>
  </si>
  <si>
    <t xml:space="preserve">soil heterotrophic respiration on land use tile</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</si>
  <si>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chemical formula for carbon dioxide is CO2.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t>
  </si>
  <si>
    <t xml:space="preserve">necbLut</t>
  </si>
  <si>
    <t xml:space="preserve">net rate of C accumulation (or loss) on land use tile</t>
  </si>
  <si>
    <t xml:space="preserve">Computed as npp minus heterotrophic respiration minus fire minus C leaching minus harvesting/clearing. Positive rate is into the land, negative rate is from the land.  Do not include fluxes from anthropogenic product pools to atmosphere</t>
  </si>
  <si>
    <t xml:space="preserve">nwdFracLut</t>
  </si>
  <si>
    <t xml:space="preserve">longitude latitude landUse time typenwd</t>
  </si>
  <si>
    <t xml:space="preserve">Non-woody Vegetation Percentage Cover</t>
  </si>
  <si>
    <t xml:space="preserve">Percentage of land use tile tile that is non-woody vegetation ( e.g. herbaceous crops)</t>
  </si>
  <si>
    <t xml:space="preserve">laiLut</t>
  </si>
  <si>
    <t xml:space="preserve">Leaf Area Index on Land Use Tile</t>
  </si>
  <si>
    <t xml:space="preserve">mrsosLut</t>
  </si>
  <si>
    <t xml:space="preserve">longitude latitude landUse time sdepth1</t>
  </si>
  <si>
    <t xml:space="preserve">Moisture in Upper Portion of Soil Column of land use tile</t>
  </si>
  <si>
    <t xml:space="preserve">the mass of water in all phases in a thin surface layer; integrate over uppermost 10cm</t>
  </si>
  <si>
    <t xml:space="preserve">mrroLut</t>
  </si>
  <si>
    <t xml:space="preserve">Total runoff from land use tile</t>
  </si>
  <si>
    <t xml:space="preserve">the total runoff (including 'drainage' through the base of the soil model) leaving the land use tile portion of the grid cell</t>
  </si>
  <si>
    <t xml:space="preserve">mrsoLut</t>
  </si>
  <si>
    <t xml:space="preserve">Total soil moisture</t>
  </si>
  <si>
    <t xml:space="preserve">'Water' means water in all phases. 'Content' indicates a quantity per unit area. The mass content of water in soil refers to the vertical integral from the surface down to the bottom of the soil model. For the content between specified levels in the soil, standard names including 'content_of_soil_layer' are used.</t>
  </si>
  <si>
    <t xml:space="preserve">irrLut</t>
  </si>
  <si>
    <t xml:space="preserve">Irrigation flux including any irrigation for crops, trees, pasture, or urban lawns</t>
  </si>
  <si>
    <t xml:space="preserve">Mass flux of water due to irrigation.</t>
  </si>
  <si>
    <t xml:space="preserve">fProductDecompLut</t>
  </si>
  <si>
    <t xml:space="preserve">flux from wood and agricultural product pools on land use tile into atmosphere</t>
  </si>
  <si>
    <t xml:space="preserve">If  a model has explicit anthropogenic product pools by land use tile</t>
  </si>
  <si>
    <t xml:space="preserve">fLulccProductLut</t>
  </si>
  <si>
    <t xml:space="preserve">carbon harvested due to land-use or land-cover change process that enters anthropogenic product pools on tile</t>
  </si>
  <si>
    <t xml:space="preserve">This annual mean flux refers to the transfer of carbon primarily through harvesting land use into anthropogenic product pools, e.g.,deforestation or wood harvestingfrom primary or secondary lands, food harvesting on croplands, harvesting (grazing) by animals on pastures.</t>
  </si>
  <si>
    <t xml:space="preserve">fLulccResidueLut</t>
  </si>
  <si>
    <t xml:space="preserve">carbon transferred to soil or litter pools due to land-use or land-cover change processes on tile</t>
  </si>
  <si>
    <t xml:space="preserve">This annual mean flux refers to the transfer of carbon into soil or litter pools due to any land use or land-cover change activities</t>
  </si>
  <si>
    <t xml:space="preserve">fLulccAtmLut</t>
  </si>
  <si>
    <t xml:space="preserve">carbon transferred directly to atmosphere due to any land-use or land-cover change activities including deforestation or agricultural fire</t>
  </si>
  <si>
    <t xml:space="preserve">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</si>
  <si>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 xml:space="preserve">evspsblpot</t>
  </si>
  <si>
    <t xml:space="preserve">Potential Evapotranspiration</t>
  </si>
  <si>
    <t xml:space="preserve">Available in LPJ-GUESS.  Is now implemented as a monthly output from LPJ-GUESS.</t>
  </si>
  <si>
    <t xml:space="preserve">at surface; potential flux of water into the atmosphere due to conversion of both liquid and solid phases to vapor (from underlying surface and vegetation)</t>
  </si>
  <si>
    <t xml:space="preserve">PMIP</t>
  </si>
  <si>
    <t xml:space="preserve">intuaw</t>
  </si>
  <si>
    <t xml:space="preserve">Vertically integrated Eastward moisture transport (Mass_weighted_vertical integral of the product of eastward wind by total water mass per unit mass)</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</si>
  <si>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</si>
  <si>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</si>
  <si>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</si>
  <si>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intvaw</t>
  </si>
  <si>
    <t xml:space="preserve">Vertically integrated Northward moisture transport (Mass_weighted_vertical integral of the product of northward wind by total water mass per unit mass)</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</si>
  <si>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</si>
  <si>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</si>
  <si>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Vertically integrated Eastward dry transport (cp.T +zg).u (Mass_weighted_vertical integral of the product of northward wind by dry static_energy per mass unit)</t>
  </si>
  <si>
    <t xml:space="preserve">1.e6 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</si>
  <si>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</si>
  <si>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Vertically integrated eastward dry static energy transport (cp.T +zg).v (Mass_weighted_vertical integral of the product of eastward wind by dry static_energy per mass unit)</t>
  </si>
  <si>
    <t xml:space="preserve">intvadse</t>
  </si>
  <si>
    <t xml:space="preserve">Vertically integrated Northward dry transport (cp.T +zg).v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</si>
  <si>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</si>
  <si>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</si>
  <si>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flashrate</t>
  </si>
  <si>
    <t xml:space="preserve">Lightning Flash Rate</t>
  </si>
  <si>
    <t xml:space="preserve">km-2 s-1</t>
  </si>
  <si>
    <t xml:space="preserve">proposed name: lightning_flash_rate (units to be interpreted as 'counts km-2 s-1)</t>
  </si>
  <si>
    <t xml:space="preserve">vegFrac</t>
  </si>
  <si>
    <t xml:space="preserve">longitude latitude time typeveg</t>
  </si>
  <si>
    <t xml:space="preserve">Total vegetated percentage cover</t>
  </si>
  <si>
    <t xml:space="preserve">Percentage of grid cell that is covered by vegetation.This SHOULD be the sum of tree, grass, crop and shrub fractions.</t>
  </si>
  <si>
    <t xml:space="preserve">treeFracNdlEvg</t>
  </si>
  <si>
    <t xml:space="preserve">longitude latitude time typetreene</t>
  </si>
  <si>
    <t xml:space="preserve">Needleleaf evergreen tree area percentage</t>
  </si>
  <si>
    <t xml:space="preserve">This is the percentage of the entire grid cell that is covered by needleleaf evergreen trees.</t>
  </si>
  <si>
    <t xml:space="preserve">cropFracC3</t>
  </si>
  <si>
    <t xml:space="preserve">longitude latitude time typec3crop</t>
  </si>
  <si>
    <t xml:space="preserve">Percentage Cover by C3 Crops</t>
  </si>
  <si>
    <t xml:space="preserve">Percentage of entire grid cell covered by C3 crops</t>
  </si>
  <si>
    <t xml:space="preserve">cropFracC4</t>
  </si>
  <si>
    <t xml:space="preserve">longitude latitude time typec4crop</t>
  </si>
  <si>
    <t xml:space="preserve">Percentage Cover by C4 Crops</t>
  </si>
  <si>
    <t xml:space="preserve">Percentage of entire grid cell covered by C4 crops</t>
  </si>
  <si>
    <t xml:space="preserve">cLand</t>
  </si>
  <si>
    <t xml:space="preserve">Total Carbon in All Terrestrial Carbon Pools</t>
  </si>
  <si>
    <t xml:space="preserve">vegHeightTree</t>
  </si>
  <si>
    <t xml:space="preserve">Vegetation height averaged over the tree fraction of a grid cell.</t>
  </si>
  <si>
    <t xml:space="preserve">nVeg</t>
  </si>
  <si>
    <t xml:space="preserve">Nitrogen Mass in Vegetation</t>
  </si>
  <si>
    <t xml:space="preserve">nSoil</t>
  </si>
  <si>
    <t xml:space="preserve">Nitrogen Mass in Soil Pool</t>
  </si>
  <si>
    <t xml:space="preserve">fNgas</t>
  </si>
  <si>
    <t xml:space="preserve">Total Nitrogen lost to the atmosphere (sum of NHx, NOx, N2O, N2)</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</si>
  <si>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he phrase 'expressed_as' is used in the construction A_expressed_as_B, where B is a chemical constituent of A. It means that the quantity indicated by the standard name is calculated solely with respect to the B contained in A, neglecting all other chemical constituents of A. 'Nitrogen compounds' summarizes all chemical species containing nitrogen atoms. The list of individual species that are included in this quantity can vary between models. Where possible, the data variable should be accompanied by a complete description of the species represented, for example, by using a comment attribute.</t>
  </si>
  <si>
    <t xml:space="preserve">od550aerso</t>
  </si>
  <si>
    <t xml:space="preserve">Stratospheric Optical depth at 550 nm (all aerosols) 2D-field (here we limit the computation of OD to the stratosphere only)</t>
  </si>
  <si>
    <t xml:space="preserve">Determined by CMIP6 stratospheric aerosol forcing data set</t>
  </si>
  <si>
    <t xml:space="preserve">From tropopause to stratopause as defined by the model</t>
  </si>
  <si>
    <t xml:space="preserve">GeoMIP,PMIP</t>
  </si>
  <si>
    <t xml:space="preserve">depdust</t>
  </si>
  <si>
    <t xml:space="preserve">Total Deposition Rate of Dust</t>
  </si>
  <si>
    <t xml:space="preserve">Balkanski - LSCE</t>
  </si>
  <si>
    <t xml:space="preserve">sedustCI</t>
  </si>
  <si>
    <t xml:space="preserve">Sedimentation Flux of dust mode coarse insoluble</t>
  </si>
  <si>
    <t xml:space="preserve">md</t>
  </si>
  <si>
    <t xml:space="preserve">Wet diameter mode coarse insoluble</t>
  </si>
  <si>
    <t xml:space="preserve">PMIP,VIACSAB</t>
  </si>
  <si>
    <t xml:space="preserve">concdust</t>
  </si>
  <si>
    <t xml:space="preserve">Concentration of Dust</t>
  </si>
  <si>
    <t xml:space="preserve">kg m-3</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</si>
  <si>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</si>
  <si>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Lmon</t>
  </si>
  <si>
    <t xml:space="preserve">prveg</t>
  </si>
  <si>
    <t xml:space="preserve">Precipitation onto Canopy</t>
  </si>
  <si>
    <t xml:space="preserve">The precipitation flux that is intercepted by the vegetation canopy (if present in model) before reaching the ground.</t>
  </si>
  <si>
    <t xml:space="preserve">AerChemMIP,C4MIP,CFMIP,CMIP,FAFMIP,GMMIP,GeoMIP,HighResMIP,LS3MIP,LUMIP,RFMIP,VIACSAB,VolMIP</t>
  </si>
  <si>
    <t xml:space="preserve">evspsblveg</t>
  </si>
  <si>
    <t xml:space="preserve">Evaporation from Canopy</t>
  </si>
  <si>
    <t xml:space="preserve">The canopy evaporation and sublimation (if present in model); may include dew formation as a negative flux.</t>
  </si>
  <si>
    <t xml:space="preserve">AerChemMIP,C4MIP,CFMIP,CMIP,FAFMIP,GMMIP,GeoMIP,HighResMIP,LS3MIP,LUMIP,PMIP,RFMIP,VIACSAB,VolMIP</t>
  </si>
  <si>
    <t xml:space="preserve">tran</t>
  </si>
  <si>
    <t xml:space="preserve">Transpiration</t>
  </si>
  <si>
    <t xml:space="preserve">Available in LPJ-GUESS.  Already exist as - tran - Transpiration [kg m-2 s-1]</t>
  </si>
  <si>
    <t xml:space="preserve">Transpiration (may include dew formation as a negative flux).</t>
  </si>
  <si>
    <t xml:space="preserve">pastureFrac</t>
  </si>
  <si>
    <t xml:space="preserve">longitude latitude time typepasture</t>
  </si>
  <si>
    <t xml:space="preserve">Percentage of Land which is Anthropogenic Pasture</t>
  </si>
  <si>
    <t xml:space="preserve">Percentage of entire grid cell  that is covered by anthropogenic pasture.</t>
  </si>
  <si>
    <t xml:space="preserve">AerChemMIP,C4MIP,CMIP,DAMIP,DCPP,FAFMIP,GMMIP,GeoMIP,HighResMIP,LS3MIP,LUMIP,PAMIP,PMIP,RFMIP,VIACSAB,VolMIP</t>
  </si>
  <si>
    <t xml:space="preserve">npp</t>
  </si>
  <si>
    <t xml:space="preserve">Carbon Mass Flux out of Atmosphere due to Net Primary Production on Land</t>
  </si>
  <si>
    <t xml:space="preserve">fFire</t>
  </si>
  <si>
    <t xml:space="preserve">Carbon Mass Flux into Atmosphere due to CO2 Emission from Fire</t>
  </si>
  <si>
    <t xml:space="preserve">Available in LPJ-GUESS, but the field will be the same as fFireNat</t>
  </si>
  <si>
    <t xml:space="preserve">CO2 emissions (expressed as a carbon mass flux per unit area)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</si>
  <si>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AerChemMIP,CMIP,FAFMIP,GMMIP,GeoMIP,HighResMIP,LS3MIP,PMIP,RFMIP,VIACSAB,VolMIP</t>
  </si>
  <si>
    <t xml:space="preserve">fGrazing</t>
  </si>
  <si>
    <t xml:space="preserve">Carbon Mass Flux into Atmosphere due to Grazing on Land</t>
  </si>
  <si>
    <t xml:space="preserve">Carbon mass flux per unit area due to grazing on land</t>
  </si>
  <si>
    <t xml:space="preserve">fHarvest</t>
  </si>
  <si>
    <t xml:space="preserve">Carbon Mass Flux into Atmosphere due to Crop Harvesting</t>
  </si>
  <si>
    <t xml:space="preserve">Available in LPJ-GUESS, but the field will be the same as fHarvestToAtmos</t>
  </si>
  <si>
    <t xml:space="preserve">Carbon mass flux per unit area due to crop harvesting</t>
  </si>
  <si>
    <t xml:space="preserve">nbp</t>
  </si>
  <si>
    <t xml:space="preserve">Carbon Mass Flux out of Atmosphere due to Net Biospheric Production on Land</t>
  </si>
  <si>
    <t xml:space="preserve">This is the net mass flux of carbon from atmosphere into land, calculated as photosynthesis MINUS the sum of  plant and soil respiration, carbon fluxes from fire, harvest, grazing  and land use change. Positive flux is into the land.</t>
  </si>
  <si>
    <t xml:space="preserve">AerChemMIP,CMIP,DCPP,FAFMIP,GMMIP,GeoMIP,HighResMIP,LS3MIP,PAMIP,PMIP,RFMIP,VIACSAB,VolMIP</t>
  </si>
  <si>
    <t xml:space="preserve">fVegLitter</t>
  </si>
  <si>
    <t xml:space="preserve">Total Carbon Mass Flux from Vegetation to Litter</t>
  </si>
  <si>
    <t xml:space="preserve">In accordance with common usage in geophysical disciplines, 'flux' implies per unit area, called 'flux density' in physics. 'Vegetation' means any living plants e.g. trees, shrubs, grass. 'Litter' is dead plant material in or above the soil. It is distinct from coarse wood debris. The precise distinction between 'fine' and 'coarse' is model dependent. The sum of the quantities with standard names mass_flux_of_carbon_into_litter_from_vegetation_due_to_mortality and mass_flux_of_carbon_into_litter_from_vegetation_due_to_senescence is mass_flux_of_carbon_into_litter_from_vegetation.</t>
  </si>
  <si>
    <t xml:space="preserve">AerChemMIP,C4MIP,CMIP,FAFMIP,GMMIP,GeoMIP,HighResMIP,LS3MIP,LUMIP,PMIP,RFMIP,VIACSAB,VolMIP</t>
  </si>
  <si>
    <t xml:space="preserve">fLitterSoil</t>
  </si>
  <si>
    <t xml:space="preserve">Total Carbon Mass Flux from Litter to Soil</t>
  </si>
  <si>
    <t xml:space="preserve">Carbon mass flux per unit area into soil from litter (dead plant material in or above the soil).</t>
  </si>
  <si>
    <t xml:space="preserve">cLeaf</t>
  </si>
  <si>
    <t xml:space="preserve">Carbon Mass in Leaves</t>
  </si>
  <si>
    <t xml:space="preserve">Carbon mass per unit area in leaves.</t>
  </si>
  <si>
    <t xml:space="preserve">AerChemMIP,C4MIP,CMIP,FAFMIP,GMMIP,GeoMIP,HighResMIP,LS3MIP,LUMIP,RFMIP,VIACSAB,VolMIP</t>
  </si>
  <si>
    <t xml:space="preserve">cRoot</t>
  </si>
  <si>
    <t xml:space="preserve">Carbon Mass in Roots</t>
  </si>
  <si>
    <t xml:space="preserve">Carbon mass per unit area in roots, including fine and coarse roots.</t>
  </si>
  <si>
    <t xml:space="preserve">cCwd</t>
  </si>
  <si>
    <t xml:space="preserve">Available in LPJ-GUESS, but the field will be the same as cLitterCwd</t>
  </si>
  <si>
    <t xml:space="preserve">Carbon mass per unit area in woody debris (dead organic matter composed of coarse wood.  It is distinct from litter)</t>
  </si>
  <si>
    <t xml:space="preserve">cLitterAbove</t>
  </si>
  <si>
    <t xml:space="preserve">'Litter' is dead plant material in or above the soil. It is distinct from coarse wood debris. The precise distinction between 'fine' and 'coarse' is model dependent. 'Surface litter' means the part of the litter resting above the soil surface. 'Content' indicates a quantity per unit area. The sum of the quantities with standard names surface_litter_mass_content_of_carbon and subsurface_litter_mass_content_of_carbon has the standard name litter_mass_content_of_carbon.</t>
  </si>
  <si>
    <t xml:space="preserve">cLitterBelow</t>
  </si>
  <si>
    <t xml:space="preserve">'Litter' is dead plant material in or above the soil. It is distinct from coarse wood debris. The precise distinction between 'fine' and 'coarse' is model dependent. 'Subsurface litter' means the part of the litter mixed within the soil below the surface. 'Content' indicates a quantity per unit area. The sum of the quantities with standard names surface_litter_mass_content_of_carbon and subsurface_litter_mass_content_of_carbon has the standard name litter_mass_content_of_carbon.</t>
  </si>
  <si>
    <t xml:space="preserve">cSoilFast</t>
  </si>
  <si>
    <t xml:space="preserve">Carbon Mass in Fast Soil Pool</t>
  </si>
  <si>
    <t xml:space="preserve">Carbon mass per unit area in fast soil pool. Fast means a lifetime of less than 10 years for reference climate conditions (20th century) in the absence of water limitations.</t>
  </si>
  <si>
    <t xml:space="preserve">cSoilMedium</t>
  </si>
  <si>
    <t xml:space="preserve">Carbon Mass in Medium Soil Pool</t>
  </si>
  <si>
    <t xml:space="preserve">Carbon mass per unit area in medium (rate) soil pool. Medium means a lifetime of more than than 10 years and less than 100 years for reference climate conditions (20th century) in the absence of water limitations.</t>
  </si>
  <si>
    <t xml:space="preserve">cSoilSlow</t>
  </si>
  <si>
    <t xml:space="preserve">Carbon Mass in Slow Soil Pool</t>
  </si>
  <si>
    <t xml:space="preserve">Carbon mass per unit area in slow soil pool. Slow means a lifetime of more than 100 years for reference climate (20th century) in the absence of water limitations.</t>
  </si>
  <si>
    <t xml:space="preserve">landCoverFrac</t>
  </si>
  <si>
    <t xml:space="preserve">longitude latitude vegtype time</t>
  </si>
  <si>
    <t xml:space="preserve">Percentage of Area by Vegetation/Land Cover Category</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</si>
  <si>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percentage of the grid-cell that is land.</t>
  </si>
  <si>
    <t xml:space="preserve">rGrowth</t>
  </si>
  <si>
    <t xml:space="preserve">Carbon Mass Flux into Atmosphere due to Growth Autotrophic Respiration on Land</t>
  </si>
  <si>
    <t xml:space="preserve">Available in LPJ-GUESS, but the field will be the same as raOther</t>
  </si>
  <si>
    <t xml:space="preserve">rMaint</t>
  </si>
  <si>
    <t xml:space="preserve">Carbon Mass Flux into Atmosphere due to Maintenance Autotrophic Respiration on Land</t>
  </si>
  <si>
    <t xml:space="preserve">Available in LPJ-GUESS, but the field will be the same as r*</t>
  </si>
  <si>
    <t xml:space="preserve">ec</t>
  </si>
  <si>
    <t xml:space="preserve">Interception evaporation</t>
  </si>
  <si>
    <t xml:space="preserve">Available in LPJ-GUESS.  Already exist as - evspsblveg - Total Evaporation of intercepted water from Canopy [kg m-2 s-1]</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</si>
</sst>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362" colorId="64" zoomScale="100" zoomScaleNormal="100" zoomScalePageLayoutView="100" workbookViewId="0">
      <selection pane="topLeft" activeCell="A377" activeCellId="0" sqref="377:382"/>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HYPERLINK("http://clipc-services.ceda.ac.uk/dreq/u/590e5de4-9e49-11e5-803c-0d0b866b59f3.html","web")</f>
        <v>0</v>
      </c>
      <c r="H3" s="0" t="s">
        <v>17</v>
      </c>
      <c r="I3" s="0" t="s">
        <v>18</v>
      </c>
      <c r="J3" s="0" t="s">
        <v>19</v>
      </c>
      <c r="K3" s="0" t="s">
        <v>20</v>
      </c>
    </row>
    <row r="4" customFormat="false" ht="15" hidden="false" customHeight="false" outlineLevel="0" collapsed="false">
      <c r="A4" s="0" t="s">
        <v>11</v>
      </c>
      <c r="B4" s="0" t="s">
        <v>21</v>
      </c>
      <c r="C4" s="0" t="s">
        <v>13</v>
      </c>
      <c r="D4" s="0" t="s">
        <v>22</v>
      </c>
      <c r="E4" s="0" t="s">
        <v>23</v>
      </c>
      <c r="F4" s="0" t="s">
        <v>16</v>
      </c>
      <c r="G4" s="0" t="n">
        <f aca="false">HYPERLINK("http://clipc-services.ceda.ac.uk/dreq/u/7124926c-c7b6-11e6-bb2a-ac72891c3257.html","web")</f>
        <v>0</v>
      </c>
      <c r="H4" s="0" t="s">
        <v>24</v>
      </c>
      <c r="I4" s="0" t="s">
        <v>25</v>
      </c>
      <c r="J4" s="0" t="s">
        <v>26</v>
      </c>
      <c r="K4" s="0" t="s">
        <v>27</v>
      </c>
    </row>
    <row r="5" customFormat="false" ht="15" hidden="false" customHeight="false" outlineLevel="0" collapsed="false">
      <c r="A5" s="0" t="s">
        <v>11</v>
      </c>
      <c r="B5" s="0" t="s">
        <v>28</v>
      </c>
      <c r="C5" s="0" t="s">
        <v>13</v>
      </c>
      <c r="D5" s="0" t="s">
        <v>22</v>
      </c>
      <c r="E5" s="0" t="s">
        <v>29</v>
      </c>
      <c r="F5" s="0" t="s">
        <v>16</v>
      </c>
      <c r="G5" s="0" t="n">
        <f aca="false">HYPERLINK("http://clipc-services.ceda.ac.uk/dreq/u/7124a0cc-c7b6-11e6-bb2a-ac72891c3257.html","web")</f>
        <v>0</v>
      </c>
      <c r="H5" s="0" t="s">
        <v>30</v>
      </c>
      <c r="I5" s="0" t="s">
        <v>25</v>
      </c>
      <c r="J5" s="0" t="s">
        <v>31</v>
      </c>
      <c r="K5" s="0" t="s">
        <v>27</v>
      </c>
    </row>
    <row r="6" customFormat="false" ht="15" hidden="false" customHeight="false" outlineLevel="0" collapsed="false">
      <c r="A6" s="0" t="s">
        <v>11</v>
      </c>
      <c r="B6" s="0" t="s">
        <v>32</v>
      </c>
      <c r="C6" s="0" t="s">
        <v>13</v>
      </c>
      <c r="D6" s="0" t="s">
        <v>22</v>
      </c>
      <c r="E6" s="0" t="s">
        <v>33</v>
      </c>
      <c r="F6" s="0" t="s">
        <v>13</v>
      </c>
      <c r="G6" s="0" t="n">
        <f aca="false">HYPERLINK("http://clipc-services.ceda.ac.uk/dreq/u/f8dde114-11ed-11e7-bf88-ac72891c3257.html","web")</f>
        <v>0</v>
      </c>
      <c r="H6" s="0" t="s">
        <v>34</v>
      </c>
      <c r="I6" s="0" t="s">
        <v>25</v>
      </c>
      <c r="J6" s="0" t="s">
        <v>35</v>
      </c>
      <c r="K6" s="0" t="s">
        <v>27</v>
      </c>
    </row>
    <row r="7" customFormat="false" ht="15" hidden="false" customHeight="false" outlineLevel="0" collapsed="false">
      <c r="A7" s="0" t="s">
        <v>11</v>
      </c>
      <c r="B7" s="0" t="s">
        <v>36</v>
      </c>
      <c r="C7" s="0" t="s">
        <v>13</v>
      </c>
      <c r="D7" s="0" t="s">
        <v>22</v>
      </c>
      <c r="E7" s="0" t="s">
        <v>37</v>
      </c>
      <c r="F7" s="0" t="s">
        <v>13</v>
      </c>
      <c r="G7" s="0" t="n">
        <f aca="false">HYPERLINK("http://clipc-services.ceda.ac.uk/dreq/u/71248dd0-c7b6-11e6-bb2a-ac72891c3257.html","web")</f>
        <v>0</v>
      </c>
      <c r="H7" s="0" t="s">
        <v>38</v>
      </c>
      <c r="I7" s="0" t="s">
        <v>25</v>
      </c>
      <c r="J7" s="0" t="s">
        <v>35</v>
      </c>
      <c r="K7" s="0" t="s">
        <v>27</v>
      </c>
    </row>
    <row r="8" customFormat="false" ht="15" hidden="false" customHeight="false" outlineLevel="0" collapsed="false">
      <c r="A8" s="0" t="s">
        <v>11</v>
      </c>
      <c r="B8" s="0" t="s">
        <v>39</v>
      </c>
      <c r="C8" s="0" t="s">
        <v>13</v>
      </c>
      <c r="D8" s="0" t="s">
        <v>22</v>
      </c>
      <c r="E8" s="0" t="s">
        <v>40</v>
      </c>
      <c r="F8" s="0" t="s">
        <v>13</v>
      </c>
      <c r="G8" s="0" t="n">
        <f aca="false">HYPERLINK("http://clipc-services.ceda.ac.uk/dreq/u/7124a324-c7b6-11e6-bb2a-ac72891c3257.html","web")</f>
        <v>0</v>
      </c>
      <c r="H8" s="0" t="s">
        <v>41</v>
      </c>
      <c r="I8" s="0" t="s">
        <v>25</v>
      </c>
      <c r="J8" s="0" t="s">
        <v>35</v>
      </c>
      <c r="K8" s="0" t="s">
        <v>27</v>
      </c>
    </row>
    <row r="9" customFormat="false" ht="15" hidden="false" customHeight="false" outlineLevel="0" collapsed="false">
      <c r="A9" s="0" t="s">
        <v>11</v>
      </c>
      <c r="B9" s="0" t="s">
        <v>42</v>
      </c>
      <c r="C9" s="0" t="s">
        <v>13</v>
      </c>
      <c r="D9" s="0" t="s">
        <v>22</v>
      </c>
      <c r="E9" s="0" t="s">
        <v>43</v>
      </c>
      <c r="F9" s="0" t="s">
        <v>44</v>
      </c>
      <c r="G9" s="0" t="n">
        <f aca="false">HYPERLINK("http://clipc-services.ceda.ac.uk/dreq/u/7124996a-c7b6-11e6-bb2a-ac72891c3257.html","web")</f>
        <v>0</v>
      </c>
      <c r="H9" s="0" t="s">
        <v>45</v>
      </c>
      <c r="I9" s="0" t="s">
        <v>25</v>
      </c>
      <c r="J9" s="0" t="s">
        <v>46</v>
      </c>
      <c r="K9" s="0" t="s">
        <v>27</v>
      </c>
    </row>
    <row r="10" customFormat="false" ht="15" hidden="false" customHeight="false" outlineLevel="0" collapsed="false">
      <c r="A10" s="0" t="s">
        <v>11</v>
      </c>
      <c r="B10" s="0" t="s">
        <v>47</v>
      </c>
      <c r="C10" s="0" t="s">
        <v>13</v>
      </c>
      <c r="D10" s="0" t="s">
        <v>22</v>
      </c>
      <c r="E10" s="0" t="s">
        <v>48</v>
      </c>
      <c r="F10" s="0" t="s">
        <v>49</v>
      </c>
      <c r="G10" s="0" t="n">
        <f aca="false">HYPERLINK("http://clipc-services.ceda.ac.uk/dreq/u/71249bb8-c7b6-11e6-bb2a-ac72891c3257.html","web")</f>
        <v>0</v>
      </c>
      <c r="H10" s="0" t="s">
        <v>50</v>
      </c>
      <c r="I10" s="0" t="s">
        <v>25</v>
      </c>
      <c r="J10" s="0" t="s">
        <v>51</v>
      </c>
      <c r="K10" s="0" t="s">
        <v>27</v>
      </c>
    </row>
    <row r="11" customFormat="false" ht="15" hidden="false" customHeight="false" outlineLevel="0" collapsed="false">
      <c r="A11" s="0" t="s">
        <v>11</v>
      </c>
      <c r="B11" s="0" t="s">
        <v>52</v>
      </c>
      <c r="C11" s="0" t="s">
        <v>13</v>
      </c>
      <c r="D11" s="0" t="s">
        <v>22</v>
      </c>
      <c r="E11" s="0" t="s">
        <v>53</v>
      </c>
      <c r="F11" s="0" t="s">
        <v>54</v>
      </c>
      <c r="G11" s="0" t="n">
        <f aca="false">HYPERLINK("http://clipc-services.ceda.ac.uk/dreq/u/7124901e-c7b6-11e6-bb2a-ac72891c3257.html","web")</f>
        <v>0</v>
      </c>
      <c r="H11" s="0" t="s">
        <v>55</v>
      </c>
      <c r="I11" s="0" t="s">
        <v>56</v>
      </c>
      <c r="J11" s="0" t="s">
        <v>57</v>
      </c>
      <c r="K11" s="0" t="s">
        <v>27</v>
      </c>
    </row>
    <row r="13" customFormat="false" ht="15" hidden="false" customHeight="false" outlineLevel="0" collapsed="false">
      <c r="A13" s="0" t="s">
        <v>58</v>
      </c>
      <c r="B13" s="0" t="s">
        <v>59</v>
      </c>
      <c r="C13" s="0" t="s">
        <v>13</v>
      </c>
      <c r="D13" s="0" t="s">
        <v>60</v>
      </c>
      <c r="E13" s="0" t="s">
        <v>61</v>
      </c>
      <c r="F13" s="0" t="s">
        <v>62</v>
      </c>
      <c r="G13" s="0" t="n">
        <f aca="false">HYPERLINK("http://clipc-services.ceda.ac.uk/dreq/u/be9cffbb781e32b0bc311b22fa5c0322.html","web")</f>
        <v>0</v>
      </c>
      <c r="H13" s="0" t="s">
        <v>63</v>
      </c>
      <c r="I13" s="0" t="s">
        <v>64</v>
      </c>
      <c r="J13" s="0" t="s">
        <v>65</v>
      </c>
      <c r="K13" s="0" t="s">
        <v>66</v>
      </c>
    </row>
    <row r="15" customFormat="false" ht="15" hidden="false" customHeight="false" outlineLevel="0" collapsed="false">
      <c r="A15" s="0" t="s">
        <v>67</v>
      </c>
      <c r="B15" s="0" t="s">
        <v>68</v>
      </c>
      <c r="C15" s="0" t="s">
        <v>13</v>
      </c>
      <c r="D15" s="0" t="s">
        <v>69</v>
      </c>
      <c r="E15" s="0" t="s">
        <v>70</v>
      </c>
      <c r="F15" s="0" t="s">
        <v>71</v>
      </c>
      <c r="G15" s="0" t="n">
        <f aca="false">HYPERLINK("http://clipc-services.ceda.ac.uk/dreq/u/41455e80-4f40-11e6-a814-ac72891c3257.html","web")</f>
        <v>0</v>
      </c>
      <c r="H15" s="0" t="s">
        <v>72</v>
      </c>
      <c r="I15" s="0" t="s">
        <v>73</v>
      </c>
      <c r="J15" s="0" t="s">
        <v>74</v>
      </c>
      <c r="K15" s="0" t="s">
        <v>75</v>
      </c>
    </row>
    <row r="17" customFormat="false" ht="15" hidden="false" customHeight="false" outlineLevel="0" collapsed="false">
      <c r="A17" s="0" t="s">
        <v>76</v>
      </c>
      <c r="B17" s="0" t="s">
        <v>77</v>
      </c>
      <c r="C17" s="0" t="s">
        <v>13</v>
      </c>
      <c r="D17" s="0" t="s">
        <v>78</v>
      </c>
      <c r="E17" s="0" t="s">
        <v>79</v>
      </c>
      <c r="F17" s="0" t="s">
        <v>16</v>
      </c>
      <c r="G17" s="0" t="n">
        <f aca="false">HYPERLINK("http://clipc-services.ceda.ac.uk/dreq/u/b045cae1f65ba99831648f136b309e91.html","web")</f>
        <v>0</v>
      </c>
      <c r="H17" s="0" t="s">
        <v>80</v>
      </c>
      <c r="I17" s="0" t="s">
        <v>81</v>
      </c>
      <c r="J17" s="0" t="s">
        <v>82</v>
      </c>
      <c r="K17" s="0" t="s">
        <v>83</v>
      </c>
    </row>
    <row r="18" customFormat="false" ht="15" hidden="false" customHeight="false" outlineLevel="0" collapsed="false">
      <c r="A18" s="0" t="s">
        <v>76</v>
      </c>
      <c r="B18" s="0" t="s">
        <v>84</v>
      </c>
      <c r="C18" s="0" t="s">
        <v>13</v>
      </c>
      <c r="D18" s="0" t="s">
        <v>78</v>
      </c>
      <c r="E18" s="0" t="s">
        <v>85</v>
      </c>
      <c r="F18" s="0" t="s">
        <v>13</v>
      </c>
      <c r="G18" s="0" t="n">
        <f aca="false">HYPERLINK("http://clipc-services.ceda.ac.uk/dreq/u/bb4d31072e09cd4935f1c20a2c533bbd.html","web")</f>
        <v>0</v>
      </c>
      <c r="H18" s="0" t="s">
        <v>86</v>
      </c>
      <c r="I18" s="0" t="s">
        <v>81</v>
      </c>
      <c r="J18" s="0" t="s">
        <v>87</v>
      </c>
      <c r="K18" s="0" t="s">
        <v>83</v>
      </c>
    </row>
    <row r="19" customFormat="false" ht="15" hidden="false" customHeight="false" outlineLevel="0" collapsed="false">
      <c r="A19" s="0" t="s">
        <v>76</v>
      </c>
      <c r="B19" s="0" t="s">
        <v>88</v>
      </c>
      <c r="C19" s="0" t="s">
        <v>13</v>
      </c>
      <c r="D19" s="0" t="s">
        <v>78</v>
      </c>
      <c r="E19" s="0" t="s">
        <v>89</v>
      </c>
      <c r="F19" s="0" t="s">
        <v>90</v>
      </c>
      <c r="G19" s="0" t="n">
        <f aca="false">HYPERLINK("http://clipc-services.ceda.ac.uk/dreq/u/987be9b68c051baf4f0c5b6e8c26b4d8.html","web")</f>
        <v>0</v>
      </c>
      <c r="H19" s="0" t="s">
        <v>91</v>
      </c>
      <c r="I19" s="0" t="s">
        <v>81</v>
      </c>
      <c r="J19" s="0" t="s">
        <v>92</v>
      </c>
      <c r="K19" s="0" t="s">
        <v>83</v>
      </c>
    </row>
    <row r="20" customFormat="false" ht="15" hidden="false" customHeight="false" outlineLevel="0" collapsed="false">
      <c r="A20" s="0" t="s">
        <v>76</v>
      </c>
      <c r="B20" s="0" t="s">
        <v>93</v>
      </c>
      <c r="C20" s="0" t="s">
        <v>13</v>
      </c>
      <c r="D20" s="0" t="s">
        <v>78</v>
      </c>
      <c r="E20" s="0" t="s">
        <v>94</v>
      </c>
      <c r="F20" s="0" t="s">
        <v>16</v>
      </c>
      <c r="G20" s="0" t="n">
        <f aca="false">HYPERLINK("http://clipc-services.ceda.ac.uk/dreq/u/ce9ab9b945fcc86013ad10431d8f252e.html","web")</f>
        <v>0</v>
      </c>
      <c r="H20" s="0" t="s">
        <v>95</v>
      </c>
      <c r="I20" s="0" t="s">
        <v>81</v>
      </c>
      <c r="J20" s="0" t="s">
        <v>96</v>
      </c>
      <c r="K20" s="0" t="s">
        <v>83</v>
      </c>
    </row>
    <row r="21" customFormat="false" ht="15" hidden="false" customHeight="false" outlineLevel="0" collapsed="false">
      <c r="A21" s="0" t="s">
        <v>76</v>
      </c>
      <c r="B21" s="0" t="s">
        <v>97</v>
      </c>
      <c r="C21" s="0" t="s">
        <v>13</v>
      </c>
      <c r="D21" s="0" t="s">
        <v>98</v>
      </c>
      <c r="E21" s="0" t="s">
        <v>99</v>
      </c>
      <c r="F21" s="0" t="s">
        <v>16</v>
      </c>
      <c r="G21" s="0" t="n">
        <f aca="false">HYPERLINK("http://clipc-services.ceda.ac.uk/dreq/u/0bbbf303ac691061a69938846f32b23b.html","web")</f>
        <v>0</v>
      </c>
      <c r="H21" s="0" t="s">
        <v>100</v>
      </c>
      <c r="I21" s="0" t="s">
        <v>81</v>
      </c>
      <c r="J21" s="0" t="s">
        <v>101</v>
      </c>
      <c r="K21" s="0" t="s">
        <v>83</v>
      </c>
    </row>
    <row r="22" customFormat="false" ht="15" hidden="false" customHeight="false" outlineLevel="0" collapsed="false">
      <c r="A22" s="0" t="s">
        <v>76</v>
      </c>
      <c r="B22" s="0" t="s">
        <v>102</v>
      </c>
      <c r="C22" s="0" t="s">
        <v>13</v>
      </c>
      <c r="D22" s="0" t="s">
        <v>103</v>
      </c>
      <c r="E22" s="0" t="s">
        <v>104</v>
      </c>
      <c r="F22" s="0" t="s">
        <v>16</v>
      </c>
      <c r="G22" s="0" t="n">
        <f aca="false">HYPERLINK("http://clipc-services.ceda.ac.uk/dreq/u/fe9d4b45792f7d6430fe2a9c9b7234b1.html","web")</f>
        <v>0</v>
      </c>
      <c r="H22" s="0" t="s">
        <v>105</v>
      </c>
      <c r="I22" s="0" t="s">
        <v>81</v>
      </c>
      <c r="J22" s="0" t="s">
        <v>106</v>
      </c>
      <c r="K22" s="0" t="s">
        <v>83</v>
      </c>
    </row>
    <row r="23" customFormat="false" ht="15" hidden="false" customHeight="false" outlineLevel="0" collapsed="false">
      <c r="A23" s="0" t="s">
        <v>76</v>
      </c>
      <c r="B23" s="0" t="s">
        <v>107</v>
      </c>
      <c r="C23" s="0" t="s">
        <v>13</v>
      </c>
      <c r="D23" s="0" t="s">
        <v>108</v>
      </c>
      <c r="E23" s="0" t="s">
        <v>109</v>
      </c>
      <c r="F23" s="0" t="s">
        <v>16</v>
      </c>
      <c r="G23" s="0" t="n">
        <f aca="false">HYPERLINK("http://clipc-services.ceda.ac.uk/dreq/u/7308096ae00ff52340909b2a59415f82.html","web")</f>
        <v>0</v>
      </c>
      <c r="H23" s="0" t="s">
        <v>110</v>
      </c>
      <c r="I23" s="0" t="s">
        <v>81</v>
      </c>
      <c r="J23" s="0" t="s">
        <v>111</v>
      </c>
      <c r="K23" s="0" t="s">
        <v>83</v>
      </c>
    </row>
    <row r="24" customFormat="false" ht="15" hidden="false" customHeight="false" outlineLevel="0" collapsed="false">
      <c r="A24" s="0" t="s">
        <v>76</v>
      </c>
      <c r="B24" s="0" t="s">
        <v>112</v>
      </c>
      <c r="C24" s="0" t="s">
        <v>13</v>
      </c>
      <c r="D24" s="0" t="s">
        <v>113</v>
      </c>
      <c r="E24" s="0" t="s">
        <v>114</v>
      </c>
      <c r="F24" s="0" t="s">
        <v>90</v>
      </c>
      <c r="G24" s="0" t="n">
        <f aca="false">HYPERLINK("http://clipc-services.ceda.ac.uk/dreq/u/154ab10964742eaff37de9cc5beef39c.html","web")</f>
        <v>0</v>
      </c>
      <c r="H24" s="0" t="s">
        <v>63</v>
      </c>
      <c r="I24" s="0" t="s">
        <v>64</v>
      </c>
      <c r="J24" s="0" t="s">
        <v>115</v>
      </c>
      <c r="K24" s="0" t="s">
        <v>83</v>
      </c>
    </row>
    <row r="26" customFormat="false" ht="15" hidden="false" customHeight="false" outlineLevel="0" collapsed="false">
      <c r="A26" s="0" t="s">
        <v>116</v>
      </c>
      <c r="B26" s="0" t="s">
        <v>117</v>
      </c>
      <c r="C26" s="0" t="s">
        <v>118</v>
      </c>
      <c r="D26" s="0" t="s">
        <v>119</v>
      </c>
      <c r="E26" s="0" t="s">
        <v>120</v>
      </c>
      <c r="F26" s="0" t="s">
        <v>16</v>
      </c>
      <c r="G26" s="0" t="n">
        <f aca="false">HYPERLINK("http://clipc-services.ceda.ac.uk/dreq/u/d3eb8c36759afa5ef2c8363e0c16db88.html","web")</f>
        <v>0</v>
      </c>
      <c r="H26" s="0" t="s">
        <v>121</v>
      </c>
      <c r="I26" s="0" t="s">
        <v>122</v>
      </c>
      <c r="J26" s="0" t="s">
        <v>123</v>
      </c>
      <c r="K26" s="0" t="s">
        <v>124</v>
      </c>
    </row>
    <row r="27" customFormat="false" ht="15" hidden="false" customHeight="false" outlineLevel="0" collapsed="false">
      <c r="A27" s="0" t="s">
        <v>116</v>
      </c>
      <c r="B27" s="0" t="s">
        <v>125</v>
      </c>
      <c r="C27" s="0" t="s">
        <v>118</v>
      </c>
      <c r="D27" s="0" t="s">
        <v>126</v>
      </c>
      <c r="E27" s="0" t="s">
        <v>127</v>
      </c>
      <c r="F27" s="0" t="s">
        <v>16</v>
      </c>
      <c r="G27" s="0" t="n">
        <f aca="false">HYPERLINK("http://clipc-services.ceda.ac.uk/dreq/u/f972af18f1817a7bb5f961b534641394.html","web")</f>
        <v>0</v>
      </c>
      <c r="H27" s="0" t="s">
        <v>121</v>
      </c>
      <c r="I27" s="0" t="s">
        <v>122</v>
      </c>
      <c r="J27" s="0" t="s">
        <v>128</v>
      </c>
      <c r="K27" s="0" t="s">
        <v>124</v>
      </c>
    </row>
    <row r="28" customFormat="false" ht="15" hidden="false" customHeight="false" outlineLevel="0" collapsed="false">
      <c r="A28" s="0" t="s">
        <v>116</v>
      </c>
      <c r="B28" s="0" t="s">
        <v>129</v>
      </c>
      <c r="C28" s="0" t="s">
        <v>118</v>
      </c>
      <c r="D28" s="0" t="s">
        <v>130</v>
      </c>
      <c r="E28" s="0" t="s">
        <v>131</v>
      </c>
      <c r="F28" s="0" t="s">
        <v>16</v>
      </c>
      <c r="G28" s="0" t="n">
        <f aca="false">HYPERLINK("http://clipc-services.ceda.ac.uk/dreq/u/bdb1045bec7f58e9e6221cd39bb34c2f.html","web")</f>
        <v>0</v>
      </c>
      <c r="H28" s="0" t="s">
        <v>132</v>
      </c>
      <c r="I28" s="0" t="s">
        <v>122</v>
      </c>
      <c r="J28" s="0" t="s">
        <v>133</v>
      </c>
      <c r="K28" s="0" t="s">
        <v>124</v>
      </c>
    </row>
    <row r="29" customFormat="false" ht="15" hidden="false" customHeight="false" outlineLevel="0" collapsed="false">
      <c r="A29" s="0" t="s">
        <v>116</v>
      </c>
      <c r="B29" s="0" t="s">
        <v>134</v>
      </c>
      <c r="C29" s="0" t="s">
        <v>118</v>
      </c>
      <c r="D29" s="0" t="s">
        <v>135</v>
      </c>
      <c r="E29" s="0" t="s">
        <v>136</v>
      </c>
      <c r="F29" s="0" t="s">
        <v>16</v>
      </c>
      <c r="G29" s="0" t="n">
        <f aca="false">HYPERLINK("http://clipc-services.ceda.ac.uk/dreq/u/f730de87987b0357d3954c93c4a0c7f7.html","web")</f>
        <v>0</v>
      </c>
      <c r="H29" s="0" t="s">
        <v>121</v>
      </c>
      <c r="I29" s="0" t="s">
        <v>122</v>
      </c>
      <c r="J29" s="0" t="s">
        <v>137</v>
      </c>
      <c r="K29" s="0" t="s">
        <v>124</v>
      </c>
    </row>
    <row r="30" customFormat="false" ht="15" hidden="false" customHeight="false" outlineLevel="0" collapsed="false">
      <c r="A30" s="0" t="s">
        <v>116</v>
      </c>
      <c r="B30" s="0" t="s">
        <v>138</v>
      </c>
      <c r="C30" s="0" t="s">
        <v>118</v>
      </c>
      <c r="D30" s="0" t="s">
        <v>139</v>
      </c>
      <c r="E30" s="0" t="s">
        <v>140</v>
      </c>
      <c r="F30" s="0" t="s">
        <v>16</v>
      </c>
      <c r="G30" s="0" t="n">
        <f aca="false">HYPERLINK("http://clipc-services.ceda.ac.uk/dreq/u/9cdb8d54d49e98acadd87e2a1139225e.html","web")</f>
        <v>0</v>
      </c>
      <c r="H30" s="0" t="s">
        <v>121</v>
      </c>
      <c r="I30" s="0" t="s">
        <v>122</v>
      </c>
      <c r="J30" s="0" t="s">
        <v>141</v>
      </c>
      <c r="K30" s="0" t="s">
        <v>124</v>
      </c>
    </row>
    <row r="31" customFormat="false" ht="15" hidden="false" customHeight="false" outlineLevel="0" collapsed="false">
      <c r="A31" s="0" t="s">
        <v>116</v>
      </c>
      <c r="B31" s="0" t="s">
        <v>142</v>
      </c>
      <c r="C31" s="0" t="s">
        <v>118</v>
      </c>
      <c r="D31" s="0" t="s">
        <v>143</v>
      </c>
      <c r="E31" s="0" t="s">
        <v>144</v>
      </c>
      <c r="F31" s="0" t="s">
        <v>16</v>
      </c>
      <c r="G31" s="0" t="n">
        <f aca="false">HYPERLINK("http://clipc-services.ceda.ac.uk/dreq/u/e1ca31ce340d507b1dce7a537bbef951.html","web")</f>
        <v>0</v>
      </c>
      <c r="H31" s="0" t="s">
        <v>121</v>
      </c>
      <c r="I31" s="0" t="s">
        <v>122</v>
      </c>
      <c r="J31" s="0" t="s">
        <v>145</v>
      </c>
      <c r="K31" s="0" t="s">
        <v>146</v>
      </c>
    </row>
    <row r="32" customFormat="false" ht="15" hidden="false" customHeight="false" outlineLevel="0" collapsed="false">
      <c r="A32" s="0" t="s">
        <v>116</v>
      </c>
      <c r="B32" s="0" t="s">
        <v>147</v>
      </c>
      <c r="C32" s="0" t="s">
        <v>13</v>
      </c>
      <c r="D32" s="0" t="s">
        <v>148</v>
      </c>
      <c r="E32" s="0" t="s">
        <v>149</v>
      </c>
      <c r="F32" s="0" t="s">
        <v>49</v>
      </c>
      <c r="G32" s="0" t="n">
        <f aca="false">HYPERLINK("http://clipc-services.ceda.ac.uk/dreq/u/590f80d4-9e49-11e5-803c-0d0b866b59f3.html","web")</f>
        <v>0</v>
      </c>
      <c r="H32" s="0" t="s">
        <v>121</v>
      </c>
      <c r="I32" s="0" t="s">
        <v>122</v>
      </c>
      <c r="J32" s="0" t="s">
        <v>150</v>
      </c>
      <c r="K32" s="0" t="s">
        <v>151</v>
      </c>
    </row>
    <row r="33" customFormat="false" ht="15" hidden="false" customHeight="false" outlineLevel="0" collapsed="false">
      <c r="A33" s="0" t="s">
        <v>116</v>
      </c>
      <c r="B33" s="0" t="s">
        <v>152</v>
      </c>
      <c r="C33" s="0" t="s">
        <v>13</v>
      </c>
      <c r="D33" s="0" t="s">
        <v>148</v>
      </c>
      <c r="E33" s="0" t="s">
        <v>153</v>
      </c>
      <c r="F33" s="0" t="s">
        <v>49</v>
      </c>
      <c r="G33" s="0" t="n">
        <f aca="false">HYPERLINK("http://clipc-services.ceda.ac.uk/dreq/u/590e39fe-9e49-11e5-803c-0d0b866b59f3.html","web")</f>
        <v>0</v>
      </c>
      <c r="H33" s="0" t="s">
        <v>121</v>
      </c>
      <c r="I33" s="0" t="s">
        <v>122</v>
      </c>
      <c r="J33" s="0" t="s">
        <v>150</v>
      </c>
      <c r="K33" s="0" t="s">
        <v>151</v>
      </c>
    </row>
    <row r="34" customFormat="false" ht="15" hidden="false" customHeight="false" outlineLevel="0" collapsed="false">
      <c r="A34" s="0" t="s">
        <v>116</v>
      </c>
      <c r="B34" s="0" t="s">
        <v>154</v>
      </c>
      <c r="C34" s="0" t="s">
        <v>13</v>
      </c>
      <c r="D34" s="0" t="s">
        <v>148</v>
      </c>
      <c r="E34" s="0" t="s">
        <v>155</v>
      </c>
      <c r="F34" s="0" t="s">
        <v>49</v>
      </c>
      <c r="G34" s="0" t="n">
        <f aca="false">HYPERLINK("http://clipc-services.ceda.ac.uk/dreq/u/5913b280-9e49-11e5-803c-0d0b866b59f3.html","web")</f>
        <v>0</v>
      </c>
      <c r="H34" s="0" t="s">
        <v>121</v>
      </c>
      <c r="I34" s="0" t="s">
        <v>122</v>
      </c>
      <c r="J34" s="0" t="s">
        <v>150</v>
      </c>
      <c r="K34" s="0" t="s">
        <v>151</v>
      </c>
    </row>
    <row r="35" customFormat="false" ht="15" hidden="false" customHeight="false" outlineLevel="0" collapsed="false">
      <c r="A35" s="0" t="s">
        <v>116</v>
      </c>
      <c r="B35" s="0" t="s">
        <v>156</v>
      </c>
      <c r="C35" s="0" t="s">
        <v>13</v>
      </c>
      <c r="D35" s="0" t="s">
        <v>148</v>
      </c>
      <c r="E35" s="0" t="s">
        <v>157</v>
      </c>
      <c r="F35" s="0" t="s">
        <v>49</v>
      </c>
      <c r="G35" s="0" t="n">
        <f aca="false">HYPERLINK("http://clipc-services.ceda.ac.uk/dreq/u/3f306e18-b89b-11e6-be04-ac72891c3257.html","web")</f>
        <v>0</v>
      </c>
      <c r="H35" s="0" t="s">
        <v>121</v>
      </c>
      <c r="I35" s="0" t="s">
        <v>122</v>
      </c>
      <c r="J35" s="0" t="s">
        <v>158</v>
      </c>
      <c r="K35" s="0" t="s">
        <v>151</v>
      </c>
    </row>
    <row r="36" customFormat="false" ht="15" hidden="false" customHeight="false" outlineLevel="0" collapsed="false">
      <c r="A36" s="0" t="s">
        <v>116</v>
      </c>
      <c r="B36" s="0" t="s">
        <v>159</v>
      </c>
      <c r="C36" s="0" t="s">
        <v>13</v>
      </c>
      <c r="D36" s="0" t="s">
        <v>160</v>
      </c>
      <c r="E36" s="0" t="s">
        <v>161</v>
      </c>
      <c r="F36" s="0" t="s">
        <v>49</v>
      </c>
      <c r="G36" s="0" t="n">
        <f aca="false">HYPERLINK("http://clipc-services.ceda.ac.uk/dreq/u/6c08493dc9183b6ec7005a6be27f67f1.html","web")</f>
        <v>0</v>
      </c>
      <c r="H36" s="0" t="s">
        <v>121</v>
      </c>
      <c r="I36" s="0" t="s">
        <v>122</v>
      </c>
      <c r="J36" s="0" t="s">
        <v>162</v>
      </c>
      <c r="K36" s="0" t="s">
        <v>151</v>
      </c>
    </row>
    <row r="37" customFormat="false" ht="15" hidden="false" customHeight="false" outlineLevel="0" collapsed="false">
      <c r="A37" s="0" t="s">
        <v>116</v>
      </c>
      <c r="B37" s="0" t="s">
        <v>163</v>
      </c>
      <c r="C37" s="0" t="s">
        <v>13</v>
      </c>
      <c r="D37" s="0" t="s">
        <v>160</v>
      </c>
      <c r="E37" s="0" t="s">
        <v>164</v>
      </c>
      <c r="F37" s="0" t="s">
        <v>49</v>
      </c>
      <c r="G37" s="0" t="n">
        <f aca="false">HYPERLINK("http://clipc-services.ceda.ac.uk/dreq/u/3434c274f8ad8754f594d2b23c2d37db.html","web")</f>
        <v>0</v>
      </c>
      <c r="H37" s="0" t="s">
        <v>121</v>
      </c>
      <c r="I37" s="0" t="s">
        <v>122</v>
      </c>
      <c r="J37" s="0" t="s">
        <v>165</v>
      </c>
      <c r="K37" s="0" t="s">
        <v>151</v>
      </c>
    </row>
    <row r="38" customFormat="false" ht="15" hidden="false" customHeight="false" outlineLevel="0" collapsed="false">
      <c r="A38" s="0" t="s">
        <v>116</v>
      </c>
      <c r="B38" s="0" t="s">
        <v>166</v>
      </c>
      <c r="C38" s="0" t="s">
        <v>13</v>
      </c>
      <c r="D38" s="0" t="s">
        <v>160</v>
      </c>
      <c r="E38" s="0" t="s">
        <v>167</v>
      </c>
      <c r="F38" s="0" t="s">
        <v>49</v>
      </c>
      <c r="G38" s="0" t="n">
        <f aca="false">HYPERLINK("http://clipc-services.ceda.ac.uk/dreq/u/ece03799edff3053efe82e9512d55ed9.html","web")</f>
        <v>0</v>
      </c>
      <c r="H38" s="0" t="s">
        <v>121</v>
      </c>
      <c r="I38" s="0" t="s">
        <v>122</v>
      </c>
      <c r="J38" s="0" t="s">
        <v>168</v>
      </c>
      <c r="K38" s="0" t="s">
        <v>151</v>
      </c>
    </row>
    <row r="39" customFormat="false" ht="15" hidden="false" customHeight="false" outlineLevel="0" collapsed="false">
      <c r="A39" s="0" t="s">
        <v>116</v>
      </c>
      <c r="B39" s="0" t="s">
        <v>169</v>
      </c>
      <c r="C39" s="0" t="s">
        <v>13</v>
      </c>
      <c r="D39" s="0" t="s">
        <v>160</v>
      </c>
      <c r="E39" s="0" t="s">
        <v>170</v>
      </c>
      <c r="F39" s="0" t="s">
        <v>49</v>
      </c>
      <c r="G39" s="0" t="n">
        <f aca="false">HYPERLINK("http://clipc-services.ceda.ac.uk/dreq/u/57c2e414bde585cc60a7b2f980e1f870.html","web")</f>
        <v>0</v>
      </c>
      <c r="H39" s="0" t="s">
        <v>121</v>
      </c>
      <c r="I39" s="0" t="s">
        <v>122</v>
      </c>
      <c r="J39" s="0" t="s">
        <v>171</v>
      </c>
      <c r="K39" s="0" t="s">
        <v>151</v>
      </c>
    </row>
    <row r="40" customFormat="false" ht="15" hidden="false" customHeight="false" outlineLevel="0" collapsed="false">
      <c r="A40" s="0" t="s">
        <v>116</v>
      </c>
      <c r="B40" s="0" t="s">
        <v>172</v>
      </c>
      <c r="C40" s="0" t="s">
        <v>13</v>
      </c>
      <c r="D40" s="0" t="s">
        <v>173</v>
      </c>
      <c r="E40" s="0" t="s">
        <v>174</v>
      </c>
      <c r="F40" s="0" t="s">
        <v>16</v>
      </c>
      <c r="G40" s="0" t="n">
        <f aca="false">HYPERLINK("http://clipc-services.ceda.ac.uk/dreq/u/5913dbf2-9e49-11e5-803c-0d0b866b59f3.html","web")</f>
        <v>0</v>
      </c>
      <c r="H40" s="0" t="s">
        <v>121</v>
      </c>
      <c r="I40" s="0" t="s">
        <v>122</v>
      </c>
      <c r="J40" s="0" t="s">
        <v>175</v>
      </c>
      <c r="K40" s="0" t="s">
        <v>176</v>
      </c>
    </row>
    <row r="41" customFormat="false" ht="15" hidden="false" customHeight="false" outlineLevel="0" collapsed="false">
      <c r="A41" s="0" t="s">
        <v>116</v>
      </c>
      <c r="B41" s="0" t="s">
        <v>177</v>
      </c>
      <c r="C41" s="0" t="s">
        <v>13</v>
      </c>
      <c r="D41" s="0" t="s">
        <v>173</v>
      </c>
      <c r="E41" s="0" t="s">
        <v>178</v>
      </c>
      <c r="F41" s="0" t="s">
        <v>16</v>
      </c>
      <c r="G41" s="0" t="n">
        <f aca="false">HYPERLINK("http://clipc-services.ceda.ac.uk/dreq/u/59177b18-9e49-11e5-803c-0d0b866b59f3.html","web")</f>
        <v>0</v>
      </c>
      <c r="H41" s="0" t="s">
        <v>121</v>
      </c>
      <c r="I41" s="0" t="s">
        <v>122</v>
      </c>
      <c r="J41" s="0" t="s">
        <v>179</v>
      </c>
      <c r="K41" s="0" t="s">
        <v>176</v>
      </c>
    </row>
    <row r="42" customFormat="false" ht="15" hidden="false" customHeight="false" outlineLevel="0" collapsed="false">
      <c r="A42" s="0" t="s">
        <v>116</v>
      </c>
      <c r="B42" s="0" t="s">
        <v>180</v>
      </c>
      <c r="C42" s="0" t="s">
        <v>13</v>
      </c>
      <c r="D42" s="0" t="s">
        <v>148</v>
      </c>
      <c r="E42" s="0" t="s">
        <v>181</v>
      </c>
      <c r="F42" s="0" t="s">
        <v>16</v>
      </c>
      <c r="G42" s="0" t="n">
        <f aca="false">HYPERLINK("http://clipc-services.ceda.ac.uk/dreq/u/591423aa-9e49-11e5-803c-0d0b866b59f3.html","web")</f>
        <v>0</v>
      </c>
      <c r="H42" s="0" t="s">
        <v>121</v>
      </c>
      <c r="I42" s="0" t="s">
        <v>122</v>
      </c>
      <c r="J42" s="0" t="s">
        <v>182</v>
      </c>
      <c r="K42" s="0" t="s">
        <v>176</v>
      </c>
    </row>
    <row r="44" customFormat="false" ht="15" hidden="false" customHeight="false" outlineLevel="0" collapsed="false">
      <c r="A44" s="0" t="s">
        <v>183</v>
      </c>
      <c r="B44" s="0" t="s">
        <v>184</v>
      </c>
      <c r="C44" s="0" t="s">
        <v>13</v>
      </c>
      <c r="D44" s="0" t="s">
        <v>78</v>
      </c>
      <c r="E44" s="0" t="s">
        <v>185</v>
      </c>
      <c r="F44" s="0" t="s">
        <v>16</v>
      </c>
      <c r="G44" s="0" t="n">
        <f aca="false">HYPERLINK("http://clipc-services.ceda.ac.uk/dreq/u/53826ae4-bf01-11e6-a554-ac72891c3257.html","web")</f>
        <v>0</v>
      </c>
      <c r="H44" s="0" t="s">
        <v>186</v>
      </c>
      <c r="I44" s="0" t="s">
        <v>18</v>
      </c>
      <c r="J44" s="0" t="s">
        <v>187</v>
      </c>
      <c r="K44" s="0" t="s">
        <v>75</v>
      </c>
    </row>
    <row r="45" customFormat="false" ht="15" hidden="false" customHeight="false" outlineLevel="0" collapsed="false">
      <c r="A45" s="0" t="s">
        <v>183</v>
      </c>
      <c r="B45" s="0" t="s">
        <v>188</v>
      </c>
      <c r="C45" s="0" t="s">
        <v>13</v>
      </c>
      <c r="D45" s="0" t="s">
        <v>189</v>
      </c>
      <c r="E45" s="0" t="s">
        <v>190</v>
      </c>
      <c r="F45" s="0" t="s">
        <v>16</v>
      </c>
      <c r="G45" s="0" t="n">
        <f aca="false">HYPERLINK("http://clipc-services.ceda.ac.uk/dreq/u/a1d2e309c6f25017442ad6c79c4f9eca.html","web")</f>
        <v>0</v>
      </c>
      <c r="H45" s="0" t="s">
        <v>191</v>
      </c>
      <c r="I45" s="0" t="s">
        <v>18</v>
      </c>
      <c r="J45" s="0" t="s">
        <v>192</v>
      </c>
      <c r="K45" s="0" t="s">
        <v>20</v>
      </c>
    </row>
    <row r="46" customFormat="false" ht="15" hidden="false" customHeight="false" outlineLevel="0" collapsed="false">
      <c r="A46" s="0" t="s">
        <v>183</v>
      </c>
      <c r="B46" s="0" t="s">
        <v>12</v>
      </c>
      <c r="C46" s="0" t="s">
        <v>13</v>
      </c>
      <c r="D46" s="0" t="s">
        <v>193</v>
      </c>
      <c r="E46" s="0" t="s">
        <v>15</v>
      </c>
      <c r="F46" s="0" t="s">
        <v>16</v>
      </c>
      <c r="G46" s="0" t="n">
        <f aca="false">HYPERLINK("http://clipc-services.ceda.ac.uk/dreq/u/590e5de4-9e49-11e5-803c-0d0b866b59f3.html","web")</f>
        <v>0</v>
      </c>
      <c r="H46" s="0" t="s">
        <v>17</v>
      </c>
      <c r="I46" s="0" t="s">
        <v>18</v>
      </c>
      <c r="J46" s="0" t="s">
        <v>19</v>
      </c>
      <c r="K46" s="0" t="s">
        <v>20</v>
      </c>
    </row>
    <row r="48" customFormat="false" ht="15" hidden="false" customHeight="false" outlineLevel="0" collapsed="false">
      <c r="A48" s="0" t="s">
        <v>194</v>
      </c>
      <c r="B48" s="0" t="s">
        <v>195</v>
      </c>
      <c r="C48" s="0" t="s">
        <v>118</v>
      </c>
      <c r="D48" s="0" t="s">
        <v>78</v>
      </c>
      <c r="E48" s="0" t="s">
        <v>196</v>
      </c>
      <c r="F48" s="0" t="s">
        <v>197</v>
      </c>
      <c r="G48" s="0" t="n">
        <f aca="false">HYPERLINK("http://clipc-services.ceda.ac.uk/dreq/u/590f2f8a-9e49-11e5-803c-0d0b866b59f3.html","web")</f>
        <v>0</v>
      </c>
      <c r="H48" s="0" t="s">
        <v>198</v>
      </c>
      <c r="I48" s="0" t="s">
        <v>199</v>
      </c>
      <c r="J48" s="0" t="s">
        <v>200</v>
      </c>
      <c r="K48" s="0" t="s">
        <v>201</v>
      </c>
    </row>
    <row r="50" customFormat="false" ht="15" hidden="false" customHeight="false" outlineLevel="0" collapsed="false">
      <c r="A50" s="0" t="s">
        <v>202</v>
      </c>
      <c r="B50" s="0" t="s">
        <v>203</v>
      </c>
      <c r="C50" s="0" t="s">
        <v>13</v>
      </c>
      <c r="D50" s="0" t="s">
        <v>204</v>
      </c>
      <c r="E50" s="0" t="s">
        <v>205</v>
      </c>
      <c r="F50" s="0" t="s">
        <v>206</v>
      </c>
      <c r="G50" s="0" t="n">
        <f aca="false">HYPERLINK("http://clipc-services.ceda.ac.uk/dreq/u/c8b1814845661bcad37910e70a59b285.html","web")</f>
        <v>0</v>
      </c>
      <c r="H50" s="0" t="s">
        <v>207</v>
      </c>
      <c r="I50" s="0" t="s">
        <v>208</v>
      </c>
      <c r="J50" s="0" t="s">
        <v>205</v>
      </c>
      <c r="K50" s="0" t="s">
        <v>209</v>
      </c>
    </row>
    <row r="51" customFormat="false" ht="15" hidden="false" customHeight="false" outlineLevel="0" collapsed="false">
      <c r="A51" s="0" t="s">
        <v>202</v>
      </c>
      <c r="B51" s="0" t="s">
        <v>77</v>
      </c>
      <c r="C51" s="0" t="s">
        <v>13</v>
      </c>
      <c r="D51" s="0" t="s">
        <v>78</v>
      </c>
      <c r="E51" s="0" t="s">
        <v>210</v>
      </c>
      <c r="F51" s="0" t="s">
        <v>16</v>
      </c>
      <c r="G51" s="0" t="n">
        <f aca="false">HYPERLINK("http://clipc-services.ceda.ac.uk/dreq/u/b045cae1f65ba99831648f136b309e91.html","web")</f>
        <v>0</v>
      </c>
      <c r="H51" s="0" t="s">
        <v>80</v>
      </c>
      <c r="I51" s="0" t="s">
        <v>81</v>
      </c>
      <c r="J51" s="0" t="s">
        <v>82</v>
      </c>
      <c r="K51" s="0" t="s">
        <v>211</v>
      </c>
    </row>
    <row r="52" customFormat="false" ht="15" hidden="false" customHeight="false" outlineLevel="0" collapsed="false">
      <c r="A52" s="0" t="s">
        <v>202</v>
      </c>
      <c r="B52" s="0" t="s">
        <v>84</v>
      </c>
      <c r="C52" s="0" t="s">
        <v>13</v>
      </c>
      <c r="D52" s="0" t="s">
        <v>78</v>
      </c>
      <c r="E52" s="0" t="s">
        <v>85</v>
      </c>
      <c r="F52" s="0" t="s">
        <v>13</v>
      </c>
      <c r="G52" s="0" t="n">
        <f aca="false">HYPERLINK("http://clipc-services.ceda.ac.uk/dreq/u/bb4d31072e09cd4935f1c20a2c533bbd.html","web")</f>
        <v>0</v>
      </c>
      <c r="H52" s="0" t="s">
        <v>86</v>
      </c>
      <c r="I52" s="0" t="s">
        <v>81</v>
      </c>
      <c r="J52" s="0" t="s">
        <v>87</v>
      </c>
      <c r="K52" s="0" t="s">
        <v>212</v>
      </c>
    </row>
    <row r="53" customFormat="false" ht="15" hidden="false" customHeight="false" outlineLevel="0" collapsed="false">
      <c r="A53" s="0" t="s">
        <v>202</v>
      </c>
      <c r="B53" s="0" t="s">
        <v>88</v>
      </c>
      <c r="C53" s="0" t="s">
        <v>13</v>
      </c>
      <c r="D53" s="0" t="s">
        <v>78</v>
      </c>
      <c r="E53" s="0" t="s">
        <v>89</v>
      </c>
      <c r="F53" s="0" t="s">
        <v>90</v>
      </c>
      <c r="G53" s="0" t="n">
        <f aca="false">HYPERLINK("http://clipc-services.ceda.ac.uk/dreq/u/987be9b68c051baf4f0c5b6e8c26b4d8.html","web")</f>
        <v>0</v>
      </c>
      <c r="H53" s="0" t="s">
        <v>91</v>
      </c>
      <c r="I53" s="0" t="s">
        <v>81</v>
      </c>
      <c r="J53" s="0" t="s">
        <v>92</v>
      </c>
      <c r="K53" s="0" t="s">
        <v>212</v>
      </c>
    </row>
    <row r="54" customFormat="false" ht="15" hidden="false" customHeight="false" outlineLevel="0" collapsed="false">
      <c r="A54" s="0" t="s">
        <v>202</v>
      </c>
      <c r="B54" s="0" t="s">
        <v>93</v>
      </c>
      <c r="C54" s="0" t="s">
        <v>13</v>
      </c>
      <c r="D54" s="0" t="s">
        <v>78</v>
      </c>
      <c r="E54" s="0" t="s">
        <v>213</v>
      </c>
      <c r="F54" s="0" t="s">
        <v>16</v>
      </c>
      <c r="G54" s="0" t="n">
        <f aca="false">HYPERLINK("http://clipc-services.ceda.ac.uk/dreq/u/ce9ab9b945fcc86013ad10431d8f252e.html","web")</f>
        <v>0</v>
      </c>
      <c r="H54" s="0" t="s">
        <v>95</v>
      </c>
      <c r="I54" s="0" t="s">
        <v>81</v>
      </c>
      <c r="J54" s="0" t="s">
        <v>96</v>
      </c>
      <c r="K54" s="0" t="s">
        <v>214</v>
      </c>
    </row>
    <row r="55" customFormat="false" ht="15" hidden="false" customHeight="false" outlineLevel="0" collapsed="false">
      <c r="A55" s="0" t="s">
        <v>202</v>
      </c>
      <c r="B55" s="0" t="s">
        <v>97</v>
      </c>
      <c r="C55" s="0" t="s">
        <v>13</v>
      </c>
      <c r="D55" s="0" t="s">
        <v>98</v>
      </c>
      <c r="E55" s="0" t="s">
        <v>215</v>
      </c>
      <c r="F55" s="0" t="s">
        <v>16</v>
      </c>
      <c r="G55" s="0" t="n">
        <f aca="false">HYPERLINK("http://clipc-services.ceda.ac.uk/dreq/u/0bbbf303ac691061a69938846f32b23b.html","web")</f>
        <v>0</v>
      </c>
      <c r="H55" s="0" t="s">
        <v>100</v>
      </c>
      <c r="I55" s="0" t="s">
        <v>81</v>
      </c>
      <c r="J55" s="0" t="s">
        <v>101</v>
      </c>
      <c r="K55" s="0" t="s">
        <v>212</v>
      </c>
    </row>
    <row r="56" customFormat="false" ht="15" hidden="false" customHeight="false" outlineLevel="0" collapsed="false">
      <c r="A56" s="0" t="s">
        <v>202</v>
      </c>
      <c r="B56" s="0" t="s">
        <v>102</v>
      </c>
      <c r="C56" s="0" t="s">
        <v>13</v>
      </c>
      <c r="D56" s="0" t="s">
        <v>103</v>
      </c>
      <c r="E56" s="0" t="s">
        <v>216</v>
      </c>
      <c r="F56" s="0" t="s">
        <v>16</v>
      </c>
      <c r="G56" s="0" t="n">
        <f aca="false">HYPERLINK("http://clipc-services.ceda.ac.uk/dreq/u/fe9d4b45792f7d6430fe2a9c9b7234b1.html","web")</f>
        <v>0</v>
      </c>
      <c r="H56" s="0" t="s">
        <v>105</v>
      </c>
      <c r="I56" s="0" t="s">
        <v>81</v>
      </c>
      <c r="J56" s="0" t="s">
        <v>106</v>
      </c>
      <c r="K56" s="0" t="s">
        <v>212</v>
      </c>
    </row>
    <row r="57" customFormat="false" ht="15" hidden="false" customHeight="false" outlineLevel="0" collapsed="false">
      <c r="A57" s="0" t="s">
        <v>202</v>
      </c>
      <c r="B57" s="0" t="s">
        <v>107</v>
      </c>
      <c r="C57" s="0" t="s">
        <v>13</v>
      </c>
      <c r="D57" s="0" t="s">
        <v>108</v>
      </c>
      <c r="E57" s="0" t="s">
        <v>217</v>
      </c>
      <c r="F57" s="0" t="s">
        <v>16</v>
      </c>
      <c r="G57" s="0" t="n">
        <f aca="false">HYPERLINK("http://clipc-services.ceda.ac.uk/dreq/u/7308096ae00ff52340909b2a59415f82.html","web")</f>
        <v>0</v>
      </c>
      <c r="H57" s="0" t="s">
        <v>110</v>
      </c>
      <c r="I57" s="0" t="s">
        <v>81</v>
      </c>
      <c r="J57" s="0" t="s">
        <v>111</v>
      </c>
      <c r="K57" s="0" t="s">
        <v>212</v>
      </c>
    </row>
    <row r="59" customFormat="false" ht="15" hidden="false" customHeight="false" outlineLevel="0" collapsed="false">
      <c r="A59" s="0" t="s">
        <v>218</v>
      </c>
      <c r="B59" s="0" t="s">
        <v>219</v>
      </c>
      <c r="C59" s="0" t="s">
        <v>118</v>
      </c>
      <c r="D59" s="0" t="s">
        <v>78</v>
      </c>
      <c r="E59" s="0" t="s">
        <v>220</v>
      </c>
      <c r="F59" s="0" t="s">
        <v>221</v>
      </c>
      <c r="G59" s="0" t="n">
        <f aca="false">HYPERLINK("http://clipc-services.ceda.ac.uk/dreq/u/c96c470c-c5f0-11e6-ac20-5404a60d96b5.html","web")</f>
        <v>0</v>
      </c>
      <c r="H59" s="0" t="s">
        <v>222</v>
      </c>
      <c r="I59" s="0" t="s">
        <v>223</v>
      </c>
      <c r="J59" s="0" t="s">
        <v>224</v>
      </c>
      <c r="K59" s="0" t="s">
        <v>225</v>
      </c>
    </row>
    <row r="60" customFormat="false" ht="15" hidden="false" customHeight="false" outlineLevel="0" collapsed="false">
      <c r="A60" s="0" t="s">
        <v>218</v>
      </c>
      <c r="B60" s="0" t="s">
        <v>226</v>
      </c>
      <c r="C60" s="0" t="s">
        <v>118</v>
      </c>
      <c r="D60" s="0" t="s">
        <v>78</v>
      </c>
      <c r="E60" s="0" t="s">
        <v>227</v>
      </c>
      <c r="F60" s="0" t="s">
        <v>221</v>
      </c>
      <c r="G60" s="0" t="n">
        <f aca="false">HYPERLINK("http://clipc-services.ceda.ac.uk/dreq/u/c96d62fe-c5f0-11e6-ac20-5404a60d96b5.html","web")</f>
        <v>0</v>
      </c>
      <c r="H60" s="0" t="s">
        <v>228</v>
      </c>
      <c r="I60" s="0" t="s">
        <v>223</v>
      </c>
      <c r="J60" s="0" t="s">
        <v>229</v>
      </c>
      <c r="K60" s="0" t="s">
        <v>225</v>
      </c>
    </row>
    <row r="61" customFormat="false" ht="15" hidden="false" customHeight="false" outlineLevel="0" collapsed="false">
      <c r="A61" s="0" t="s">
        <v>218</v>
      </c>
      <c r="B61" s="0" t="s">
        <v>230</v>
      </c>
      <c r="C61" s="0" t="s">
        <v>13</v>
      </c>
      <c r="D61" s="0" t="s">
        <v>78</v>
      </c>
      <c r="E61" s="0" t="s">
        <v>231</v>
      </c>
      <c r="F61" s="0" t="s">
        <v>71</v>
      </c>
      <c r="G61" s="0" t="n">
        <f aca="false">HYPERLINK("http://clipc-services.ceda.ac.uk/dreq/u/604242476d85346b48bd6d791ed05583.html","web")</f>
        <v>0</v>
      </c>
      <c r="H61" s="0" t="s">
        <v>232</v>
      </c>
      <c r="I61" s="0" t="s">
        <v>233</v>
      </c>
      <c r="J61" s="0" t="s">
        <v>234</v>
      </c>
      <c r="K61" s="0" t="s">
        <v>235</v>
      </c>
    </row>
    <row r="62" customFormat="false" ht="15" hidden="false" customHeight="false" outlineLevel="0" collapsed="false">
      <c r="A62" s="0" t="s">
        <v>218</v>
      </c>
      <c r="B62" s="0" t="s">
        <v>236</v>
      </c>
      <c r="C62" s="0" t="s">
        <v>118</v>
      </c>
      <c r="D62" s="0" t="s">
        <v>237</v>
      </c>
      <c r="E62" s="0" t="s">
        <v>238</v>
      </c>
      <c r="F62" s="0" t="s">
        <v>197</v>
      </c>
      <c r="G62" s="0" t="n">
        <f aca="false">HYPERLINK("http://clipc-services.ceda.ac.uk/dreq/u/bd938fec017c18d3eee106db55f924c5.html","web")</f>
        <v>0</v>
      </c>
      <c r="H62" s="0" t="s">
        <v>239</v>
      </c>
      <c r="I62" s="0" t="s">
        <v>240</v>
      </c>
      <c r="J62" s="0" t="s">
        <v>241</v>
      </c>
      <c r="K62" s="0" t="s">
        <v>242</v>
      </c>
    </row>
    <row r="63" customFormat="false" ht="15" hidden="false" customHeight="false" outlineLevel="0" collapsed="false">
      <c r="A63" s="0" t="s">
        <v>218</v>
      </c>
      <c r="B63" s="0" t="s">
        <v>243</v>
      </c>
      <c r="C63" s="0" t="s">
        <v>118</v>
      </c>
      <c r="D63" s="0" t="s">
        <v>78</v>
      </c>
      <c r="E63" s="0" t="s">
        <v>244</v>
      </c>
      <c r="F63" s="0" t="s">
        <v>197</v>
      </c>
      <c r="G63" s="0" t="n">
        <f aca="false">HYPERLINK("http://clipc-services.ceda.ac.uk/dreq/u/b16fab4e82317586d4bc72d786a6a1db.html","web")</f>
        <v>0</v>
      </c>
      <c r="H63" s="0" t="s">
        <v>245</v>
      </c>
      <c r="I63" s="0" t="s">
        <v>240</v>
      </c>
      <c r="J63" s="0" t="s">
        <v>246</v>
      </c>
      <c r="K63" s="0" t="s">
        <v>247</v>
      </c>
    </row>
    <row r="64" customFormat="false" ht="15" hidden="false" customHeight="false" outlineLevel="0" collapsed="false">
      <c r="A64" s="0" t="s">
        <v>218</v>
      </c>
      <c r="B64" s="0" t="s">
        <v>248</v>
      </c>
      <c r="C64" s="0" t="s">
        <v>118</v>
      </c>
      <c r="D64" s="0" t="s">
        <v>78</v>
      </c>
      <c r="E64" s="0" t="s">
        <v>249</v>
      </c>
      <c r="F64" s="0" t="s">
        <v>197</v>
      </c>
      <c r="G64" s="0" t="n">
        <f aca="false">HYPERLINK("http://clipc-services.ceda.ac.uk/dreq/u/ad2c59f6784b7b6a8b2a95424a1a642d.html","web")</f>
        <v>0</v>
      </c>
      <c r="H64" s="0" t="s">
        <v>250</v>
      </c>
      <c r="I64" s="0" t="s">
        <v>240</v>
      </c>
      <c r="J64" s="0" t="s">
        <v>251</v>
      </c>
      <c r="K64" s="0" t="s">
        <v>247</v>
      </c>
    </row>
    <row r="65" customFormat="false" ht="15" hidden="false" customHeight="false" outlineLevel="0" collapsed="false">
      <c r="A65" s="0" t="s">
        <v>218</v>
      </c>
      <c r="B65" s="0" t="s">
        <v>252</v>
      </c>
      <c r="C65" s="0" t="s">
        <v>118</v>
      </c>
      <c r="D65" s="0" t="s">
        <v>78</v>
      </c>
      <c r="E65" s="0" t="s">
        <v>253</v>
      </c>
      <c r="F65" s="0" t="s">
        <v>197</v>
      </c>
      <c r="G65" s="0" t="n">
        <f aca="false">HYPERLINK("http://clipc-services.ceda.ac.uk/dreq/u/e60a812c3a4351f1747a8bf9fb48aec8.html","web")</f>
        <v>0</v>
      </c>
      <c r="H65" s="0" t="s">
        <v>254</v>
      </c>
      <c r="I65" s="0" t="s">
        <v>240</v>
      </c>
      <c r="J65" s="0" t="s">
        <v>246</v>
      </c>
      <c r="K65" s="0" t="s">
        <v>247</v>
      </c>
    </row>
    <row r="66" customFormat="false" ht="15" hidden="false" customHeight="false" outlineLevel="0" collapsed="false">
      <c r="A66" s="0" t="s">
        <v>218</v>
      </c>
      <c r="B66" s="0" t="s">
        <v>255</v>
      </c>
      <c r="C66" s="0" t="s">
        <v>13</v>
      </c>
      <c r="D66" s="0" t="s">
        <v>78</v>
      </c>
      <c r="E66" s="0" t="s">
        <v>256</v>
      </c>
      <c r="F66" s="0" t="s">
        <v>197</v>
      </c>
      <c r="G66" s="0" t="n">
        <f aca="false">HYPERLINK("http://clipc-services.ceda.ac.uk/dreq/u/0312fb7cbaaff353e66b17c21fb13482.html","web")</f>
        <v>0</v>
      </c>
      <c r="H66" s="0" t="s">
        <v>257</v>
      </c>
      <c r="I66" s="0" t="s">
        <v>233</v>
      </c>
      <c r="J66" s="0" t="s">
        <v>258</v>
      </c>
      <c r="K66" s="0" t="s">
        <v>259</v>
      </c>
    </row>
    <row r="68" customFormat="false" ht="15" hidden="false" customHeight="false" outlineLevel="0" collapsed="false">
      <c r="A68" s="0" t="s">
        <v>260</v>
      </c>
      <c r="B68" s="0" t="s">
        <v>261</v>
      </c>
      <c r="C68" s="0" t="s">
        <v>13</v>
      </c>
      <c r="D68" s="0" t="s">
        <v>262</v>
      </c>
      <c r="E68" s="0" t="s">
        <v>263</v>
      </c>
      <c r="F68" s="0" t="s">
        <v>264</v>
      </c>
      <c r="G68" s="0" t="n">
        <f aca="false">HYPERLINK("http://clipc-services.ceda.ac.uk/dreq/u/e9b495e2-5989-11e6-a4be-ac72891c3257.html","web")</f>
        <v>0</v>
      </c>
      <c r="H68" s="0" t="s">
        <v>265</v>
      </c>
      <c r="I68" s="0" t="s">
        <v>18</v>
      </c>
      <c r="J68" s="0" t="s">
        <v>266</v>
      </c>
      <c r="K68" s="0" t="s">
        <v>75</v>
      </c>
    </row>
    <row r="70" customFormat="false" ht="15" hidden="false" customHeight="false" outlineLevel="0" collapsed="false">
      <c r="A70" s="0" t="s">
        <v>267</v>
      </c>
      <c r="B70" s="0" t="s">
        <v>268</v>
      </c>
      <c r="C70" s="0" t="s">
        <v>13</v>
      </c>
      <c r="D70" s="0" t="s">
        <v>78</v>
      </c>
      <c r="E70" s="0" t="s">
        <v>269</v>
      </c>
      <c r="F70" s="0" t="s">
        <v>71</v>
      </c>
      <c r="G70" s="0" t="n">
        <f aca="false">HYPERLINK("http://clipc-services.ceda.ac.uk/dreq/u/cc1b9e3073d751143fe8ab63ca9fcc45.html","web")</f>
        <v>0</v>
      </c>
      <c r="H70" s="0" t="s">
        <v>270</v>
      </c>
      <c r="I70" s="0" t="s">
        <v>271</v>
      </c>
      <c r="J70" s="0" t="s">
        <v>272</v>
      </c>
      <c r="K70" s="0" t="s">
        <v>273</v>
      </c>
    </row>
    <row r="71" customFormat="false" ht="15" hidden="false" customHeight="false" outlineLevel="0" collapsed="false">
      <c r="A71" s="0" t="s">
        <v>267</v>
      </c>
      <c r="B71" s="0" t="s">
        <v>274</v>
      </c>
      <c r="C71" s="0" t="s">
        <v>13</v>
      </c>
      <c r="D71" s="0" t="s">
        <v>78</v>
      </c>
      <c r="E71" s="0" t="s">
        <v>275</v>
      </c>
      <c r="F71" s="0" t="s">
        <v>71</v>
      </c>
      <c r="G71" s="0" t="n">
        <f aca="false">HYPERLINK("http://clipc-services.ceda.ac.uk/dreq/u/5e49c0b73ac161d5e5dd05173416c400.html","web")</f>
        <v>0</v>
      </c>
      <c r="H71" s="0" t="s">
        <v>276</v>
      </c>
      <c r="I71" s="0" t="s">
        <v>64</v>
      </c>
      <c r="J71" s="0" t="s">
        <v>277</v>
      </c>
      <c r="K71" s="0" t="s">
        <v>273</v>
      </c>
    </row>
    <row r="72" customFormat="false" ht="15" hidden="false" customHeight="false" outlineLevel="0" collapsed="false">
      <c r="A72" s="0" t="s">
        <v>267</v>
      </c>
      <c r="B72" s="0" t="s">
        <v>278</v>
      </c>
      <c r="C72" s="0" t="s">
        <v>13</v>
      </c>
      <c r="D72" s="0" t="s">
        <v>78</v>
      </c>
      <c r="E72" s="0" t="s">
        <v>279</v>
      </c>
      <c r="F72" s="0" t="s">
        <v>71</v>
      </c>
      <c r="G72" s="0" t="n">
        <f aca="false">HYPERLINK("http://clipc-services.ceda.ac.uk/dreq/u/299fb9d19040c4aa3862644286261ad2.html","web")</f>
        <v>0</v>
      </c>
      <c r="H72" s="0" t="s">
        <v>280</v>
      </c>
      <c r="I72" s="0" t="s">
        <v>271</v>
      </c>
      <c r="J72" s="0" t="s">
        <v>281</v>
      </c>
      <c r="K72" s="0" t="s">
        <v>273</v>
      </c>
    </row>
    <row r="73" customFormat="false" ht="15" hidden="false" customHeight="false" outlineLevel="0" collapsed="false">
      <c r="A73" s="0" t="s">
        <v>267</v>
      </c>
      <c r="B73" s="0" t="s">
        <v>282</v>
      </c>
      <c r="C73" s="0" t="s">
        <v>13</v>
      </c>
      <c r="D73" s="0" t="s">
        <v>283</v>
      </c>
      <c r="E73" s="0" t="s">
        <v>284</v>
      </c>
      <c r="F73" s="0" t="s">
        <v>285</v>
      </c>
      <c r="G73" s="0" t="n">
        <f aca="false">HYPERLINK("http://clipc-services.ceda.ac.uk/dreq/u/1d4594c97188efd47935238a429e02e4.html","web")</f>
        <v>0</v>
      </c>
      <c r="H73" s="0" t="s">
        <v>63</v>
      </c>
      <c r="I73" s="0" t="s">
        <v>64</v>
      </c>
      <c r="J73" s="0" t="s">
        <v>286</v>
      </c>
      <c r="K73" s="0" t="s">
        <v>287</v>
      </c>
    </row>
    <row r="74" customFormat="false" ht="15" hidden="false" customHeight="false" outlineLevel="0" collapsed="false">
      <c r="A74" s="0" t="s">
        <v>267</v>
      </c>
      <c r="B74" s="0" t="s">
        <v>288</v>
      </c>
      <c r="C74" s="0" t="s">
        <v>13</v>
      </c>
      <c r="D74" s="0" t="s">
        <v>289</v>
      </c>
      <c r="E74" s="0" t="s">
        <v>284</v>
      </c>
      <c r="F74" s="0" t="s">
        <v>285</v>
      </c>
      <c r="G74" s="0" t="n">
        <f aca="false">HYPERLINK("http://clipc-services.ceda.ac.uk/dreq/u/1d4594c97188efd47935238a429e02e4.html","web")</f>
        <v>0</v>
      </c>
      <c r="H74" s="0" t="s">
        <v>290</v>
      </c>
      <c r="I74" s="0" t="s">
        <v>64</v>
      </c>
      <c r="J74" s="0" t="s">
        <v>286</v>
      </c>
      <c r="K74" s="0" t="s">
        <v>287</v>
      </c>
    </row>
    <row r="75" customFormat="false" ht="15" hidden="false" customHeight="false" outlineLevel="0" collapsed="false">
      <c r="A75" s="0" t="s">
        <v>267</v>
      </c>
      <c r="B75" s="0" t="s">
        <v>291</v>
      </c>
      <c r="C75" s="0" t="s">
        <v>13</v>
      </c>
      <c r="D75" s="0" t="s">
        <v>283</v>
      </c>
      <c r="E75" s="0" t="s">
        <v>292</v>
      </c>
      <c r="F75" s="0" t="s">
        <v>285</v>
      </c>
      <c r="G75" s="0" t="n">
        <f aca="false">HYPERLINK("http://clipc-services.ceda.ac.uk/dreq/u/9bb9a503065dfbd30c9bbe5c3c6abf99.html","web")</f>
        <v>0</v>
      </c>
      <c r="H75" s="0" t="s">
        <v>63</v>
      </c>
      <c r="I75" s="0" t="s">
        <v>64</v>
      </c>
      <c r="J75" s="0" t="s">
        <v>286</v>
      </c>
      <c r="K75" s="0" t="s">
        <v>293</v>
      </c>
    </row>
    <row r="76" customFormat="false" ht="15" hidden="false" customHeight="false" outlineLevel="0" collapsed="false">
      <c r="A76" s="0" t="s">
        <v>267</v>
      </c>
      <c r="B76" s="0" t="s">
        <v>294</v>
      </c>
      <c r="C76" s="0" t="s">
        <v>13</v>
      </c>
      <c r="D76" s="0" t="s">
        <v>289</v>
      </c>
      <c r="E76" s="0" t="s">
        <v>292</v>
      </c>
      <c r="F76" s="0" t="s">
        <v>285</v>
      </c>
      <c r="G76" s="0" t="n">
        <f aca="false">HYPERLINK("http://clipc-services.ceda.ac.uk/dreq/u/9bb9a503065dfbd30c9bbe5c3c6abf99.html","web")</f>
        <v>0</v>
      </c>
      <c r="H76" s="0" t="s">
        <v>290</v>
      </c>
      <c r="I76" s="0" t="s">
        <v>64</v>
      </c>
      <c r="J76" s="0" t="s">
        <v>286</v>
      </c>
      <c r="K76" s="0" t="s">
        <v>293</v>
      </c>
    </row>
    <row r="77" customFormat="false" ht="15" hidden="false" customHeight="false" outlineLevel="0" collapsed="false">
      <c r="A77" s="0" t="s">
        <v>267</v>
      </c>
      <c r="B77" s="0" t="s">
        <v>295</v>
      </c>
      <c r="C77" s="0" t="s">
        <v>13</v>
      </c>
      <c r="D77" s="0" t="s">
        <v>296</v>
      </c>
      <c r="E77" s="0" t="s">
        <v>297</v>
      </c>
      <c r="F77" s="0" t="s">
        <v>298</v>
      </c>
      <c r="G77" s="0" t="n">
        <f aca="false">HYPERLINK("http://clipc-services.ceda.ac.uk/dreq/u/ddf060894b16cf89e906ecfedbba4ffb.html","web")</f>
        <v>0</v>
      </c>
      <c r="H77" s="0" t="s">
        <v>290</v>
      </c>
      <c r="I77" s="0" t="s">
        <v>64</v>
      </c>
      <c r="J77" s="0" t="s">
        <v>299</v>
      </c>
      <c r="K77" s="0" t="s">
        <v>293</v>
      </c>
    </row>
    <row r="78" customFormat="false" ht="15" hidden="false" customHeight="false" outlineLevel="0" collapsed="false">
      <c r="A78" s="0" t="s">
        <v>267</v>
      </c>
      <c r="B78" s="0" t="s">
        <v>300</v>
      </c>
      <c r="C78" s="0" t="s">
        <v>13</v>
      </c>
      <c r="D78" s="0" t="s">
        <v>301</v>
      </c>
      <c r="E78" s="0" t="s">
        <v>297</v>
      </c>
      <c r="F78" s="0" t="s">
        <v>298</v>
      </c>
      <c r="G78" s="0" t="n">
        <f aca="false">HYPERLINK("http://clipc-services.ceda.ac.uk/dreq/u/ddf060894b16cf89e906ecfedbba4ffb.html","web")</f>
        <v>0</v>
      </c>
      <c r="H78" s="0" t="s">
        <v>290</v>
      </c>
      <c r="I78" s="0" t="s">
        <v>64</v>
      </c>
      <c r="J78" s="0" t="s">
        <v>299</v>
      </c>
      <c r="K78" s="0" t="s">
        <v>293</v>
      </c>
    </row>
    <row r="79" customFormat="false" ht="15" hidden="false" customHeight="false" outlineLevel="0" collapsed="false">
      <c r="A79" s="0" t="s">
        <v>267</v>
      </c>
      <c r="B79" s="0" t="s">
        <v>302</v>
      </c>
      <c r="C79" s="0" t="s">
        <v>13</v>
      </c>
      <c r="D79" s="0" t="s">
        <v>283</v>
      </c>
      <c r="E79" s="0" t="s">
        <v>303</v>
      </c>
      <c r="F79" s="0" t="s">
        <v>285</v>
      </c>
      <c r="G79" s="0" t="n">
        <f aca="false">HYPERLINK("http://clipc-services.ceda.ac.uk/dreq/u/7f4c49e8abe3230e87fa7299b73448fa.html","web")</f>
        <v>0</v>
      </c>
      <c r="H79" s="0" t="s">
        <v>63</v>
      </c>
      <c r="I79" s="0" t="s">
        <v>64</v>
      </c>
      <c r="J79" s="0" t="s">
        <v>286</v>
      </c>
      <c r="K79" s="0" t="s">
        <v>293</v>
      </c>
    </row>
    <row r="80" customFormat="false" ht="15" hidden="false" customHeight="false" outlineLevel="0" collapsed="false">
      <c r="A80" s="0" t="s">
        <v>267</v>
      </c>
      <c r="B80" s="0" t="s">
        <v>304</v>
      </c>
      <c r="C80" s="0" t="s">
        <v>13</v>
      </c>
      <c r="D80" s="0" t="s">
        <v>289</v>
      </c>
      <c r="E80" s="0" t="s">
        <v>303</v>
      </c>
      <c r="F80" s="0" t="s">
        <v>285</v>
      </c>
      <c r="G80" s="0" t="n">
        <f aca="false">HYPERLINK("http://clipc-services.ceda.ac.uk/dreq/u/7f4c49e8abe3230e87fa7299b73448fa.html","web")</f>
        <v>0</v>
      </c>
      <c r="H80" s="0" t="s">
        <v>290</v>
      </c>
      <c r="I80" s="0" t="s">
        <v>64</v>
      </c>
      <c r="J80" s="0" t="s">
        <v>286</v>
      </c>
      <c r="K80" s="0" t="s">
        <v>293</v>
      </c>
    </row>
    <row r="81" customFormat="false" ht="15" hidden="false" customHeight="false" outlineLevel="0" collapsed="false">
      <c r="A81" s="0" t="s">
        <v>267</v>
      </c>
      <c r="B81" s="0" t="s">
        <v>305</v>
      </c>
      <c r="C81" s="0" t="s">
        <v>13</v>
      </c>
      <c r="D81" s="0" t="s">
        <v>296</v>
      </c>
      <c r="E81" s="0" t="s">
        <v>306</v>
      </c>
      <c r="F81" s="0" t="s">
        <v>307</v>
      </c>
      <c r="G81" s="0" t="n">
        <f aca="false">HYPERLINK("http://clipc-services.ceda.ac.uk/dreq/u/dbc244f3e0bae5b1397ad42fb6cd6db3.html","web")</f>
        <v>0</v>
      </c>
      <c r="H81" s="0" t="s">
        <v>290</v>
      </c>
      <c r="I81" s="0" t="s">
        <v>64</v>
      </c>
      <c r="J81" s="0" t="s">
        <v>306</v>
      </c>
      <c r="K81" s="0" t="s">
        <v>293</v>
      </c>
    </row>
    <row r="82" customFormat="false" ht="15" hidden="false" customHeight="false" outlineLevel="0" collapsed="false">
      <c r="A82" s="0" t="s">
        <v>267</v>
      </c>
      <c r="B82" s="0" t="s">
        <v>308</v>
      </c>
      <c r="C82" s="0" t="s">
        <v>13</v>
      </c>
      <c r="D82" s="0" t="s">
        <v>301</v>
      </c>
      <c r="E82" s="0" t="s">
        <v>306</v>
      </c>
      <c r="F82" s="0" t="s">
        <v>307</v>
      </c>
      <c r="G82" s="0" t="n">
        <f aca="false">HYPERLINK("http://clipc-services.ceda.ac.uk/dreq/u/dbc244f3e0bae5b1397ad42fb6cd6db3.html","web")</f>
        <v>0</v>
      </c>
      <c r="H82" s="0" t="s">
        <v>290</v>
      </c>
      <c r="I82" s="0" t="s">
        <v>64</v>
      </c>
      <c r="J82" s="0" t="s">
        <v>306</v>
      </c>
      <c r="K82" s="0" t="s">
        <v>293</v>
      </c>
    </row>
    <row r="83" customFormat="false" ht="15" hidden="false" customHeight="false" outlineLevel="0" collapsed="false">
      <c r="A83" s="0" t="s">
        <v>267</v>
      </c>
      <c r="B83" s="0" t="s">
        <v>112</v>
      </c>
      <c r="C83" s="0" t="s">
        <v>13</v>
      </c>
      <c r="D83" s="0" t="s">
        <v>309</v>
      </c>
      <c r="E83" s="0" t="s">
        <v>114</v>
      </c>
      <c r="F83" s="0" t="s">
        <v>90</v>
      </c>
      <c r="G83" s="0" t="n">
        <f aca="false">HYPERLINK("http://clipc-services.ceda.ac.uk/dreq/u/154ab10964742eaff37de9cc5beef39c.html","web")</f>
        <v>0</v>
      </c>
      <c r="H83" s="0" t="s">
        <v>63</v>
      </c>
      <c r="I83" s="0" t="s">
        <v>64</v>
      </c>
      <c r="J83" s="0" t="s">
        <v>115</v>
      </c>
      <c r="K83" s="0" t="s">
        <v>310</v>
      </c>
    </row>
    <row r="85" customFormat="false" ht="15" hidden="false" customHeight="false" outlineLevel="0" collapsed="false">
      <c r="A85" s="0" t="s">
        <v>311</v>
      </c>
      <c r="B85" s="0" t="s">
        <v>312</v>
      </c>
      <c r="C85" s="0" t="s">
        <v>118</v>
      </c>
      <c r="D85" s="0" t="s">
        <v>78</v>
      </c>
      <c r="E85" s="0" t="s">
        <v>313</v>
      </c>
      <c r="F85" s="0" t="s">
        <v>54</v>
      </c>
      <c r="G85" s="0" t="n">
        <f aca="false">HYPERLINK("http://clipc-services.ceda.ac.uk/dreq/u/590e3c7e-9e49-11e5-803c-0d0b866b59f3.html","web")</f>
        <v>0</v>
      </c>
      <c r="H85" s="0" t="s">
        <v>63</v>
      </c>
      <c r="I85" s="0" t="s">
        <v>64</v>
      </c>
      <c r="J85" s="0" t="s">
        <v>314</v>
      </c>
      <c r="K85" s="0" t="s">
        <v>315</v>
      </c>
    </row>
    <row r="87" customFormat="false" ht="15" hidden="false" customHeight="false" outlineLevel="0" collapsed="false">
      <c r="A87" s="0" t="s">
        <v>316</v>
      </c>
      <c r="B87" s="0" t="s">
        <v>317</v>
      </c>
      <c r="C87" s="0" t="s">
        <v>13</v>
      </c>
      <c r="D87" s="0" t="s">
        <v>78</v>
      </c>
      <c r="E87" s="0" t="s">
        <v>318</v>
      </c>
      <c r="F87" s="0" t="s">
        <v>285</v>
      </c>
      <c r="G87" s="0" t="n">
        <f aca="false">HYPERLINK("http://clipc-services.ceda.ac.uk/dreq/u/fe6ca864-a41f-11e5-9025-ac72891c3257.html","web")</f>
        <v>0</v>
      </c>
      <c r="H87" s="0" t="s">
        <v>63</v>
      </c>
      <c r="I87" s="0" t="s">
        <v>64</v>
      </c>
      <c r="J87" s="0" t="s">
        <v>286</v>
      </c>
      <c r="K87" s="0" t="s">
        <v>66</v>
      </c>
    </row>
    <row r="88" customFormat="false" ht="15" hidden="false" customHeight="false" outlineLevel="0" collapsed="false">
      <c r="A88" s="0" t="s">
        <v>316</v>
      </c>
      <c r="B88" s="0" t="s">
        <v>319</v>
      </c>
      <c r="C88" s="0" t="s">
        <v>13</v>
      </c>
      <c r="D88" s="0" t="s">
        <v>78</v>
      </c>
      <c r="E88" s="0" t="s">
        <v>320</v>
      </c>
      <c r="F88" s="0" t="s">
        <v>285</v>
      </c>
      <c r="G88" s="0" t="n">
        <f aca="false">HYPERLINK("http://clipc-services.ceda.ac.uk/dreq/u/fe6cecca-a41f-11e5-9025-ac72891c3257.html","web")</f>
        <v>0</v>
      </c>
      <c r="H88" s="0" t="s">
        <v>63</v>
      </c>
      <c r="I88" s="0" t="s">
        <v>64</v>
      </c>
      <c r="J88" s="0" t="s">
        <v>286</v>
      </c>
      <c r="K88" s="0" t="s">
        <v>321</v>
      </c>
    </row>
    <row r="89" customFormat="false" ht="15" hidden="false" customHeight="false" outlineLevel="0" collapsed="false">
      <c r="A89" s="0" t="s">
        <v>316</v>
      </c>
      <c r="B89" s="0" t="s">
        <v>322</v>
      </c>
      <c r="C89" s="0" t="s">
        <v>13</v>
      </c>
      <c r="D89" s="0" t="s">
        <v>78</v>
      </c>
      <c r="E89" s="0" t="s">
        <v>323</v>
      </c>
      <c r="F89" s="0" t="s">
        <v>324</v>
      </c>
      <c r="G89" s="0" t="n">
        <f aca="false">HYPERLINK("http://clipc-services.ceda.ac.uk/dreq/u/fe6cc8a8-a41f-11e5-9025-ac72891c3257.html","web")</f>
        <v>0</v>
      </c>
      <c r="H89" s="0" t="s">
        <v>63</v>
      </c>
      <c r="I89" s="0" t="s">
        <v>64</v>
      </c>
      <c r="J89" s="0" t="s">
        <v>325</v>
      </c>
      <c r="K89" s="0" t="s">
        <v>66</v>
      </c>
    </row>
    <row r="91" customFormat="false" ht="15" hidden="false" customHeight="false" outlineLevel="0" collapsed="false">
      <c r="A91" s="0" t="s">
        <v>326</v>
      </c>
      <c r="B91" s="0" t="s">
        <v>327</v>
      </c>
      <c r="C91" s="0" t="s">
        <v>13</v>
      </c>
      <c r="D91" s="0" t="s">
        <v>328</v>
      </c>
      <c r="E91" s="0" t="s">
        <v>329</v>
      </c>
      <c r="F91" s="0" t="s">
        <v>13</v>
      </c>
      <c r="G91" s="0" t="n">
        <f aca="false">HYPERLINK("http://clipc-services.ceda.ac.uk/dreq/u/0baf6a333b91c4db341b515c28cd2c05.html","web")</f>
        <v>0</v>
      </c>
      <c r="H91" s="0" t="s">
        <v>63</v>
      </c>
      <c r="I91" s="0" t="s">
        <v>64</v>
      </c>
      <c r="J91" s="0" t="s">
        <v>330</v>
      </c>
      <c r="K91" s="0" t="s">
        <v>331</v>
      </c>
    </row>
    <row r="92" customFormat="false" ht="15" hidden="false" customHeight="false" outlineLevel="0" collapsed="false">
      <c r="A92" s="0" t="s">
        <v>326</v>
      </c>
      <c r="B92" s="0" t="s">
        <v>332</v>
      </c>
      <c r="C92" s="0" t="s">
        <v>13</v>
      </c>
      <c r="D92" s="0" t="s">
        <v>204</v>
      </c>
      <c r="E92" s="0" t="s">
        <v>333</v>
      </c>
      <c r="F92" s="0" t="s">
        <v>49</v>
      </c>
      <c r="G92" s="0" t="n">
        <f aca="false">HYPERLINK("http://clipc-services.ceda.ac.uk/dreq/u/5eac89f6f61b0e154c5add397fc41c46.html","web")</f>
        <v>0</v>
      </c>
      <c r="H92" s="0" t="s">
        <v>63</v>
      </c>
      <c r="I92" s="0" t="s">
        <v>64</v>
      </c>
      <c r="J92" s="0" t="s">
        <v>334</v>
      </c>
      <c r="K92" s="0" t="s">
        <v>335</v>
      </c>
    </row>
    <row r="93" customFormat="false" ht="15" hidden="false" customHeight="false" outlineLevel="0" collapsed="false">
      <c r="A93" s="0" t="s">
        <v>326</v>
      </c>
      <c r="B93" s="0" t="s">
        <v>312</v>
      </c>
      <c r="C93" s="0" t="s">
        <v>13</v>
      </c>
      <c r="D93" s="0" t="s">
        <v>78</v>
      </c>
      <c r="E93" s="0" t="s">
        <v>313</v>
      </c>
      <c r="F93" s="0" t="s">
        <v>54</v>
      </c>
      <c r="G93" s="0" t="n">
        <f aca="false">HYPERLINK("http://clipc-services.ceda.ac.uk/dreq/u/590e3c7e-9e49-11e5-803c-0d0b866b59f3.html","web")</f>
        <v>0</v>
      </c>
      <c r="H93" s="0" t="s">
        <v>63</v>
      </c>
      <c r="I93" s="0" t="s">
        <v>64</v>
      </c>
      <c r="J93" s="0" t="s">
        <v>314</v>
      </c>
      <c r="K93" s="0" t="s">
        <v>336</v>
      </c>
    </row>
    <row r="94" customFormat="false" ht="15" hidden="false" customHeight="false" outlineLevel="0" collapsed="false">
      <c r="A94" s="0" t="s">
        <v>326</v>
      </c>
      <c r="B94" s="0" t="s">
        <v>337</v>
      </c>
      <c r="C94" s="0" t="s">
        <v>13</v>
      </c>
      <c r="D94" s="0" t="s">
        <v>204</v>
      </c>
      <c r="E94" s="0" t="s">
        <v>338</v>
      </c>
      <c r="F94" s="0" t="s">
        <v>285</v>
      </c>
      <c r="G94" s="0" t="n">
        <f aca="false">HYPERLINK("http://clipc-services.ceda.ac.uk/dreq/u/7ec31850a34ee43e98c5d526770fb581.html","web")</f>
        <v>0</v>
      </c>
      <c r="H94" s="0" t="s">
        <v>63</v>
      </c>
      <c r="I94" s="0" t="s">
        <v>64</v>
      </c>
      <c r="J94" s="0" t="s">
        <v>286</v>
      </c>
      <c r="K94" s="0" t="s">
        <v>335</v>
      </c>
    </row>
    <row r="95" customFormat="false" ht="15" hidden="false" customHeight="false" outlineLevel="0" collapsed="false">
      <c r="A95" s="0" t="s">
        <v>326</v>
      </c>
      <c r="B95" s="0" t="s">
        <v>339</v>
      </c>
      <c r="C95" s="0" t="s">
        <v>13</v>
      </c>
      <c r="D95" s="0" t="s">
        <v>204</v>
      </c>
      <c r="E95" s="0" t="s">
        <v>340</v>
      </c>
      <c r="F95" s="0" t="s">
        <v>285</v>
      </c>
      <c r="G95" s="0" t="n">
        <f aca="false">HYPERLINK("http://clipc-services.ceda.ac.uk/dreq/u/fe6b44a6-a41f-11e5-9025-ac72891c3257.html","web")</f>
        <v>0</v>
      </c>
      <c r="H95" s="0" t="s">
        <v>63</v>
      </c>
      <c r="I95" s="0" t="s">
        <v>64</v>
      </c>
      <c r="J95" s="0" t="s">
        <v>286</v>
      </c>
      <c r="K95" s="0" t="s">
        <v>335</v>
      </c>
    </row>
    <row r="96" customFormat="false" ht="15" hidden="false" customHeight="false" outlineLevel="0" collapsed="false">
      <c r="A96" s="0" t="s">
        <v>326</v>
      </c>
      <c r="B96" s="0" t="s">
        <v>341</v>
      </c>
      <c r="C96" s="0" t="s">
        <v>13</v>
      </c>
      <c r="D96" s="0" t="s">
        <v>204</v>
      </c>
      <c r="E96" s="0" t="s">
        <v>342</v>
      </c>
      <c r="F96" s="0" t="s">
        <v>285</v>
      </c>
      <c r="G96" s="0" t="n">
        <f aca="false">HYPERLINK("http://clipc-services.ceda.ac.uk/dreq/u/fe6c7b96-a41f-11e5-9025-ac72891c3257.html","web")</f>
        <v>0</v>
      </c>
      <c r="H96" s="0" t="s">
        <v>63</v>
      </c>
      <c r="I96" s="0" t="s">
        <v>64</v>
      </c>
      <c r="J96" s="0" t="s">
        <v>286</v>
      </c>
      <c r="K96" s="0" t="s">
        <v>335</v>
      </c>
    </row>
    <row r="97" customFormat="false" ht="15" hidden="false" customHeight="false" outlineLevel="0" collapsed="false">
      <c r="A97" s="0" t="s">
        <v>326</v>
      </c>
      <c r="B97" s="0" t="s">
        <v>343</v>
      </c>
      <c r="C97" s="0" t="s">
        <v>13</v>
      </c>
      <c r="D97" s="0" t="s">
        <v>204</v>
      </c>
      <c r="E97" s="0" t="s">
        <v>344</v>
      </c>
      <c r="F97" s="0" t="s">
        <v>345</v>
      </c>
      <c r="G97" s="0" t="n">
        <f aca="false">HYPERLINK("http://clipc-services.ceda.ac.uk/dreq/u/cfe4bddb7dbbfc57c19837e7f99d2dda.html","web")</f>
        <v>0</v>
      </c>
      <c r="H97" s="0" t="s">
        <v>346</v>
      </c>
      <c r="I97" s="0" t="s">
        <v>347</v>
      </c>
      <c r="J97" s="0" t="s">
        <v>348</v>
      </c>
      <c r="K97" s="0" t="s">
        <v>349</v>
      </c>
    </row>
    <row r="98" customFormat="false" ht="15" hidden="false" customHeight="false" outlineLevel="0" collapsed="false">
      <c r="A98" s="0" t="s">
        <v>326</v>
      </c>
      <c r="B98" s="0" t="s">
        <v>350</v>
      </c>
      <c r="C98" s="0" t="s">
        <v>13</v>
      </c>
      <c r="D98" s="0" t="s">
        <v>204</v>
      </c>
      <c r="E98" s="0" t="s">
        <v>351</v>
      </c>
      <c r="F98" s="0" t="s">
        <v>285</v>
      </c>
      <c r="G98" s="0" t="n">
        <f aca="false">HYPERLINK("http://clipc-services.ceda.ac.uk/dreq/u/fe6c8d8e-a41f-11e5-9025-ac72891c3257.html","web")</f>
        <v>0</v>
      </c>
      <c r="H98" s="0" t="s">
        <v>63</v>
      </c>
      <c r="I98" s="0" t="s">
        <v>64</v>
      </c>
      <c r="J98" s="0" t="s">
        <v>352</v>
      </c>
      <c r="K98" s="0" t="s">
        <v>335</v>
      </c>
    </row>
    <row r="99" customFormat="false" ht="15" hidden="false" customHeight="false" outlineLevel="0" collapsed="false">
      <c r="A99" s="0" t="s">
        <v>326</v>
      </c>
      <c r="B99" s="0" t="s">
        <v>302</v>
      </c>
      <c r="C99" s="0" t="s">
        <v>13</v>
      </c>
      <c r="D99" s="0" t="s">
        <v>204</v>
      </c>
      <c r="E99" s="0" t="s">
        <v>353</v>
      </c>
      <c r="F99" s="0" t="s">
        <v>285</v>
      </c>
      <c r="G99" s="0" t="n">
        <f aca="false">HYPERLINK("http://clipc-services.ceda.ac.uk/dreq/u/7f4c49e8abe3230e87fa7299b73448fa.html","web")</f>
        <v>0</v>
      </c>
      <c r="H99" s="0" t="s">
        <v>63</v>
      </c>
      <c r="I99" s="0" t="s">
        <v>64</v>
      </c>
      <c r="J99" s="0" t="s">
        <v>286</v>
      </c>
      <c r="K99" s="0" t="s">
        <v>335</v>
      </c>
    </row>
    <row r="100" customFormat="false" ht="15" hidden="false" customHeight="false" outlineLevel="0" collapsed="false">
      <c r="A100" s="0" t="s">
        <v>326</v>
      </c>
      <c r="B100" s="0" t="s">
        <v>354</v>
      </c>
      <c r="C100" s="0" t="s">
        <v>13</v>
      </c>
      <c r="D100" s="0" t="s">
        <v>204</v>
      </c>
      <c r="E100" s="0" t="s">
        <v>355</v>
      </c>
      <c r="F100" s="0" t="s">
        <v>71</v>
      </c>
      <c r="G100" s="0" t="n">
        <f aca="false">HYPERLINK("http://clipc-services.ceda.ac.uk/dreq/u/5b189f73a6cbef54f224217d8a6b284a.html","web")</f>
        <v>0</v>
      </c>
      <c r="H100" s="0" t="s">
        <v>63</v>
      </c>
      <c r="I100" s="0" t="s">
        <v>64</v>
      </c>
      <c r="J100" s="0" t="s">
        <v>356</v>
      </c>
      <c r="K100" s="0" t="s">
        <v>335</v>
      </c>
    </row>
    <row r="101" customFormat="false" ht="15" hidden="false" customHeight="false" outlineLevel="0" collapsed="false">
      <c r="A101" s="0" t="s">
        <v>326</v>
      </c>
      <c r="B101" s="0" t="s">
        <v>357</v>
      </c>
      <c r="C101" s="0" t="s">
        <v>13</v>
      </c>
      <c r="D101" s="0" t="s">
        <v>204</v>
      </c>
      <c r="E101" s="0" t="s">
        <v>358</v>
      </c>
      <c r="F101" s="0" t="s">
        <v>71</v>
      </c>
      <c r="G101" s="0" t="n">
        <f aca="false">HYPERLINK("http://clipc-services.ceda.ac.uk/dreq/u/ef1d823bb688b3e2a3f8374bb29fe0bf.html","web")</f>
        <v>0</v>
      </c>
      <c r="H101" s="0" t="s">
        <v>63</v>
      </c>
      <c r="I101" s="0" t="s">
        <v>64</v>
      </c>
      <c r="J101" s="0" t="s">
        <v>359</v>
      </c>
      <c r="K101" s="0" t="s">
        <v>335</v>
      </c>
    </row>
    <row r="102" customFormat="false" ht="15" hidden="false" customHeight="false" outlineLevel="0" collapsed="false">
      <c r="A102" s="0" t="s">
        <v>326</v>
      </c>
      <c r="B102" s="0" t="s">
        <v>360</v>
      </c>
      <c r="C102" s="0" t="s">
        <v>13</v>
      </c>
      <c r="D102" s="0" t="s">
        <v>78</v>
      </c>
      <c r="E102" s="0" t="s">
        <v>361</v>
      </c>
      <c r="F102" s="0" t="s">
        <v>71</v>
      </c>
      <c r="G102" s="0" t="n">
        <f aca="false">HYPERLINK("http://clipc-services.ceda.ac.uk/dreq/u/6b9531f047e39c91d82d58852a429555.html","web")</f>
        <v>0</v>
      </c>
      <c r="H102" s="0" t="s">
        <v>63</v>
      </c>
      <c r="I102" s="0" t="s">
        <v>64</v>
      </c>
      <c r="J102" s="0" t="s">
        <v>362</v>
      </c>
      <c r="K102" s="0" t="s">
        <v>336</v>
      </c>
    </row>
    <row r="103" customFormat="false" ht="15" hidden="false" customHeight="false" outlineLevel="0" collapsed="false">
      <c r="A103" s="0" t="s">
        <v>326</v>
      </c>
      <c r="B103" s="0" t="s">
        <v>363</v>
      </c>
      <c r="C103" s="0" t="s">
        <v>13</v>
      </c>
      <c r="D103" s="0" t="s">
        <v>204</v>
      </c>
      <c r="E103" s="0" t="s">
        <v>364</v>
      </c>
      <c r="F103" s="0" t="s">
        <v>285</v>
      </c>
      <c r="G103" s="0" t="n">
        <f aca="false">HYPERLINK("http://clipc-services.ceda.ac.uk/dreq/u/fe6c8654-a41f-11e5-9025-ac72891c3257.html","web")</f>
        <v>0</v>
      </c>
      <c r="H103" s="0" t="s">
        <v>63</v>
      </c>
      <c r="I103" s="0" t="s">
        <v>64</v>
      </c>
      <c r="J103" s="0" t="s">
        <v>286</v>
      </c>
      <c r="K103" s="0" t="s">
        <v>335</v>
      </c>
    </row>
    <row r="104" customFormat="false" ht="15" hidden="false" customHeight="false" outlineLevel="0" collapsed="false">
      <c r="A104" s="0" t="s">
        <v>326</v>
      </c>
      <c r="B104" s="0" t="s">
        <v>291</v>
      </c>
      <c r="C104" s="0" t="s">
        <v>13</v>
      </c>
      <c r="D104" s="0" t="s">
        <v>204</v>
      </c>
      <c r="E104" s="0" t="s">
        <v>365</v>
      </c>
      <c r="F104" s="0" t="s">
        <v>285</v>
      </c>
      <c r="G104" s="0" t="n">
        <f aca="false">HYPERLINK("http://clipc-services.ceda.ac.uk/dreq/u/9bb9a503065dfbd30c9bbe5c3c6abf99.html","web")</f>
        <v>0</v>
      </c>
      <c r="H104" s="0" t="s">
        <v>63</v>
      </c>
      <c r="I104" s="0" t="s">
        <v>64</v>
      </c>
      <c r="J104" s="0" t="s">
        <v>286</v>
      </c>
      <c r="K104" s="0" t="s">
        <v>335</v>
      </c>
    </row>
    <row r="105" customFormat="false" ht="15" hidden="false" customHeight="false" outlineLevel="0" collapsed="false">
      <c r="A105" s="0" t="s">
        <v>326</v>
      </c>
      <c r="B105" s="0" t="s">
        <v>366</v>
      </c>
      <c r="C105" s="0" t="s">
        <v>13</v>
      </c>
      <c r="D105" s="0" t="s">
        <v>204</v>
      </c>
      <c r="E105" s="0" t="s">
        <v>367</v>
      </c>
      <c r="F105" s="0" t="s">
        <v>285</v>
      </c>
      <c r="G105" s="0" t="n">
        <f aca="false">HYPERLINK("http://clipc-services.ceda.ac.uk/dreq/u/04f25e5e4c98a0a98575bc3d805bb03a.html","web")</f>
        <v>0</v>
      </c>
      <c r="H105" s="0" t="s">
        <v>63</v>
      </c>
      <c r="I105" s="0" t="s">
        <v>64</v>
      </c>
      <c r="J105" s="0" t="s">
        <v>286</v>
      </c>
      <c r="K105" s="0" t="s">
        <v>349</v>
      </c>
    </row>
    <row r="106" customFormat="false" ht="15" hidden="false" customHeight="false" outlineLevel="0" collapsed="false">
      <c r="A106" s="0" t="s">
        <v>326</v>
      </c>
      <c r="B106" s="0" t="s">
        <v>368</v>
      </c>
      <c r="C106" s="0" t="s">
        <v>13</v>
      </c>
      <c r="D106" s="0" t="s">
        <v>78</v>
      </c>
      <c r="E106" s="0" t="s">
        <v>369</v>
      </c>
      <c r="F106" s="0" t="s">
        <v>71</v>
      </c>
      <c r="G106" s="0" t="n">
        <f aca="false">HYPERLINK("http://clipc-services.ceda.ac.uk/dreq/u/f17637206609c6f9e14190d3ac6a1e6b.html","web")</f>
        <v>0</v>
      </c>
      <c r="H106" s="0" t="s">
        <v>63</v>
      </c>
      <c r="I106" s="0" t="s">
        <v>64</v>
      </c>
      <c r="J106" s="0" t="s">
        <v>370</v>
      </c>
      <c r="K106" s="0" t="s">
        <v>336</v>
      </c>
    </row>
    <row r="107" customFormat="false" ht="15" hidden="false" customHeight="false" outlineLevel="0" collapsed="false">
      <c r="A107" s="0" t="s">
        <v>326</v>
      </c>
      <c r="B107" s="0" t="s">
        <v>371</v>
      </c>
      <c r="C107" s="0" t="s">
        <v>13</v>
      </c>
      <c r="D107" s="0" t="s">
        <v>78</v>
      </c>
      <c r="E107" s="0" t="s">
        <v>372</v>
      </c>
      <c r="F107" s="0" t="s">
        <v>71</v>
      </c>
      <c r="G107" s="0" t="n">
        <f aca="false">HYPERLINK("http://clipc-services.ceda.ac.uk/dreq/u/6444d8c6e394c5d66ae3f732f0ede043.html","web")</f>
        <v>0</v>
      </c>
      <c r="H107" s="0" t="s">
        <v>63</v>
      </c>
      <c r="I107" s="0" t="s">
        <v>64</v>
      </c>
      <c r="J107" s="0" t="s">
        <v>370</v>
      </c>
      <c r="K107" s="0" t="s">
        <v>373</v>
      </c>
    </row>
    <row r="108" customFormat="false" ht="15" hidden="false" customHeight="false" outlineLevel="0" collapsed="false">
      <c r="A108" s="0" t="s">
        <v>326</v>
      </c>
      <c r="B108" s="0" t="s">
        <v>374</v>
      </c>
      <c r="C108" s="0" t="s">
        <v>13</v>
      </c>
      <c r="D108" s="0" t="s">
        <v>78</v>
      </c>
      <c r="E108" s="0" t="s">
        <v>375</v>
      </c>
      <c r="F108" s="0" t="s">
        <v>71</v>
      </c>
      <c r="G108" s="0" t="n">
        <f aca="false">HYPERLINK("http://clipc-services.ceda.ac.uk/dreq/u/9fd5c69c5f00bd2434436f2e9033f545.html","web")</f>
        <v>0</v>
      </c>
      <c r="H108" s="0" t="s">
        <v>63</v>
      </c>
      <c r="I108" s="0" t="s">
        <v>64</v>
      </c>
      <c r="J108" s="0" t="s">
        <v>376</v>
      </c>
      <c r="K108" s="0" t="s">
        <v>377</v>
      </c>
    </row>
    <row r="109" customFormat="false" ht="15" hidden="false" customHeight="false" outlineLevel="0" collapsed="false">
      <c r="A109" s="0" t="s">
        <v>326</v>
      </c>
      <c r="B109" s="0" t="s">
        <v>378</v>
      </c>
      <c r="C109" s="0" t="s">
        <v>13</v>
      </c>
      <c r="D109" s="0" t="s">
        <v>78</v>
      </c>
      <c r="E109" s="0" t="s">
        <v>379</v>
      </c>
      <c r="F109" s="0" t="s">
        <v>71</v>
      </c>
      <c r="G109" s="0" t="n">
        <f aca="false">HYPERLINK("http://clipc-services.ceda.ac.uk/dreq/u/8e67a3e82efbb02a7efe67da456408fa.html","web")</f>
        <v>0</v>
      </c>
      <c r="H109" s="0" t="s">
        <v>63</v>
      </c>
      <c r="I109" s="0" t="s">
        <v>64</v>
      </c>
      <c r="J109" s="0" t="s">
        <v>376</v>
      </c>
      <c r="K109" s="0" t="s">
        <v>377</v>
      </c>
    </row>
    <row r="110" customFormat="false" ht="15" hidden="false" customHeight="false" outlineLevel="0" collapsed="false">
      <c r="A110" s="0" t="s">
        <v>326</v>
      </c>
      <c r="B110" s="0" t="s">
        <v>380</v>
      </c>
      <c r="C110" s="0" t="s">
        <v>13</v>
      </c>
      <c r="D110" s="0" t="s">
        <v>78</v>
      </c>
      <c r="E110" s="0" t="s">
        <v>381</v>
      </c>
      <c r="F110" s="0" t="s">
        <v>71</v>
      </c>
      <c r="G110" s="0" t="n">
        <f aca="false">HYPERLINK("http://clipc-services.ceda.ac.uk/dreq/u/f4e5c381e643cd68d3104cf75cc675bd.html","web")</f>
        <v>0</v>
      </c>
      <c r="H110" s="0" t="s">
        <v>63</v>
      </c>
      <c r="I110" s="0" t="s">
        <v>64</v>
      </c>
      <c r="J110" s="0" t="s">
        <v>382</v>
      </c>
      <c r="K110" s="0" t="s">
        <v>336</v>
      </c>
    </row>
    <row r="111" customFormat="false" ht="15" hidden="false" customHeight="false" outlineLevel="0" collapsed="false">
      <c r="A111" s="0" t="s">
        <v>326</v>
      </c>
      <c r="B111" s="0" t="s">
        <v>383</v>
      </c>
      <c r="C111" s="0" t="s">
        <v>13</v>
      </c>
      <c r="D111" s="0" t="s">
        <v>78</v>
      </c>
      <c r="E111" s="0" t="s">
        <v>384</v>
      </c>
      <c r="F111" s="0" t="s">
        <v>71</v>
      </c>
      <c r="G111" s="0" t="n">
        <f aca="false">HYPERLINK("http://clipc-services.ceda.ac.uk/dreq/u/88cfa07efc9539cfb8c465a664f63e55.html","web")</f>
        <v>0</v>
      </c>
      <c r="H111" s="0" t="s">
        <v>63</v>
      </c>
      <c r="I111" s="0" t="s">
        <v>64</v>
      </c>
      <c r="J111" s="0" t="s">
        <v>385</v>
      </c>
      <c r="K111" s="0" t="s">
        <v>336</v>
      </c>
    </row>
    <row r="112" customFormat="false" ht="15" hidden="false" customHeight="false" outlineLevel="0" collapsed="false">
      <c r="A112" s="0" t="s">
        <v>326</v>
      </c>
      <c r="B112" s="0" t="s">
        <v>386</v>
      </c>
      <c r="C112" s="0" t="s">
        <v>13</v>
      </c>
      <c r="D112" s="0" t="s">
        <v>78</v>
      </c>
      <c r="E112" s="0" t="s">
        <v>387</v>
      </c>
      <c r="F112" s="0" t="s">
        <v>71</v>
      </c>
      <c r="G112" s="0" t="n">
        <f aca="false">HYPERLINK("http://clipc-services.ceda.ac.uk/dreq/u/6f095163598ce89d463f74ae2a096270.html","web")</f>
        <v>0</v>
      </c>
      <c r="H112" s="0" t="s">
        <v>63</v>
      </c>
      <c r="I112" s="0" t="s">
        <v>64</v>
      </c>
      <c r="J112" s="0" t="s">
        <v>388</v>
      </c>
      <c r="K112" s="0" t="s">
        <v>377</v>
      </c>
    </row>
    <row r="113" customFormat="false" ht="15" hidden="false" customHeight="false" outlineLevel="0" collapsed="false">
      <c r="A113" s="0" t="s">
        <v>326</v>
      </c>
      <c r="B113" s="0" t="s">
        <v>389</v>
      </c>
      <c r="C113" s="0" t="s">
        <v>13</v>
      </c>
      <c r="D113" s="0" t="s">
        <v>78</v>
      </c>
      <c r="E113" s="0" t="s">
        <v>390</v>
      </c>
      <c r="F113" s="0" t="s">
        <v>71</v>
      </c>
      <c r="G113" s="0" t="n">
        <f aca="false">HYPERLINK("http://clipc-services.ceda.ac.uk/dreq/u/e49733975533eeec7407d54d8373b155.html","web")</f>
        <v>0</v>
      </c>
      <c r="H113" s="0" t="s">
        <v>63</v>
      </c>
      <c r="I113" s="0" t="s">
        <v>64</v>
      </c>
      <c r="J113" s="0" t="s">
        <v>376</v>
      </c>
      <c r="K113" s="0" t="s">
        <v>391</v>
      </c>
    </row>
    <row r="114" customFormat="false" ht="15" hidden="false" customHeight="false" outlineLevel="0" collapsed="false">
      <c r="A114" s="0" t="s">
        <v>326</v>
      </c>
      <c r="B114" s="0" t="s">
        <v>392</v>
      </c>
      <c r="C114" s="0" t="s">
        <v>13</v>
      </c>
      <c r="D114" s="0" t="s">
        <v>78</v>
      </c>
      <c r="E114" s="0" t="s">
        <v>393</v>
      </c>
      <c r="F114" s="0" t="s">
        <v>71</v>
      </c>
      <c r="G114" s="0" t="n">
        <f aca="false">HYPERLINK("http://clipc-services.ceda.ac.uk/dreq/u/1e4b4b00e55243dc7815c0ffc015faee.html","web")</f>
        <v>0</v>
      </c>
      <c r="H114" s="0" t="s">
        <v>63</v>
      </c>
      <c r="I114" s="0" t="s">
        <v>64</v>
      </c>
      <c r="J114" s="0" t="s">
        <v>376</v>
      </c>
      <c r="K114" s="0" t="s">
        <v>391</v>
      </c>
    </row>
    <row r="115" customFormat="false" ht="15" hidden="false" customHeight="false" outlineLevel="0" collapsed="false">
      <c r="A115" s="0" t="s">
        <v>326</v>
      </c>
      <c r="B115" s="0" t="s">
        <v>394</v>
      </c>
      <c r="C115" s="0" t="s">
        <v>13</v>
      </c>
      <c r="D115" s="0" t="s">
        <v>78</v>
      </c>
      <c r="E115" s="0" t="s">
        <v>395</v>
      </c>
      <c r="F115" s="0" t="s">
        <v>71</v>
      </c>
      <c r="G115" s="0" t="n">
        <f aca="false">HYPERLINK("http://clipc-services.ceda.ac.uk/dreq/u/9b53f7b02bc4f1e2af69632f52a18b28.html","web")</f>
        <v>0</v>
      </c>
      <c r="H115" s="0" t="s">
        <v>63</v>
      </c>
      <c r="I115" s="0" t="s">
        <v>64</v>
      </c>
      <c r="J115" s="0" t="s">
        <v>370</v>
      </c>
      <c r="K115" s="0" t="s">
        <v>391</v>
      </c>
    </row>
    <row r="116" customFormat="false" ht="15" hidden="false" customHeight="false" outlineLevel="0" collapsed="false">
      <c r="A116" s="0" t="s">
        <v>326</v>
      </c>
      <c r="B116" s="0" t="s">
        <v>396</v>
      </c>
      <c r="C116" s="0" t="s">
        <v>13</v>
      </c>
      <c r="D116" s="0" t="s">
        <v>78</v>
      </c>
      <c r="E116" s="0" t="s">
        <v>397</v>
      </c>
      <c r="F116" s="0" t="s">
        <v>71</v>
      </c>
      <c r="G116" s="0" t="n">
        <f aca="false">HYPERLINK("http://clipc-services.ceda.ac.uk/dreq/u/4d3400f4c74e9cd4d4100da7a915e6d9.html","web")</f>
        <v>0</v>
      </c>
      <c r="H116" s="0" t="s">
        <v>63</v>
      </c>
      <c r="I116" s="0" t="s">
        <v>64</v>
      </c>
      <c r="J116" s="0" t="s">
        <v>398</v>
      </c>
      <c r="K116" s="0" t="s">
        <v>377</v>
      </c>
    </row>
    <row r="117" customFormat="false" ht="15" hidden="false" customHeight="false" outlineLevel="0" collapsed="false">
      <c r="A117" s="0" t="s">
        <v>326</v>
      </c>
      <c r="B117" s="0" t="s">
        <v>399</v>
      </c>
      <c r="C117" s="0" t="s">
        <v>13</v>
      </c>
      <c r="D117" s="0" t="s">
        <v>78</v>
      </c>
      <c r="E117" s="0" t="s">
        <v>400</v>
      </c>
      <c r="F117" s="0" t="s">
        <v>71</v>
      </c>
      <c r="G117" s="0" t="n">
        <f aca="false">HYPERLINK("http://clipc-services.ceda.ac.uk/dreq/u/27f1a04b96a7ee0c588ad33c6e1f30fe.html","web")</f>
        <v>0</v>
      </c>
      <c r="H117" s="0" t="s">
        <v>63</v>
      </c>
      <c r="I117" s="0" t="s">
        <v>64</v>
      </c>
      <c r="J117" s="0" t="s">
        <v>401</v>
      </c>
      <c r="K117" s="0" t="s">
        <v>336</v>
      </c>
    </row>
    <row r="118" customFormat="false" ht="15" hidden="false" customHeight="false" outlineLevel="0" collapsed="false">
      <c r="A118" s="0" t="s">
        <v>326</v>
      </c>
      <c r="B118" s="0" t="s">
        <v>402</v>
      </c>
      <c r="C118" s="0" t="s">
        <v>13</v>
      </c>
      <c r="D118" s="0" t="s">
        <v>78</v>
      </c>
      <c r="E118" s="0" t="s">
        <v>403</v>
      </c>
      <c r="F118" s="0" t="s">
        <v>71</v>
      </c>
      <c r="G118" s="0" t="n">
        <f aca="false">HYPERLINK("http://clipc-services.ceda.ac.uk/dreq/u/754b682975aaa6baabc618db3903bba8.html","web")</f>
        <v>0</v>
      </c>
      <c r="H118" s="0" t="s">
        <v>63</v>
      </c>
      <c r="I118" s="0" t="s">
        <v>64</v>
      </c>
      <c r="J118" s="0" t="s">
        <v>398</v>
      </c>
      <c r="K118" s="0" t="s">
        <v>336</v>
      </c>
    </row>
    <row r="119" customFormat="false" ht="15" hidden="false" customHeight="false" outlineLevel="0" collapsed="false">
      <c r="A119" s="0" t="s">
        <v>326</v>
      </c>
      <c r="B119" s="0" t="s">
        <v>404</v>
      </c>
      <c r="C119" s="0" t="s">
        <v>13</v>
      </c>
      <c r="D119" s="0" t="s">
        <v>78</v>
      </c>
      <c r="E119" s="0" t="s">
        <v>405</v>
      </c>
      <c r="F119" s="0" t="s">
        <v>71</v>
      </c>
      <c r="G119" s="0" t="n">
        <f aca="false">HYPERLINK("http://clipc-services.ceda.ac.uk/dreq/u/280c4503513a8be95b5cbfc157615c6e.html","web")</f>
        <v>0</v>
      </c>
      <c r="H119" s="0" t="s">
        <v>63</v>
      </c>
      <c r="I119" s="0" t="s">
        <v>64</v>
      </c>
      <c r="J119" s="0" t="s">
        <v>398</v>
      </c>
      <c r="K119" s="0" t="s">
        <v>377</v>
      </c>
    </row>
    <row r="120" customFormat="false" ht="15" hidden="false" customHeight="false" outlineLevel="0" collapsed="false">
      <c r="A120" s="0" t="s">
        <v>326</v>
      </c>
      <c r="B120" s="0" t="s">
        <v>406</v>
      </c>
      <c r="C120" s="0" t="s">
        <v>13</v>
      </c>
      <c r="D120" s="0" t="s">
        <v>78</v>
      </c>
      <c r="E120" s="0" t="s">
        <v>407</v>
      </c>
      <c r="F120" s="0" t="s">
        <v>71</v>
      </c>
      <c r="G120" s="0" t="n">
        <f aca="false">HYPERLINK("http://clipc-services.ceda.ac.uk/dreq/u/96d843d6b5a59d1e53e07df9641def86.html","web")</f>
        <v>0</v>
      </c>
      <c r="H120" s="0" t="s">
        <v>63</v>
      </c>
      <c r="I120" s="0" t="s">
        <v>64</v>
      </c>
      <c r="J120" s="0" t="s">
        <v>398</v>
      </c>
      <c r="K120" s="0" t="s">
        <v>373</v>
      </c>
    </row>
    <row r="121" customFormat="false" ht="15" hidden="false" customHeight="false" outlineLevel="0" collapsed="false">
      <c r="A121" s="0" t="s">
        <v>326</v>
      </c>
      <c r="B121" s="0" t="s">
        <v>408</v>
      </c>
      <c r="C121" s="0" t="s">
        <v>13</v>
      </c>
      <c r="D121" s="0" t="s">
        <v>78</v>
      </c>
      <c r="E121" s="0" t="s">
        <v>409</v>
      </c>
      <c r="F121" s="0" t="s">
        <v>71</v>
      </c>
      <c r="G121" s="0" t="n">
        <f aca="false">HYPERLINK("http://clipc-services.ceda.ac.uk/dreq/u/811a140bb9962156e6c3cbc16a144f8d.html","web")</f>
        <v>0</v>
      </c>
      <c r="H121" s="0" t="s">
        <v>63</v>
      </c>
      <c r="I121" s="0" t="s">
        <v>64</v>
      </c>
      <c r="J121" s="0" t="s">
        <v>410</v>
      </c>
      <c r="K121" s="0" t="s">
        <v>336</v>
      </c>
    </row>
    <row r="122" customFormat="false" ht="15" hidden="false" customHeight="false" outlineLevel="0" collapsed="false">
      <c r="A122" s="0" t="s">
        <v>326</v>
      </c>
      <c r="B122" s="0" t="s">
        <v>411</v>
      </c>
      <c r="C122" s="0" t="s">
        <v>13</v>
      </c>
      <c r="D122" s="0" t="s">
        <v>204</v>
      </c>
      <c r="E122" s="0" t="s">
        <v>412</v>
      </c>
      <c r="F122" s="0" t="s">
        <v>413</v>
      </c>
      <c r="G122" s="0" t="n">
        <f aca="false">HYPERLINK("http://clipc-services.ceda.ac.uk/dreq/u/534001c2fd879bfda1d9b66d0a61144c.html","web")</f>
        <v>0</v>
      </c>
      <c r="H122" s="0" t="s">
        <v>63</v>
      </c>
      <c r="I122" s="0" t="s">
        <v>64</v>
      </c>
      <c r="J122" s="0" t="s">
        <v>414</v>
      </c>
      <c r="K122" s="0" t="s">
        <v>335</v>
      </c>
    </row>
    <row r="123" customFormat="false" ht="15" hidden="false" customHeight="false" outlineLevel="0" collapsed="false">
      <c r="A123" s="0" t="s">
        <v>326</v>
      </c>
      <c r="B123" s="0" t="s">
        <v>415</v>
      </c>
      <c r="C123" s="0" t="s">
        <v>13</v>
      </c>
      <c r="D123" s="0" t="s">
        <v>78</v>
      </c>
      <c r="E123" s="0" t="s">
        <v>416</v>
      </c>
      <c r="F123" s="0" t="s">
        <v>71</v>
      </c>
      <c r="G123" s="0" t="n">
        <f aca="false">HYPERLINK("http://clipc-services.ceda.ac.uk/dreq/u/0f732311bca54b8620535615258be52d.html","web")</f>
        <v>0</v>
      </c>
      <c r="H123" s="0" t="s">
        <v>63</v>
      </c>
      <c r="I123" s="0" t="s">
        <v>64</v>
      </c>
      <c r="J123" s="0" t="s">
        <v>398</v>
      </c>
      <c r="K123" s="0" t="s">
        <v>377</v>
      </c>
    </row>
    <row r="124" customFormat="false" ht="15" hidden="false" customHeight="false" outlineLevel="0" collapsed="false">
      <c r="A124" s="0" t="s">
        <v>326</v>
      </c>
      <c r="B124" s="0" t="s">
        <v>417</v>
      </c>
      <c r="C124" s="0" t="s">
        <v>13</v>
      </c>
      <c r="D124" s="0" t="s">
        <v>78</v>
      </c>
      <c r="E124" s="0" t="s">
        <v>418</v>
      </c>
      <c r="F124" s="0" t="s">
        <v>71</v>
      </c>
      <c r="G124" s="0" t="n">
        <f aca="false">HYPERLINK("http://clipc-services.ceda.ac.uk/dreq/u/9a6a4f8bd6adfd9c68cb6a7961f295ea.html","web")</f>
        <v>0</v>
      </c>
      <c r="H124" s="0" t="s">
        <v>63</v>
      </c>
      <c r="I124" s="0" t="s">
        <v>64</v>
      </c>
      <c r="J124" s="0" t="s">
        <v>419</v>
      </c>
      <c r="K124" s="0" t="s">
        <v>336</v>
      </c>
    </row>
    <row r="125" customFormat="false" ht="15" hidden="false" customHeight="false" outlineLevel="0" collapsed="false">
      <c r="A125" s="0" t="s">
        <v>326</v>
      </c>
      <c r="B125" s="0" t="s">
        <v>420</v>
      </c>
      <c r="C125" s="0" t="s">
        <v>13</v>
      </c>
      <c r="D125" s="0" t="s">
        <v>78</v>
      </c>
      <c r="E125" s="0" t="s">
        <v>421</v>
      </c>
      <c r="F125" s="0" t="s">
        <v>71</v>
      </c>
      <c r="G125" s="0" t="n">
        <f aca="false">HYPERLINK("http://clipc-services.ceda.ac.uk/dreq/u/523886b41b608ce9215833b0406b9c27.html","web")</f>
        <v>0</v>
      </c>
      <c r="H125" s="0" t="s">
        <v>63</v>
      </c>
      <c r="I125" s="0" t="s">
        <v>64</v>
      </c>
      <c r="J125" s="0" t="s">
        <v>422</v>
      </c>
      <c r="K125" s="0" t="s">
        <v>336</v>
      </c>
    </row>
    <row r="126" customFormat="false" ht="15" hidden="false" customHeight="false" outlineLevel="0" collapsed="false">
      <c r="A126" s="0" t="s">
        <v>326</v>
      </c>
      <c r="B126" s="0" t="s">
        <v>423</v>
      </c>
      <c r="C126" s="0" t="s">
        <v>13</v>
      </c>
      <c r="D126" s="0" t="s">
        <v>78</v>
      </c>
      <c r="E126" s="0" t="s">
        <v>424</v>
      </c>
      <c r="F126" s="0" t="s">
        <v>71</v>
      </c>
      <c r="G126" s="0" t="n">
        <f aca="false">HYPERLINK("http://clipc-services.ceda.ac.uk/dreq/u/e35112d35f6f5cc88e1ebceefbd09133.html","web")</f>
        <v>0</v>
      </c>
      <c r="H126" s="0" t="s">
        <v>63</v>
      </c>
      <c r="I126" s="0" t="s">
        <v>64</v>
      </c>
      <c r="J126" s="0" t="s">
        <v>398</v>
      </c>
      <c r="K126" s="0" t="s">
        <v>391</v>
      </c>
    </row>
    <row r="127" customFormat="false" ht="15" hidden="false" customHeight="false" outlineLevel="0" collapsed="false">
      <c r="A127" s="0" t="s">
        <v>326</v>
      </c>
      <c r="B127" s="0" t="s">
        <v>425</v>
      </c>
      <c r="C127" s="0" t="s">
        <v>13</v>
      </c>
      <c r="D127" s="0" t="s">
        <v>78</v>
      </c>
      <c r="E127" s="0" t="s">
        <v>426</v>
      </c>
      <c r="F127" s="0" t="s">
        <v>71</v>
      </c>
      <c r="G127" s="0" t="n">
        <f aca="false">HYPERLINK("http://clipc-services.ceda.ac.uk/dreq/u/e479e7abd9bcef1806494ce9b50f39b3.html","web")</f>
        <v>0</v>
      </c>
      <c r="H127" s="0" t="s">
        <v>63</v>
      </c>
      <c r="I127" s="0" t="s">
        <v>64</v>
      </c>
      <c r="J127" s="0" t="s">
        <v>427</v>
      </c>
      <c r="K127" s="0" t="s">
        <v>391</v>
      </c>
    </row>
    <row r="128" customFormat="false" ht="15" hidden="false" customHeight="false" outlineLevel="0" collapsed="false">
      <c r="A128" s="0" t="s">
        <v>326</v>
      </c>
      <c r="B128" s="0" t="s">
        <v>428</v>
      </c>
      <c r="C128" s="0" t="s">
        <v>13</v>
      </c>
      <c r="D128" s="0" t="s">
        <v>78</v>
      </c>
      <c r="E128" s="0" t="s">
        <v>429</v>
      </c>
      <c r="F128" s="0" t="s">
        <v>71</v>
      </c>
      <c r="G128" s="0" t="n">
        <f aca="false">HYPERLINK("http://clipc-services.ceda.ac.uk/dreq/u/377058633cbc6b6700caad600fb06009.html","web")</f>
        <v>0</v>
      </c>
      <c r="H128" s="0" t="s">
        <v>63</v>
      </c>
      <c r="I128" s="0" t="s">
        <v>64</v>
      </c>
      <c r="J128" s="0" t="s">
        <v>398</v>
      </c>
      <c r="K128" s="0" t="s">
        <v>391</v>
      </c>
    </row>
    <row r="129" customFormat="false" ht="15" hidden="false" customHeight="false" outlineLevel="0" collapsed="false">
      <c r="A129" s="0" t="s">
        <v>326</v>
      </c>
      <c r="B129" s="0" t="s">
        <v>430</v>
      </c>
      <c r="C129" s="0" t="s">
        <v>13</v>
      </c>
      <c r="D129" s="0" t="s">
        <v>78</v>
      </c>
      <c r="E129" s="0" t="s">
        <v>431</v>
      </c>
      <c r="F129" s="0" t="s">
        <v>71</v>
      </c>
      <c r="G129" s="0" t="n">
        <f aca="false">HYPERLINK("http://clipc-services.ceda.ac.uk/dreq/u/8198a7882dd91603f07b93e929ccdbd0.html","web")</f>
        <v>0</v>
      </c>
      <c r="H129" s="0" t="s">
        <v>63</v>
      </c>
      <c r="I129" s="0" t="s">
        <v>64</v>
      </c>
      <c r="J129" s="0" t="s">
        <v>432</v>
      </c>
      <c r="K129" s="0" t="s">
        <v>336</v>
      </c>
    </row>
    <row r="130" customFormat="false" ht="15" hidden="false" customHeight="false" outlineLevel="0" collapsed="false">
      <c r="A130" s="0" t="s">
        <v>326</v>
      </c>
      <c r="B130" s="0" t="s">
        <v>433</v>
      </c>
      <c r="C130" s="0" t="s">
        <v>13</v>
      </c>
      <c r="D130" s="0" t="s">
        <v>204</v>
      </c>
      <c r="E130" s="0" t="s">
        <v>434</v>
      </c>
      <c r="F130" s="0" t="s">
        <v>13</v>
      </c>
      <c r="G130" s="0" t="n">
        <f aca="false">HYPERLINK("http://clipc-services.ceda.ac.uk/dreq/u/a7cf325e9bf994ade073a1297378a57c.html","web")</f>
        <v>0</v>
      </c>
      <c r="H130" s="0" t="s">
        <v>63</v>
      </c>
      <c r="I130" s="0" t="s">
        <v>64</v>
      </c>
      <c r="J130" s="0" t="s">
        <v>435</v>
      </c>
      <c r="K130" s="0" t="s">
        <v>335</v>
      </c>
    </row>
    <row r="131" customFormat="false" ht="15" hidden="false" customHeight="false" outlineLevel="0" collapsed="false">
      <c r="A131" s="0" t="s">
        <v>326</v>
      </c>
      <c r="B131" s="0" t="s">
        <v>436</v>
      </c>
      <c r="C131" s="0" t="s">
        <v>13</v>
      </c>
      <c r="D131" s="0" t="s">
        <v>204</v>
      </c>
      <c r="E131" s="0" t="s">
        <v>437</v>
      </c>
      <c r="F131" s="0" t="s">
        <v>285</v>
      </c>
      <c r="G131" s="0" t="n">
        <f aca="false">HYPERLINK("http://clipc-services.ceda.ac.uk/dreq/u/fe6bdb96-a41f-11e5-9025-ac72891c3257.html","web")</f>
        <v>0</v>
      </c>
      <c r="H131" s="0" t="s">
        <v>63</v>
      </c>
      <c r="I131" s="0" t="s">
        <v>438</v>
      </c>
      <c r="J131" s="0" t="s">
        <v>286</v>
      </c>
      <c r="K131" s="0" t="s">
        <v>335</v>
      </c>
    </row>
    <row r="132" customFormat="false" ht="15" hidden="false" customHeight="false" outlineLevel="0" collapsed="false">
      <c r="A132" s="0" t="s">
        <v>326</v>
      </c>
      <c r="B132" s="0" t="s">
        <v>439</v>
      </c>
      <c r="C132" s="0" t="s">
        <v>13</v>
      </c>
      <c r="D132" s="0" t="s">
        <v>204</v>
      </c>
      <c r="E132" s="0" t="s">
        <v>440</v>
      </c>
      <c r="F132" s="0" t="s">
        <v>285</v>
      </c>
      <c r="G132" s="0" t="n">
        <f aca="false">HYPERLINK("http://clipc-services.ceda.ac.uk/dreq/u/07ae8a0c132c9bf65a2722885a2fcd08.html","web")</f>
        <v>0</v>
      </c>
      <c r="H132" s="0" t="s">
        <v>63</v>
      </c>
      <c r="I132" s="0" t="s">
        <v>64</v>
      </c>
      <c r="J132" s="0" t="s">
        <v>286</v>
      </c>
      <c r="K132" s="0" t="s">
        <v>335</v>
      </c>
    </row>
    <row r="133" customFormat="false" ht="15" hidden="false" customHeight="false" outlineLevel="0" collapsed="false">
      <c r="A133" s="0" t="s">
        <v>326</v>
      </c>
      <c r="B133" s="0" t="s">
        <v>441</v>
      </c>
      <c r="C133" s="0" t="s">
        <v>13</v>
      </c>
      <c r="D133" s="0" t="s">
        <v>204</v>
      </c>
      <c r="E133" s="0" t="s">
        <v>442</v>
      </c>
      <c r="F133" s="0" t="s">
        <v>285</v>
      </c>
      <c r="G133" s="0" t="n">
        <f aca="false">HYPERLINK("http://clipc-services.ceda.ac.uk/dreq/u/d9c1ba0b5e1b43f738cd1fbe4a765906.html","web")</f>
        <v>0</v>
      </c>
      <c r="H133" s="0" t="s">
        <v>63</v>
      </c>
      <c r="I133" s="0" t="s">
        <v>64</v>
      </c>
      <c r="J133" s="0" t="s">
        <v>443</v>
      </c>
      <c r="K133" s="0" t="s">
        <v>335</v>
      </c>
    </row>
    <row r="134" customFormat="false" ht="15" hidden="false" customHeight="false" outlineLevel="0" collapsed="false">
      <c r="A134" s="0" t="s">
        <v>326</v>
      </c>
      <c r="B134" s="0" t="s">
        <v>444</v>
      </c>
      <c r="C134" s="0" t="s">
        <v>13</v>
      </c>
      <c r="D134" s="0" t="s">
        <v>204</v>
      </c>
      <c r="E134" s="0" t="s">
        <v>445</v>
      </c>
      <c r="F134" s="0" t="s">
        <v>446</v>
      </c>
      <c r="G134" s="0" t="n">
        <f aca="false">HYPERLINK("http://clipc-services.ceda.ac.uk/dreq/u/dd6aa1c1ecadd98014d1c1a7bbcb0429.html","web")</f>
        <v>0</v>
      </c>
      <c r="H134" s="0" t="s">
        <v>63</v>
      </c>
      <c r="I134" s="0" t="s">
        <v>64</v>
      </c>
      <c r="J134" s="0" t="s">
        <v>447</v>
      </c>
      <c r="K134" s="0" t="s">
        <v>335</v>
      </c>
    </row>
    <row r="135" customFormat="false" ht="15" hidden="false" customHeight="false" outlineLevel="0" collapsed="false">
      <c r="A135" s="0" t="s">
        <v>326</v>
      </c>
      <c r="B135" s="0" t="s">
        <v>448</v>
      </c>
      <c r="C135" s="0" t="s">
        <v>13</v>
      </c>
      <c r="D135" s="0" t="s">
        <v>204</v>
      </c>
      <c r="E135" s="0" t="s">
        <v>449</v>
      </c>
      <c r="F135" s="0" t="s">
        <v>450</v>
      </c>
      <c r="G135" s="0" t="n">
        <f aca="false">HYPERLINK("http://clipc-services.ceda.ac.uk/dreq/u/83a106b1a10c23b2891aabceec43a873.html","web")</f>
        <v>0</v>
      </c>
      <c r="H135" s="0" t="s">
        <v>451</v>
      </c>
      <c r="I135" s="0" t="s">
        <v>347</v>
      </c>
      <c r="J135" s="0" t="s">
        <v>452</v>
      </c>
      <c r="K135" s="0" t="s">
        <v>335</v>
      </c>
    </row>
    <row r="136" customFormat="false" ht="15" hidden="false" customHeight="false" outlineLevel="0" collapsed="false">
      <c r="A136" s="0" t="s">
        <v>326</v>
      </c>
      <c r="B136" s="0" t="s">
        <v>453</v>
      </c>
      <c r="C136" s="0" t="s">
        <v>13</v>
      </c>
      <c r="D136" s="0" t="s">
        <v>204</v>
      </c>
      <c r="E136" s="0" t="s">
        <v>454</v>
      </c>
      <c r="F136" s="0" t="s">
        <v>450</v>
      </c>
      <c r="G136" s="0" t="n">
        <f aca="false">HYPERLINK("http://clipc-services.ceda.ac.uk/dreq/u/4b34ac408326ab2ca7b58f2ac846f3e5.html","web")</f>
        <v>0</v>
      </c>
      <c r="H136" s="0" t="s">
        <v>451</v>
      </c>
      <c r="I136" s="0" t="s">
        <v>347</v>
      </c>
      <c r="J136" s="0" t="s">
        <v>452</v>
      </c>
      <c r="K136" s="0" t="s">
        <v>335</v>
      </c>
    </row>
    <row r="137" customFormat="false" ht="15" hidden="false" customHeight="false" outlineLevel="0" collapsed="false">
      <c r="A137" s="0" t="s">
        <v>326</v>
      </c>
      <c r="B137" s="0" t="s">
        <v>455</v>
      </c>
      <c r="C137" s="0" t="s">
        <v>13</v>
      </c>
      <c r="D137" s="0" t="s">
        <v>204</v>
      </c>
      <c r="E137" s="0" t="s">
        <v>456</v>
      </c>
      <c r="F137" s="0" t="s">
        <v>324</v>
      </c>
      <c r="G137" s="0" t="n">
        <f aca="false">HYPERLINK("http://clipc-services.ceda.ac.uk/dreq/u/e3fdfe758c0165caf74dcbb2531c83b3.html","web")</f>
        <v>0</v>
      </c>
      <c r="H137" s="0" t="s">
        <v>63</v>
      </c>
      <c r="I137" s="0" t="s">
        <v>64</v>
      </c>
      <c r="J137" s="0" t="s">
        <v>457</v>
      </c>
      <c r="K137" s="0" t="s">
        <v>458</v>
      </c>
    </row>
    <row r="138" customFormat="false" ht="15" hidden="false" customHeight="false" outlineLevel="0" collapsed="false">
      <c r="A138" s="0" t="s">
        <v>326</v>
      </c>
      <c r="B138" s="0" t="s">
        <v>459</v>
      </c>
      <c r="C138" s="0" t="s">
        <v>13</v>
      </c>
      <c r="D138" s="0" t="s">
        <v>204</v>
      </c>
      <c r="E138" s="0" t="s">
        <v>460</v>
      </c>
      <c r="F138" s="0" t="s">
        <v>324</v>
      </c>
      <c r="G138" s="0" t="n">
        <f aca="false">HYPERLINK("http://clipc-services.ceda.ac.uk/dreq/u/d63c4dd912d79edc6221c0e09da24a79.html","web")</f>
        <v>0</v>
      </c>
      <c r="H138" s="0" t="s">
        <v>63</v>
      </c>
      <c r="I138" s="0" t="s">
        <v>64</v>
      </c>
      <c r="J138" s="0" t="s">
        <v>461</v>
      </c>
      <c r="K138" s="0" t="s">
        <v>462</v>
      </c>
    </row>
    <row r="139" customFormat="false" ht="15" hidden="false" customHeight="false" outlineLevel="0" collapsed="false">
      <c r="A139" s="0" t="s">
        <v>326</v>
      </c>
      <c r="B139" s="0" t="s">
        <v>463</v>
      </c>
      <c r="C139" s="0" t="s">
        <v>13</v>
      </c>
      <c r="D139" s="0" t="s">
        <v>204</v>
      </c>
      <c r="E139" s="0" t="s">
        <v>464</v>
      </c>
      <c r="F139" s="0" t="s">
        <v>324</v>
      </c>
      <c r="G139" s="0" t="n">
        <f aca="false">HYPERLINK("http://clipc-services.ceda.ac.uk/dreq/u/dcecb293537e640a0bfc8f88a92967fe.html","web")</f>
        <v>0</v>
      </c>
      <c r="H139" s="0" t="s">
        <v>63</v>
      </c>
      <c r="I139" s="0" t="s">
        <v>64</v>
      </c>
      <c r="J139" s="0" t="s">
        <v>465</v>
      </c>
      <c r="K139" s="0" t="s">
        <v>466</v>
      </c>
    </row>
    <row r="140" customFormat="false" ht="15" hidden="false" customHeight="false" outlineLevel="0" collapsed="false">
      <c r="A140" s="0" t="s">
        <v>326</v>
      </c>
      <c r="B140" s="0" t="s">
        <v>467</v>
      </c>
      <c r="C140" s="0" t="s">
        <v>13</v>
      </c>
      <c r="D140" s="0" t="s">
        <v>204</v>
      </c>
      <c r="E140" s="0" t="s">
        <v>468</v>
      </c>
      <c r="F140" s="0" t="s">
        <v>324</v>
      </c>
      <c r="G140" s="0" t="n">
        <f aca="false">HYPERLINK("http://clipc-services.ceda.ac.uk/dreq/u/fe6ccf42-a41f-11e5-9025-ac72891c3257.html","web")</f>
        <v>0</v>
      </c>
      <c r="H140" s="0" t="s">
        <v>63</v>
      </c>
      <c r="I140" s="0" t="s">
        <v>64</v>
      </c>
      <c r="J140" s="0" t="s">
        <v>469</v>
      </c>
      <c r="K140" s="0" t="s">
        <v>349</v>
      </c>
    </row>
    <row r="141" customFormat="false" ht="15" hidden="false" customHeight="false" outlineLevel="0" collapsed="false">
      <c r="A141" s="0" t="s">
        <v>326</v>
      </c>
      <c r="B141" s="0" t="s">
        <v>470</v>
      </c>
      <c r="C141" s="0" t="s">
        <v>13</v>
      </c>
      <c r="D141" s="0" t="s">
        <v>204</v>
      </c>
      <c r="E141" s="0" t="s">
        <v>471</v>
      </c>
      <c r="F141" s="0" t="s">
        <v>324</v>
      </c>
      <c r="G141" s="0" t="n">
        <f aca="false">HYPERLINK("http://clipc-services.ceda.ac.uk/dreq/u/11619ca70c37ffd25d5b234c03ca4d4f.html","web")</f>
        <v>0</v>
      </c>
      <c r="H141" s="0" t="s">
        <v>63</v>
      </c>
      <c r="I141" s="0" t="s">
        <v>64</v>
      </c>
      <c r="J141" s="0" t="s">
        <v>472</v>
      </c>
      <c r="K141" s="0" t="s">
        <v>473</v>
      </c>
    </row>
    <row r="142" customFormat="false" ht="15" hidden="false" customHeight="false" outlineLevel="0" collapsed="false">
      <c r="A142" s="0" t="s">
        <v>326</v>
      </c>
      <c r="B142" s="0" t="s">
        <v>474</v>
      </c>
      <c r="C142" s="0" t="s">
        <v>13</v>
      </c>
      <c r="D142" s="0" t="s">
        <v>204</v>
      </c>
      <c r="E142" s="0" t="s">
        <v>475</v>
      </c>
      <c r="F142" s="0" t="s">
        <v>324</v>
      </c>
      <c r="G142" s="0" t="n">
        <f aca="false">HYPERLINK("http://clipc-services.ceda.ac.uk/dreq/u/79433cf8854f00ee833d6c2979fa5eb1.html","web")</f>
        <v>0</v>
      </c>
      <c r="H142" s="0" t="s">
        <v>63</v>
      </c>
      <c r="I142" s="0" t="s">
        <v>64</v>
      </c>
      <c r="J142" s="0" t="s">
        <v>476</v>
      </c>
      <c r="K142" s="0" t="s">
        <v>473</v>
      </c>
    </row>
    <row r="143" customFormat="false" ht="15" hidden="false" customHeight="false" outlineLevel="0" collapsed="false">
      <c r="A143" s="0" t="s">
        <v>326</v>
      </c>
      <c r="B143" s="0" t="s">
        <v>477</v>
      </c>
      <c r="C143" s="0" t="s">
        <v>13</v>
      </c>
      <c r="D143" s="0" t="s">
        <v>204</v>
      </c>
      <c r="E143" s="0" t="s">
        <v>478</v>
      </c>
      <c r="F143" s="0" t="s">
        <v>324</v>
      </c>
      <c r="G143" s="0" t="n">
        <f aca="false">HYPERLINK("http://clipc-services.ceda.ac.uk/dreq/u/e3e6208c3cf8ae5ac917ee971cb42e29.html","web")</f>
        <v>0</v>
      </c>
      <c r="H143" s="0" t="s">
        <v>63</v>
      </c>
      <c r="I143" s="0" t="s">
        <v>64</v>
      </c>
      <c r="J143" s="0" t="s">
        <v>479</v>
      </c>
      <c r="K143" s="0" t="s">
        <v>335</v>
      </c>
    </row>
    <row r="144" customFormat="false" ht="15" hidden="false" customHeight="false" outlineLevel="0" collapsed="false">
      <c r="A144" s="0" t="s">
        <v>326</v>
      </c>
      <c r="B144" s="0" t="s">
        <v>480</v>
      </c>
      <c r="C144" s="0" t="s">
        <v>13</v>
      </c>
      <c r="D144" s="0" t="s">
        <v>204</v>
      </c>
      <c r="E144" s="0" t="s">
        <v>481</v>
      </c>
      <c r="F144" s="0" t="s">
        <v>324</v>
      </c>
      <c r="G144" s="0" t="n">
        <f aca="false">HYPERLINK("http://clipc-services.ceda.ac.uk/dreq/u/6aee2e2f22bb5a7a9aee1f88926dfd92.html","web")</f>
        <v>0</v>
      </c>
      <c r="H144" s="0" t="s">
        <v>63</v>
      </c>
      <c r="I144" s="0" t="s">
        <v>64</v>
      </c>
      <c r="J144" s="0" t="s">
        <v>482</v>
      </c>
      <c r="K144" s="0" t="s">
        <v>335</v>
      </c>
    </row>
    <row r="145" customFormat="false" ht="15" hidden="false" customHeight="false" outlineLevel="0" collapsed="false">
      <c r="A145" s="0" t="s">
        <v>326</v>
      </c>
      <c r="B145" s="0" t="s">
        <v>483</v>
      </c>
      <c r="C145" s="0" t="s">
        <v>13</v>
      </c>
      <c r="D145" s="0" t="s">
        <v>204</v>
      </c>
      <c r="E145" s="0" t="s">
        <v>484</v>
      </c>
      <c r="F145" s="0" t="s">
        <v>324</v>
      </c>
      <c r="G145" s="0" t="n">
        <f aca="false">HYPERLINK("http://clipc-services.ceda.ac.uk/dreq/u/4ff3e42362266bd75ad3bcfc785465a3.html","web")</f>
        <v>0</v>
      </c>
      <c r="H145" s="0" t="s">
        <v>63</v>
      </c>
      <c r="I145" s="0" t="s">
        <v>64</v>
      </c>
      <c r="J145" s="0" t="s">
        <v>485</v>
      </c>
      <c r="K145" s="0" t="s">
        <v>335</v>
      </c>
    </row>
    <row r="146" customFormat="false" ht="15" hidden="false" customHeight="false" outlineLevel="0" collapsed="false">
      <c r="A146" s="0" t="s">
        <v>326</v>
      </c>
      <c r="B146" s="0" t="s">
        <v>486</v>
      </c>
      <c r="C146" s="0" t="s">
        <v>13</v>
      </c>
      <c r="D146" s="0" t="s">
        <v>204</v>
      </c>
      <c r="E146" s="0" t="s">
        <v>487</v>
      </c>
      <c r="F146" s="0" t="s">
        <v>324</v>
      </c>
      <c r="G146" s="0" t="n">
        <f aca="false">HYPERLINK("http://clipc-services.ceda.ac.uk/dreq/u/fe6ca6e8-a41f-11e5-9025-ac72891c3257.html","web")</f>
        <v>0</v>
      </c>
      <c r="H146" s="0" t="s">
        <v>63</v>
      </c>
      <c r="I146" s="0" t="s">
        <v>64</v>
      </c>
      <c r="J146" s="0" t="s">
        <v>488</v>
      </c>
      <c r="K146" s="0" t="s">
        <v>462</v>
      </c>
    </row>
    <row r="147" customFormat="false" ht="15" hidden="false" customHeight="false" outlineLevel="0" collapsed="false">
      <c r="A147" s="0" t="s">
        <v>326</v>
      </c>
      <c r="B147" s="0" t="s">
        <v>489</v>
      </c>
      <c r="C147" s="0" t="s">
        <v>13</v>
      </c>
      <c r="D147" s="0" t="s">
        <v>204</v>
      </c>
      <c r="E147" s="0" t="s">
        <v>490</v>
      </c>
      <c r="F147" s="0" t="s">
        <v>324</v>
      </c>
      <c r="G147" s="0" t="n">
        <f aca="false">HYPERLINK("http://clipc-services.ceda.ac.uk/dreq/u/8c58644da8e357d61b70eac2a0afb4f9.html","web")</f>
        <v>0</v>
      </c>
      <c r="H147" s="0" t="s">
        <v>63</v>
      </c>
      <c r="I147" s="0" t="s">
        <v>64</v>
      </c>
      <c r="J147" s="0" t="s">
        <v>491</v>
      </c>
      <c r="K147" s="0" t="s">
        <v>473</v>
      </c>
    </row>
    <row r="148" customFormat="false" ht="15" hidden="false" customHeight="false" outlineLevel="0" collapsed="false">
      <c r="A148" s="0" t="s">
        <v>326</v>
      </c>
      <c r="B148" s="0" t="s">
        <v>492</v>
      </c>
      <c r="C148" s="0" t="s">
        <v>13</v>
      </c>
      <c r="D148" s="0" t="s">
        <v>204</v>
      </c>
      <c r="E148" s="0" t="s">
        <v>493</v>
      </c>
      <c r="F148" s="0" t="s">
        <v>324</v>
      </c>
      <c r="G148" s="0" t="n">
        <f aca="false">HYPERLINK("http://clipc-services.ceda.ac.uk/dreq/u/5980f8e283fd4709e4542c0652756dc1.html","web")</f>
        <v>0</v>
      </c>
      <c r="H148" s="0" t="s">
        <v>63</v>
      </c>
      <c r="I148" s="0" t="s">
        <v>64</v>
      </c>
      <c r="J148" s="0" t="s">
        <v>465</v>
      </c>
      <c r="K148" s="0" t="s">
        <v>466</v>
      </c>
    </row>
    <row r="149" customFormat="false" ht="15" hidden="false" customHeight="false" outlineLevel="0" collapsed="false">
      <c r="A149" s="0" t="s">
        <v>326</v>
      </c>
      <c r="B149" s="0" t="s">
        <v>494</v>
      </c>
      <c r="C149" s="0" t="s">
        <v>13</v>
      </c>
      <c r="D149" s="0" t="s">
        <v>204</v>
      </c>
      <c r="E149" s="0" t="s">
        <v>495</v>
      </c>
      <c r="F149" s="0" t="s">
        <v>285</v>
      </c>
      <c r="G149" s="0" t="n">
        <f aca="false">HYPERLINK("http://clipc-services.ceda.ac.uk/dreq/u/97bf948c-b896-11e6-a189-5404a60d96b5.html","web")</f>
        <v>0</v>
      </c>
      <c r="H149" s="0" t="s">
        <v>63</v>
      </c>
      <c r="I149" s="0" t="s">
        <v>64</v>
      </c>
      <c r="J149" s="0" t="s">
        <v>496</v>
      </c>
      <c r="K149" s="0" t="s">
        <v>335</v>
      </c>
    </row>
    <row r="150" customFormat="false" ht="15" hidden="false" customHeight="false" outlineLevel="0" collapsed="false">
      <c r="A150" s="0" t="s">
        <v>326</v>
      </c>
      <c r="B150" s="0" t="s">
        <v>497</v>
      </c>
      <c r="C150" s="0" t="s">
        <v>13</v>
      </c>
      <c r="D150" s="0" t="s">
        <v>204</v>
      </c>
      <c r="E150" s="0" t="s">
        <v>498</v>
      </c>
      <c r="F150" s="0" t="s">
        <v>285</v>
      </c>
      <c r="G150" s="0" t="n">
        <f aca="false">HYPERLINK("http://clipc-services.ceda.ac.uk/dreq/u/fe6ce54a-a41f-11e5-9025-ac72891c3257.html","web")</f>
        <v>0</v>
      </c>
      <c r="H150" s="0" t="s">
        <v>63</v>
      </c>
      <c r="I150" s="0" t="s">
        <v>64</v>
      </c>
      <c r="J150" s="0" t="s">
        <v>286</v>
      </c>
      <c r="K150" s="0" t="s">
        <v>335</v>
      </c>
    </row>
    <row r="151" customFormat="false" ht="15" hidden="false" customHeight="false" outlineLevel="0" collapsed="false">
      <c r="A151" s="0" t="s">
        <v>326</v>
      </c>
      <c r="B151" s="0" t="s">
        <v>499</v>
      </c>
      <c r="C151" s="0" t="s">
        <v>13</v>
      </c>
      <c r="D151" s="0" t="s">
        <v>204</v>
      </c>
      <c r="E151" s="0" t="s">
        <v>500</v>
      </c>
      <c r="F151" s="0" t="s">
        <v>285</v>
      </c>
      <c r="G151" s="0" t="n">
        <f aca="false">HYPERLINK("http://clipc-services.ceda.ac.uk/dreq/u/648f83bb87b09bb8c24aaf82bf3c9aef.html","web")</f>
        <v>0</v>
      </c>
      <c r="H151" s="0" t="s">
        <v>63</v>
      </c>
      <c r="I151" s="0" t="s">
        <v>64</v>
      </c>
      <c r="J151" s="0" t="s">
        <v>286</v>
      </c>
      <c r="K151" s="0" t="s">
        <v>335</v>
      </c>
    </row>
    <row r="152" customFormat="false" ht="15" hidden="false" customHeight="false" outlineLevel="0" collapsed="false">
      <c r="A152" s="0" t="s">
        <v>326</v>
      </c>
      <c r="B152" s="0" t="s">
        <v>282</v>
      </c>
      <c r="C152" s="0" t="s">
        <v>13</v>
      </c>
      <c r="D152" s="0" t="s">
        <v>204</v>
      </c>
      <c r="E152" s="0" t="s">
        <v>501</v>
      </c>
      <c r="F152" s="0" t="s">
        <v>285</v>
      </c>
      <c r="G152" s="0" t="n">
        <f aca="false">HYPERLINK("http://clipc-services.ceda.ac.uk/dreq/u/1d4594c97188efd47935238a429e02e4.html","web")</f>
        <v>0</v>
      </c>
      <c r="H152" s="0" t="s">
        <v>63</v>
      </c>
      <c r="I152" s="0" t="s">
        <v>64</v>
      </c>
      <c r="J152" s="0" t="s">
        <v>286</v>
      </c>
      <c r="K152" s="0" t="s">
        <v>335</v>
      </c>
    </row>
    <row r="153" customFormat="false" ht="15" hidden="false" customHeight="false" outlineLevel="0" collapsed="false">
      <c r="A153" s="0" t="s">
        <v>326</v>
      </c>
      <c r="B153" s="0" t="s">
        <v>502</v>
      </c>
      <c r="C153" s="0" t="s">
        <v>13</v>
      </c>
      <c r="D153" s="0" t="s">
        <v>204</v>
      </c>
      <c r="E153" s="0" t="s">
        <v>503</v>
      </c>
      <c r="F153" s="0" t="s">
        <v>450</v>
      </c>
      <c r="G153" s="0" t="n">
        <f aca="false">HYPERLINK("http://clipc-services.ceda.ac.uk/dreq/u/8f702d9afa69b3f0e0fb2a64470e12d8.html","web")</f>
        <v>0</v>
      </c>
      <c r="H153" s="0" t="s">
        <v>451</v>
      </c>
      <c r="I153" s="0" t="s">
        <v>347</v>
      </c>
      <c r="J153" s="0" t="s">
        <v>504</v>
      </c>
      <c r="K153" s="0" t="s">
        <v>335</v>
      </c>
    </row>
    <row r="154" customFormat="false" ht="15" hidden="false" customHeight="false" outlineLevel="0" collapsed="false">
      <c r="A154" s="0" t="s">
        <v>326</v>
      </c>
      <c r="B154" s="0" t="s">
        <v>505</v>
      </c>
      <c r="C154" s="0" t="s">
        <v>13</v>
      </c>
      <c r="D154" s="0" t="s">
        <v>204</v>
      </c>
      <c r="E154" s="0" t="s">
        <v>506</v>
      </c>
      <c r="F154" s="0" t="s">
        <v>450</v>
      </c>
      <c r="G154" s="0" t="n">
        <f aca="false">HYPERLINK("http://clipc-services.ceda.ac.uk/dreq/u/9799d95c5c691eec9bb4c1bf9b050191.html","web")</f>
        <v>0</v>
      </c>
      <c r="H154" s="0" t="s">
        <v>451</v>
      </c>
      <c r="I154" s="0" t="s">
        <v>347</v>
      </c>
      <c r="J154" s="0" t="s">
        <v>507</v>
      </c>
      <c r="K154" s="0" t="s">
        <v>335</v>
      </c>
    </row>
    <row r="155" customFormat="false" ht="15" hidden="false" customHeight="false" outlineLevel="0" collapsed="false">
      <c r="A155" s="0" t="s">
        <v>326</v>
      </c>
      <c r="B155" s="0" t="s">
        <v>508</v>
      </c>
      <c r="C155" s="0" t="s">
        <v>13</v>
      </c>
      <c r="D155" s="0" t="s">
        <v>204</v>
      </c>
      <c r="E155" s="0" t="s">
        <v>501</v>
      </c>
      <c r="F155" s="0" t="s">
        <v>285</v>
      </c>
      <c r="G155" s="0" t="n">
        <f aca="false">HYPERLINK("http://clipc-services.ceda.ac.uk/dreq/u/218a6b28-8995-11e6-b63d-5404a60d96b5.html","web")</f>
        <v>0</v>
      </c>
      <c r="H155" s="0" t="s">
        <v>63</v>
      </c>
      <c r="I155" s="0" t="s">
        <v>438</v>
      </c>
      <c r="J155" s="0" t="s">
        <v>509</v>
      </c>
      <c r="K155" s="0" t="s">
        <v>335</v>
      </c>
    </row>
    <row r="156" customFormat="false" ht="15" hidden="false" customHeight="false" outlineLevel="0" collapsed="false">
      <c r="A156" s="0" t="s">
        <v>326</v>
      </c>
      <c r="B156" s="0" t="s">
        <v>510</v>
      </c>
      <c r="C156" s="0" t="s">
        <v>13</v>
      </c>
      <c r="D156" s="0" t="s">
        <v>78</v>
      </c>
      <c r="E156" s="0" t="s">
        <v>511</v>
      </c>
      <c r="F156" s="0" t="s">
        <v>13</v>
      </c>
      <c r="G156" s="0" t="n">
        <f aca="false">HYPERLINK("http://clipc-services.ceda.ac.uk/dreq/u/c5331238e635e9c913da1eb247859206.html","web")</f>
        <v>0</v>
      </c>
      <c r="H156" s="0" t="s">
        <v>63</v>
      </c>
      <c r="I156" s="0" t="s">
        <v>64</v>
      </c>
      <c r="J156" s="0" t="s">
        <v>512</v>
      </c>
      <c r="K156" s="0" t="s">
        <v>513</v>
      </c>
    </row>
    <row r="157" customFormat="false" ht="15" hidden="false" customHeight="false" outlineLevel="0" collapsed="false">
      <c r="A157" s="0" t="s">
        <v>326</v>
      </c>
      <c r="B157" s="0" t="s">
        <v>514</v>
      </c>
      <c r="C157" s="0" t="s">
        <v>13</v>
      </c>
      <c r="D157" s="0" t="s">
        <v>328</v>
      </c>
      <c r="E157" s="0" t="s">
        <v>515</v>
      </c>
      <c r="F157" s="0" t="s">
        <v>13</v>
      </c>
      <c r="G157" s="0" t="n">
        <f aca="false">HYPERLINK("http://clipc-services.ceda.ac.uk/dreq/u/8f2fb9e812c26ee6cb8d9673e09d2644.html","web")</f>
        <v>0</v>
      </c>
      <c r="H157" s="0" t="s">
        <v>63</v>
      </c>
      <c r="I157" s="0" t="s">
        <v>64</v>
      </c>
      <c r="J157" s="0" t="s">
        <v>516</v>
      </c>
      <c r="K157" s="0" t="s">
        <v>331</v>
      </c>
    </row>
    <row r="158" customFormat="false" ht="15" hidden="false" customHeight="false" outlineLevel="0" collapsed="false">
      <c r="A158" s="0" t="s">
        <v>326</v>
      </c>
      <c r="B158" s="0" t="s">
        <v>517</v>
      </c>
      <c r="C158" s="0" t="s">
        <v>13</v>
      </c>
      <c r="D158" s="0" t="s">
        <v>328</v>
      </c>
      <c r="E158" s="0" t="s">
        <v>518</v>
      </c>
      <c r="F158" s="0" t="s">
        <v>13</v>
      </c>
      <c r="G158" s="0" t="n">
        <f aca="false">HYPERLINK("http://clipc-services.ceda.ac.uk/dreq/u/3a9ddc45d480891285324a10ce98bc62.html","web")</f>
        <v>0</v>
      </c>
      <c r="H158" s="0" t="s">
        <v>63</v>
      </c>
      <c r="I158" s="0" t="s">
        <v>64</v>
      </c>
      <c r="J158" s="0" t="s">
        <v>519</v>
      </c>
      <c r="K158" s="0" t="s">
        <v>513</v>
      </c>
    </row>
    <row r="159" customFormat="false" ht="15" hidden="false" customHeight="false" outlineLevel="0" collapsed="false">
      <c r="A159" s="0" t="s">
        <v>326</v>
      </c>
      <c r="B159" s="0" t="s">
        <v>520</v>
      </c>
      <c r="C159" s="0" t="s">
        <v>13</v>
      </c>
      <c r="D159" s="0" t="s">
        <v>328</v>
      </c>
      <c r="E159" s="0" t="s">
        <v>521</v>
      </c>
      <c r="F159" s="0" t="s">
        <v>13</v>
      </c>
      <c r="G159" s="0" t="n">
        <f aca="false">HYPERLINK("http://clipc-services.ceda.ac.uk/dreq/u/15f4ad18bed7c35304209c651ef3758a.html","web")</f>
        <v>0</v>
      </c>
      <c r="H159" s="0" t="s">
        <v>63</v>
      </c>
      <c r="I159" s="0" t="s">
        <v>64</v>
      </c>
      <c r="J159" s="0" t="s">
        <v>522</v>
      </c>
      <c r="K159" s="0" t="s">
        <v>513</v>
      </c>
    </row>
    <row r="160" customFormat="false" ht="15" hidden="false" customHeight="false" outlineLevel="0" collapsed="false">
      <c r="A160" s="0" t="s">
        <v>326</v>
      </c>
      <c r="B160" s="0" t="s">
        <v>523</v>
      </c>
      <c r="C160" s="0" t="s">
        <v>13</v>
      </c>
      <c r="D160" s="0" t="s">
        <v>328</v>
      </c>
      <c r="E160" s="0" t="s">
        <v>515</v>
      </c>
      <c r="F160" s="0" t="s">
        <v>13</v>
      </c>
      <c r="G160" s="0" t="n">
        <f aca="false">HYPERLINK("http://clipc-services.ceda.ac.uk/dreq/u/c9a72dd6-c5f0-11e6-ac20-5404a60d96b5.html","web")</f>
        <v>0</v>
      </c>
      <c r="H160" s="0" t="s">
        <v>63</v>
      </c>
      <c r="I160" s="0" t="s">
        <v>64</v>
      </c>
      <c r="J160" s="0" t="s">
        <v>524</v>
      </c>
      <c r="K160" s="0" t="s">
        <v>336</v>
      </c>
    </row>
    <row r="161" customFormat="false" ht="15" hidden="false" customHeight="false" outlineLevel="0" collapsed="false">
      <c r="A161" s="0" t="s">
        <v>326</v>
      </c>
      <c r="B161" s="0" t="s">
        <v>525</v>
      </c>
      <c r="C161" s="0" t="s">
        <v>13</v>
      </c>
      <c r="D161" s="0" t="s">
        <v>328</v>
      </c>
      <c r="E161" s="0" t="s">
        <v>526</v>
      </c>
      <c r="F161" s="0" t="s">
        <v>13</v>
      </c>
      <c r="G161" s="0" t="n">
        <f aca="false">HYPERLINK("http://clipc-services.ceda.ac.uk/dreq/u/6bc406259290f4e4beaaaf960455d779.html","web")</f>
        <v>0</v>
      </c>
      <c r="H161" s="0" t="s">
        <v>63</v>
      </c>
      <c r="I161" s="0" t="s">
        <v>64</v>
      </c>
      <c r="J161" s="0" t="s">
        <v>527</v>
      </c>
      <c r="K161" s="0" t="s">
        <v>528</v>
      </c>
    </row>
    <row r="162" customFormat="false" ht="15" hidden="false" customHeight="false" outlineLevel="0" collapsed="false">
      <c r="A162" s="0" t="s">
        <v>326</v>
      </c>
      <c r="B162" s="0" t="s">
        <v>529</v>
      </c>
      <c r="C162" s="0" t="s">
        <v>13</v>
      </c>
      <c r="D162" s="0" t="s">
        <v>328</v>
      </c>
      <c r="E162" s="0" t="s">
        <v>530</v>
      </c>
      <c r="F162" s="0" t="s">
        <v>13</v>
      </c>
      <c r="G162" s="0" t="n">
        <f aca="false">HYPERLINK("http://clipc-services.ceda.ac.uk/dreq/u/05aec7fe79d030ffc90a089a6a60b0f2.html","web")</f>
        <v>0</v>
      </c>
      <c r="H162" s="0" t="s">
        <v>63</v>
      </c>
      <c r="I162" s="0" t="s">
        <v>64</v>
      </c>
      <c r="J162" s="0" t="s">
        <v>531</v>
      </c>
      <c r="K162" s="0" t="s">
        <v>532</v>
      </c>
    </row>
    <row r="163" customFormat="false" ht="15" hidden="false" customHeight="false" outlineLevel="0" collapsed="false">
      <c r="A163" s="0" t="s">
        <v>326</v>
      </c>
      <c r="B163" s="0" t="s">
        <v>533</v>
      </c>
      <c r="C163" s="0" t="s">
        <v>13</v>
      </c>
      <c r="D163" s="0" t="s">
        <v>328</v>
      </c>
      <c r="E163" s="0" t="s">
        <v>534</v>
      </c>
      <c r="F163" s="0" t="s">
        <v>13</v>
      </c>
      <c r="G163" s="0" t="n">
        <f aca="false">HYPERLINK("http://clipc-services.ceda.ac.uk/dreq/u/9e383b9714070f2b9f44effca08f50ac.html","web")</f>
        <v>0</v>
      </c>
      <c r="H163" s="0" t="s">
        <v>63</v>
      </c>
      <c r="I163" s="0" t="s">
        <v>64</v>
      </c>
      <c r="J163" s="0" t="s">
        <v>535</v>
      </c>
      <c r="K163" s="0" t="s">
        <v>513</v>
      </c>
    </row>
    <row r="164" customFormat="false" ht="15" hidden="false" customHeight="false" outlineLevel="0" collapsed="false">
      <c r="A164" s="0" t="s">
        <v>326</v>
      </c>
      <c r="B164" s="0" t="s">
        <v>536</v>
      </c>
      <c r="C164" s="0" t="s">
        <v>13</v>
      </c>
      <c r="D164" s="0" t="s">
        <v>328</v>
      </c>
      <c r="E164" s="0" t="s">
        <v>537</v>
      </c>
      <c r="F164" s="0" t="s">
        <v>13</v>
      </c>
      <c r="G164" s="0" t="n">
        <f aca="false">HYPERLINK("http://clipc-services.ceda.ac.uk/dreq/u/88dbb9df33c0581eefa084932d25ad0a.html","web")</f>
        <v>0</v>
      </c>
      <c r="H164" s="0" t="s">
        <v>63</v>
      </c>
      <c r="I164" s="0" t="s">
        <v>64</v>
      </c>
      <c r="J164" s="0" t="s">
        <v>527</v>
      </c>
      <c r="K164" s="0" t="s">
        <v>513</v>
      </c>
    </row>
    <row r="165" customFormat="false" ht="15" hidden="false" customHeight="false" outlineLevel="0" collapsed="false">
      <c r="A165" s="0" t="s">
        <v>326</v>
      </c>
      <c r="B165" s="0" t="s">
        <v>538</v>
      </c>
      <c r="C165" s="0" t="s">
        <v>13</v>
      </c>
      <c r="D165" s="0" t="s">
        <v>328</v>
      </c>
      <c r="E165" s="0" t="s">
        <v>539</v>
      </c>
      <c r="F165" s="0" t="s">
        <v>13</v>
      </c>
      <c r="G165" s="0" t="n">
        <f aca="false">HYPERLINK("http://clipc-services.ceda.ac.uk/dreq/u/b9ca453bfa3c606401892e5768ca7d6c.html","web")</f>
        <v>0</v>
      </c>
      <c r="H165" s="0" t="s">
        <v>63</v>
      </c>
      <c r="I165" s="0" t="s">
        <v>64</v>
      </c>
      <c r="J165" s="0" t="s">
        <v>540</v>
      </c>
      <c r="K165" s="0" t="s">
        <v>528</v>
      </c>
    </row>
    <row r="166" customFormat="false" ht="15" hidden="false" customHeight="false" outlineLevel="0" collapsed="false">
      <c r="A166" s="0" t="s">
        <v>326</v>
      </c>
      <c r="B166" s="0" t="s">
        <v>541</v>
      </c>
      <c r="C166" s="0" t="s">
        <v>13</v>
      </c>
      <c r="D166" s="0" t="s">
        <v>328</v>
      </c>
      <c r="E166" s="0" t="s">
        <v>542</v>
      </c>
      <c r="F166" s="0" t="s">
        <v>13</v>
      </c>
      <c r="G166" s="0" t="n">
        <f aca="false">HYPERLINK("http://clipc-services.ceda.ac.uk/dreq/u/c682767d841fcdb714a3914519fabf93.html","web")</f>
        <v>0</v>
      </c>
      <c r="H166" s="0" t="s">
        <v>63</v>
      </c>
      <c r="I166" s="0" t="s">
        <v>64</v>
      </c>
      <c r="J166" s="0" t="s">
        <v>543</v>
      </c>
      <c r="K166" s="0" t="s">
        <v>513</v>
      </c>
    </row>
    <row r="167" customFormat="false" ht="15" hidden="false" customHeight="false" outlineLevel="0" collapsed="false">
      <c r="A167" s="0" t="s">
        <v>326</v>
      </c>
      <c r="B167" s="0" t="s">
        <v>544</v>
      </c>
      <c r="C167" s="0" t="s">
        <v>13</v>
      </c>
      <c r="D167" s="0" t="s">
        <v>328</v>
      </c>
      <c r="E167" s="0" t="s">
        <v>545</v>
      </c>
      <c r="F167" s="0" t="s">
        <v>13</v>
      </c>
      <c r="G167" s="0" t="n">
        <f aca="false">HYPERLINK("http://clipc-services.ceda.ac.uk/dreq/u/a4105b51d498d46985677801436e7649.html","web")</f>
        <v>0</v>
      </c>
      <c r="H167" s="0" t="s">
        <v>63</v>
      </c>
      <c r="I167" s="0" t="s">
        <v>64</v>
      </c>
      <c r="J167" s="0" t="s">
        <v>527</v>
      </c>
      <c r="K167" s="0" t="s">
        <v>513</v>
      </c>
    </row>
    <row r="168" customFormat="false" ht="15" hidden="false" customHeight="false" outlineLevel="0" collapsed="false">
      <c r="A168" s="0" t="s">
        <v>326</v>
      </c>
      <c r="B168" s="0" t="s">
        <v>546</v>
      </c>
      <c r="C168" s="0" t="s">
        <v>13</v>
      </c>
      <c r="D168" s="0" t="s">
        <v>78</v>
      </c>
      <c r="E168" s="0" t="s">
        <v>547</v>
      </c>
      <c r="F168" s="0" t="s">
        <v>13</v>
      </c>
      <c r="G168" s="0" t="n">
        <f aca="false">HYPERLINK("http://clipc-services.ceda.ac.uk/dreq/u/0a9c3f8ff6151a5baa8bb93d5a1fa090.html","web")</f>
        <v>0</v>
      </c>
      <c r="H168" s="0" t="s">
        <v>63</v>
      </c>
      <c r="I168" s="0" t="s">
        <v>64</v>
      </c>
      <c r="J168" s="0" t="s">
        <v>548</v>
      </c>
      <c r="K168" s="0" t="s">
        <v>377</v>
      </c>
    </row>
    <row r="169" customFormat="false" ht="15" hidden="false" customHeight="false" outlineLevel="0" collapsed="false">
      <c r="A169" s="0" t="s">
        <v>326</v>
      </c>
      <c r="B169" s="0" t="s">
        <v>549</v>
      </c>
      <c r="C169" s="0" t="s">
        <v>13</v>
      </c>
      <c r="D169" s="0" t="s">
        <v>204</v>
      </c>
      <c r="E169" s="0" t="s">
        <v>550</v>
      </c>
      <c r="F169" s="0" t="s">
        <v>285</v>
      </c>
      <c r="G169" s="0" t="n">
        <f aca="false">HYPERLINK("http://clipc-services.ceda.ac.uk/dreq/u/609d47152c2ed8122caa2528117aff9a.html","web")</f>
        <v>0</v>
      </c>
      <c r="H169" s="0" t="s">
        <v>63</v>
      </c>
      <c r="I169" s="0" t="s">
        <v>64</v>
      </c>
      <c r="J169" s="0" t="s">
        <v>286</v>
      </c>
      <c r="K169" s="0" t="s">
        <v>335</v>
      </c>
    </row>
    <row r="170" customFormat="false" ht="15" hidden="false" customHeight="false" outlineLevel="0" collapsed="false">
      <c r="A170" s="0" t="s">
        <v>326</v>
      </c>
      <c r="B170" s="0" t="s">
        <v>551</v>
      </c>
      <c r="C170" s="0" t="s">
        <v>13</v>
      </c>
      <c r="D170" s="0" t="s">
        <v>204</v>
      </c>
      <c r="E170" s="0" t="s">
        <v>552</v>
      </c>
      <c r="F170" s="0" t="s">
        <v>285</v>
      </c>
      <c r="G170" s="0" t="n">
        <f aca="false">HYPERLINK("http://clipc-services.ceda.ac.uk/dreq/u/586c3879af2023a43fd12c2e0a64b6af.html","web")</f>
        <v>0</v>
      </c>
      <c r="H170" s="0" t="s">
        <v>63</v>
      </c>
      <c r="I170" s="0" t="s">
        <v>64</v>
      </c>
      <c r="J170" s="0" t="s">
        <v>286</v>
      </c>
      <c r="K170" s="0" t="s">
        <v>335</v>
      </c>
    </row>
    <row r="171" customFormat="false" ht="15" hidden="false" customHeight="false" outlineLevel="0" collapsed="false">
      <c r="A171" s="0" t="s">
        <v>326</v>
      </c>
      <c r="B171" s="0" t="s">
        <v>112</v>
      </c>
      <c r="C171" s="0" t="s">
        <v>13</v>
      </c>
      <c r="D171" s="0" t="s">
        <v>113</v>
      </c>
      <c r="E171" s="0" t="s">
        <v>114</v>
      </c>
      <c r="F171" s="0" t="s">
        <v>90</v>
      </c>
      <c r="G171" s="0" t="n">
        <f aca="false">HYPERLINK("http://clipc-services.ceda.ac.uk/dreq/u/154ab10964742eaff37de9cc5beef39c.html","web")</f>
        <v>0</v>
      </c>
      <c r="H171" s="0" t="s">
        <v>63</v>
      </c>
      <c r="I171" s="0" t="s">
        <v>64</v>
      </c>
      <c r="J171" s="0" t="s">
        <v>115</v>
      </c>
      <c r="K171" s="0" t="s">
        <v>553</v>
      </c>
    </row>
    <row r="172" customFormat="false" ht="15" hidden="false" customHeight="false" outlineLevel="0" collapsed="false">
      <c r="A172" s="0" t="s">
        <v>326</v>
      </c>
      <c r="B172" s="0" t="s">
        <v>554</v>
      </c>
      <c r="C172" s="0" t="s">
        <v>13</v>
      </c>
      <c r="D172" s="0" t="s">
        <v>78</v>
      </c>
      <c r="E172" s="0" t="s">
        <v>555</v>
      </c>
      <c r="F172" s="0" t="s">
        <v>90</v>
      </c>
      <c r="G172" s="0" t="n">
        <f aca="false">HYPERLINK("http://clipc-services.ceda.ac.uk/dreq/u/1562cba76e80f37d1c133ccd079fa715.html","web")</f>
        <v>0</v>
      </c>
      <c r="H172" s="0" t="s">
        <v>63</v>
      </c>
      <c r="I172" s="0" t="s">
        <v>64</v>
      </c>
      <c r="J172" s="0" t="s">
        <v>556</v>
      </c>
      <c r="K172" s="0" t="s">
        <v>336</v>
      </c>
    </row>
    <row r="173" customFormat="false" ht="15" hidden="false" customHeight="false" outlineLevel="0" collapsed="false">
      <c r="A173" s="0" t="s">
        <v>326</v>
      </c>
      <c r="B173" s="0" t="s">
        <v>557</v>
      </c>
      <c r="C173" s="0" t="s">
        <v>13</v>
      </c>
      <c r="D173" s="0" t="s">
        <v>78</v>
      </c>
      <c r="E173" s="0" t="s">
        <v>558</v>
      </c>
      <c r="F173" s="0" t="s">
        <v>197</v>
      </c>
      <c r="G173" s="0" t="n">
        <f aca="false">HYPERLINK("http://clipc-services.ceda.ac.uk/dreq/u/c9a640b0-c5f0-11e6-ac20-5404a60d96b5.html","web")</f>
        <v>0</v>
      </c>
      <c r="H173" s="0" t="s">
        <v>559</v>
      </c>
      <c r="I173" s="0" t="s">
        <v>347</v>
      </c>
      <c r="J173" s="0" t="s">
        <v>560</v>
      </c>
      <c r="K173" s="0" t="s">
        <v>336</v>
      </c>
    </row>
    <row r="174" customFormat="false" ht="15" hidden="false" customHeight="false" outlineLevel="0" collapsed="false">
      <c r="A174" s="0" t="s">
        <v>326</v>
      </c>
      <c r="B174" s="0" t="s">
        <v>561</v>
      </c>
      <c r="C174" s="0" t="s">
        <v>13</v>
      </c>
      <c r="D174" s="0" t="s">
        <v>78</v>
      </c>
      <c r="E174" s="0" t="s">
        <v>562</v>
      </c>
      <c r="F174" s="0" t="s">
        <v>197</v>
      </c>
      <c r="G174" s="0" t="n">
        <f aca="false">HYPERLINK("http://clipc-services.ceda.ac.uk/dreq/u/c9a673b4-c5f0-11e6-ac20-5404a60d96b5.html","web")</f>
        <v>0</v>
      </c>
      <c r="H174" s="0" t="s">
        <v>563</v>
      </c>
      <c r="I174" s="0" t="s">
        <v>347</v>
      </c>
      <c r="J174" s="0" t="s">
        <v>564</v>
      </c>
      <c r="K174" s="0" t="s">
        <v>336</v>
      </c>
    </row>
    <row r="175" customFormat="false" ht="15" hidden="false" customHeight="false" outlineLevel="0" collapsed="false">
      <c r="A175" s="0" t="s">
        <v>326</v>
      </c>
      <c r="B175" s="0" t="s">
        <v>565</v>
      </c>
      <c r="C175" s="0" t="s">
        <v>13</v>
      </c>
      <c r="D175" s="0" t="s">
        <v>78</v>
      </c>
      <c r="E175" s="0" t="s">
        <v>566</v>
      </c>
      <c r="F175" s="0" t="s">
        <v>197</v>
      </c>
      <c r="G175" s="0" t="n">
        <f aca="false">HYPERLINK("http://clipc-services.ceda.ac.uk/dreq/u/c9a56fd2-c5f0-11e6-ac20-5404a60d96b5.html","web")</f>
        <v>0</v>
      </c>
      <c r="H175" s="0" t="s">
        <v>567</v>
      </c>
      <c r="I175" s="0" t="s">
        <v>347</v>
      </c>
      <c r="J175" s="0" t="s">
        <v>568</v>
      </c>
      <c r="K175" s="0" t="s">
        <v>569</v>
      </c>
    </row>
    <row r="176" customFormat="false" ht="15" hidden="false" customHeight="false" outlineLevel="0" collapsed="false">
      <c r="A176" s="0" t="s">
        <v>326</v>
      </c>
      <c r="B176" s="0" t="s">
        <v>570</v>
      </c>
      <c r="C176" s="0" t="s">
        <v>13</v>
      </c>
      <c r="D176" s="0" t="s">
        <v>78</v>
      </c>
      <c r="E176" s="0" t="s">
        <v>571</v>
      </c>
      <c r="F176" s="0" t="s">
        <v>197</v>
      </c>
      <c r="G176" s="0" t="n">
        <f aca="false">HYPERLINK("http://clipc-services.ceda.ac.uk/dreq/u/c9a70b4e-c5f0-11e6-ac20-5404a60d96b5.html","web")</f>
        <v>0</v>
      </c>
      <c r="H176" s="0" t="s">
        <v>567</v>
      </c>
      <c r="I176" s="0" t="s">
        <v>347</v>
      </c>
      <c r="J176" s="0" t="s">
        <v>572</v>
      </c>
      <c r="K176" s="0" t="s">
        <v>569</v>
      </c>
    </row>
    <row r="177" customFormat="false" ht="15" hidden="false" customHeight="false" outlineLevel="0" collapsed="false">
      <c r="A177" s="0" t="s">
        <v>326</v>
      </c>
      <c r="B177" s="0" t="s">
        <v>573</v>
      </c>
      <c r="C177" s="0" t="s">
        <v>13</v>
      </c>
      <c r="D177" s="0" t="s">
        <v>204</v>
      </c>
      <c r="E177" s="0" t="s">
        <v>574</v>
      </c>
      <c r="F177" s="0" t="s">
        <v>285</v>
      </c>
      <c r="G177" s="0" t="n">
        <f aca="false">HYPERLINK("http://clipc-services.ceda.ac.uk/dreq/u/8b3a5d37fefe0337625c64455cea4e80.html","web")</f>
        <v>0</v>
      </c>
      <c r="H177" s="0" t="s">
        <v>63</v>
      </c>
      <c r="I177" s="0" t="s">
        <v>64</v>
      </c>
      <c r="J177" s="0" t="s">
        <v>286</v>
      </c>
      <c r="K177" s="0" t="s">
        <v>575</v>
      </c>
    </row>
    <row r="178" customFormat="false" ht="15" hidden="false" customHeight="false" outlineLevel="0" collapsed="false">
      <c r="A178" s="0" t="s">
        <v>326</v>
      </c>
      <c r="B178" s="0" t="s">
        <v>576</v>
      </c>
      <c r="C178" s="0" t="s">
        <v>13</v>
      </c>
      <c r="D178" s="0" t="s">
        <v>78</v>
      </c>
      <c r="E178" s="0" t="s">
        <v>577</v>
      </c>
      <c r="F178" s="0" t="s">
        <v>578</v>
      </c>
      <c r="G178" s="0" t="n">
        <f aca="false">HYPERLINK("http://clipc-services.ceda.ac.uk/dreq/u/cff597224d260da1a1c769aab1bbea9d.html","web")</f>
        <v>0</v>
      </c>
      <c r="H178" s="0" t="s">
        <v>63</v>
      </c>
      <c r="I178" s="0" t="s">
        <v>64</v>
      </c>
      <c r="J178" s="0" t="s">
        <v>556</v>
      </c>
      <c r="K178" s="0" t="s">
        <v>336</v>
      </c>
    </row>
    <row r="179" customFormat="false" ht="15" hidden="false" customHeight="false" outlineLevel="0" collapsed="false">
      <c r="A179" s="0" t="s">
        <v>326</v>
      </c>
      <c r="B179" s="0" t="s">
        <v>579</v>
      </c>
      <c r="C179" s="0" t="s">
        <v>13</v>
      </c>
      <c r="D179" s="0" t="s">
        <v>78</v>
      </c>
      <c r="E179" s="0" t="s">
        <v>580</v>
      </c>
      <c r="F179" s="0" t="s">
        <v>54</v>
      </c>
      <c r="G179" s="0" t="n">
        <f aca="false">HYPERLINK("http://clipc-services.ceda.ac.uk/dreq/u/79fec430c1dca1ac4b48b0fc36c48449.html","web")</f>
        <v>0</v>
      </c>
      <c r="H179" s="0" t="s">
        <v>63</v>
      </c>
      <c r="I179" s="0" t="s">
        <v>64</v>
      </c>
      <c r="J179" s="0" t="s">
        <v>581</v>
      </c>
      <c r="K179" s="0" t="s">
        <v>336</v>
      </c>
    </row>
    <row r="180" customFormat="false" ht="15" hidden="false" customHeight="false" outlineLevel="0" collapsed="false">
      <c r="A180" s="0" t="s">
        <v>326</v>
      </c>
      <c r="B180" s="0" t="s">
        <v>582</v>
      </c>
      <c r="C180" s="0" t="s">
        <v>13</v>
      </c>
      <c r="D180" s="0" t="s">
        <v>78</v>
      </c>
      <c r="E180" s="0" t="s">
        <v>583</v>
      </c>
      <c r="F180" s="0" t="s">
        <v>54</v>
      </c>
      <c r="G180" s="0" t="n">
        <f aca="false">HYPERLINK("http://clipc-services.ceda.ac.uk/dreq/u/4b1f3e86dde718e8c9697df0c3992c06.html","web")</f>
        <v>0</v>
      </c>
      <c r="H180" s="0" t="s">
        <v>63</v>
      </c>
      <c r="I180" s="0" t="s">
        <v>64</v>
      </c>
      <c r="J180" s="0" t="s">
        <v>584</v>
      </c>
      <c r="K180" s="0" t="s">
        <v>336</v>
      </c>
    </row>
    <row r="181" customFormat="false" ht="15" hidden="false" customHeight="false" outlineLevel="0" collapsed="false">
      <c r="A181" s="0" t="s">
        <v>326</v>
      </c>
      <c r="B181" s="0" t="s">
        <v>585</v>
      </c>
      <c r="C181" s="0" t="s">
        <v>13</v>
      </c>
      <c r="D181" s="0" t="s">
        <v>78</v>
      </c>
      <c r="E181" s="0" t="s">
        <v>586</v>
      </c>
      <c r="F181" s="0" t="s">
        <v>71</v>
      </c>
      <c r="G181" s="0" t="n">
        <f aca="false">HYPERLINK("http://clipc-services.ceda.ac.uk/dreq/u/0b3fc46bf32dfbd9d36cdb72e827eb29.html","web")</f>
        <v>0</v>
      </c>
      <c r="H181" s="0" t="s">
        <v>63</v>
      </c>
      <c r="I181" s="0" t="s">
        <v>64</v>
      </c>
      <c r="J181" s="0" t="s">
        <v>587</v>
      </c>
      <c r="K181" s="0" t="s">
        <v>336</v>
      </c>
    </row>
    <row r="182" customFormat="false" ht="15" hidden="false" customHeight="false" outlineLevel="0" collapsed="false">
      <c r="A182" s="0" t="s">
        <v>326</v>
      </c>
      <c r="B182" s="0" t="s">
        <v>588</v>
      </c>
      <c r="C182" s="0" t="s">
        <v>13</v>
      </c>
      <c r="D182" s="0" t="s">
        <v>78</v>
      </c>
      <c r="E182" s="0" t="s">
        <v>589</v>
      </c>
      <c r="F182" s="0" t="s">
        <v>71</v>
      </c>
      <c r="G182" s="0" t="n">
        <f aca="false">HYPERLINK("http://clipc-services.ceda.ac.uk/dreq/u/0f914086f4c1cd76f867eef7cd71154d.html","web")</f>
        <v>0</v>
      </c>
      <c r="H182" s="0" t="s">
        <v>63</v>
      </c>
      <c r="I182" s="0" t="s">
        <v>64</v>
      </c>
      <c r="J182" s="0" t="s">
        <v>587</v>
      </c>
      <c r="K182" s="0" t="s">
        <v>373</v>
      </c>
    </row>
    <row r="183" customFormat="false" ht="15" hidden="false" customHeight="false" outlineLevel="0" collapsed="false">
      <c r="A183" s="0" t="s">
        <v>326</v>
      </c>
      <c r="B183" s="0" t="s">
        <v>590</v>
      </c>
      <c r="C183" s="0" t="s">
        <v>13</v>
      </c>
      <c r="D183" s="0" t="s">
        <v>78</v>
      </c>
      <c r="E183" s="0" t="s">
        <v>591</v>
      </c>
      <c r="F183" s="0" t="s">
        <v>71</v>
      </c>
      <c r="G183" s="0" t="n">
        <f aca="false">HYPERLINK("http://clipc-services.ceda.ac.uk/dreq/u/aa4309c2c15be0c9d7db2f9d38f348ca.html","web")</f>
        <v>0</v>
      </c>
      <c r="H183" s="0" t="s">
        <v>63</v>
      </c>
      <c r="I183" s="0" t="s">
        <v>64</v>
      </c>
      <c r="J183" s="0" t="s">
        <v>592</v>
      </c>
      <c r="K183" s="0" t="s">
        <v>336</v>
      </c>
    </row>
    <row r="184" customFormat="false" ht="15" hidden="false" customHeight="false" outlineLevel="0" collapsed="false">
      <c r="A184" s="0" t="s">
        <v>326</v>
      </c>
      <c r="B184" s="0" t="s">
        <v>593</v>
      </c>
      <c r="C184" s="0" t="s">
        <v>13</v>
      </c>
      <c r="D184" s="0" t="s">
        <v>78</v>
      </c>
      <c r="E184" s="0" t="s">
        <v>594</v>
      </c>
      <c r="F184" s="0" t="s">
        <v>71</v>
      </c>
      <c r="G184" s="0" t="n">
        <f aca="false">HYPERLINK("http://clipc-services.ceda.ac.uk/dreq/u/86b2899d1c267c92e3fbaccd21b55472.html","web")</f>
        <v>0</v>
      </c>
      <c r="H184" s="0" t="s">
        <v>63</v>
      </c>
      <c r="I184" s="0" t="s">
        <v>64</v>
      </c>
      <c r="J184" s="0" t="s">
        <v>587</v>
      </c>
      <c r="K184" s="0" t="s">
        <v>377</v>
      </c>
    </row>
    <row r="185" customFormat="false" ht="15" hidden="false" customHeight="false" outlineLevel="0" collapsed="false">
      <c r="A185" s="0" t="s">
        <v>326</v>
      </c>
      <c r="B185" s="0" t="s">
        <v>595</v>
      </c>
      <c r="C185" s="0" t="s">
        <v>13</v>
      </c>
      <c r="D185" s="0" t="s">
        <v>78</v>
      </c>
      <c r="E185" s="0" t="s">
        <v>596</v>
      </c>
      <c r="F185" s="0" t="s">
        <v>71</v>
      </c>
      <c r="G185" s="0" t="n">
        <f aca="false">HYPERLINK("http://clipc-services.ceda.ac.uk/dreq/u/ecfae3e2adc49321ec4c9d664fd425ec.html","web")</f>
        <v>0</v>
      </c>
      <c r="H185" s="0" t="s">
        <v>63</v>
      </c>
      <c r="I185" s="0" t="s">
        <v>64</v>
      </c>
      <c r="J185" s="0" t="s">
        <v>597</v>
      </c>
      <c r="K185" s="0" t="s">
        <v>336</v>
      </c>
    </row>
    <row r="186" customFormat="false" ht="15" hidden="false" customHeight="false" outlineLevel="0" collapsed="false">
      <c r="A186" s="0" t="s">
        <v>326</v>
      </c>
      <c r="B186" s="0" t="s">
        <v>598</v>
      </c>
      <c r="C186" s="0" t="s">
        <v>13</v>
      </c>
      <c r="D186" s="0" t="s">
        <v>78</v>
      </c>
      <c r="E186" s="0" t="s">
        <v>599</v>
      </c>
      <c r="F186" s="0" t="s">
        <v>71</v>
      </c>
      <c r="G186" s="0" t="n">
        <f aca="false">HYPERLINK("http://clipc-services.ceda.ac.uk/dreq/u/646edc2e8f1c393b5569dba5d598f8c8.html","web")</f>
        <v>0</v>
      </c>
      <c r="H186" s="0" t="s">
        <v>63</v>
      </c>
      <c r="I186" s="0" t="s">
        <v>64</v>
      </c>
      <c r="J186" s="0" t="s">
        <v>600</v>
      </c>
      <c r="K186" s="0" t="s">
        <v>336</v>
      </c>
    </row>
    <row r="187" customFormat="false" ht="15" hidden="false" customHeight="false" outlineLevel="0" collapsed="false">
      <c r="A187" s="0" t="s">
        <v>326</v>
      </c>
      <c r="B187" s="0" t="s">
        <v>601</v>
      </c>
      <c r="C187" s="0" t="s">
        <v>13</v>
      </c>
      <c r="D187" s="0" t="s">
        <v>78</v>
      </c>
      <c r="E187" s="0" t="s">
        <v>602</v>
      </c>
      <c r="F187" s="0" t="s">
        <v>71</v>
      </c>
      <c r="G187" s="0" t="n">
        <f aca="false">HYPERLINK("http://clipc-services.ceda.ac.uk/dreq/u/c670517b02de6212f3091aaa455f60ed.html","web")</f>
        <v>0</v>
      </c>
      <c r="H187" s="0" t="s">
        <v>63</v>
      </c>
      <c r="I187" s="0" t="s">
        <v>64</v>
      </c>
      <c r="J187" s="0" t="s">
        <v>603</v>
      </c>
      <c r="K187" s="0" t="s">
        <v>391</v>
      </c>
    </row>
    <row r="188" customFormat="false" ht="15" hidden="false" customHeight="false" outlineLevel="0" collapsed="false">
      <c r="A188" s="0" t="s">
        <v>326</v>
      </c>
      <c r="B188" s="0" t="s">
        <v>604</v>
      </c>
      <c r="C188" s="0" t="s">
        <v>13</v>
      </c>
      <c r="D188" s="0" t="s">
        <v>78</v>
      </c>
      <c r="E188" s="0" t="s">
        <v>605</v>
      </c>
      <c r="F188" s="0" t="s">
        <v>71</v>
      </c>
      <c r="G188" s="0" t="n">
        <f aca="false">HYPERLINK("http://clipc-services.ceda.ac.uk/dreq/u/a3383a3abeddbcb0d27368a8cf9b9503.html","web")</f>
        <v>0</v>
      </c>
      <c r="H188" s="0" t="s">
        <v>63</v>
      </c>
      <c r="I188" s="0" t="s">
        <v>64</v>
      </c>
      <c r="J188" s="0" t="s">
        <v>606</v>
      </c>
      <c r="K188" s="0" t="s">
        <v>391</v>
      </c>
    </row>
    <row r="189" customFormat="false" ht="15" hidden="false" customHeight="false" outlineLevel="0" collapsed="false">
      <c r="A189" s="0" t="s">
        <v>326</v>
      </c>
      <c r="B189" s="0" t="s">
        <v>607</v>
      </c>
      <c r="C189" s="0" t="s">
        <v>13</v>
      </c>
      <c r="D189" s="0" t="s">
        <v>78</v>
      </c>
      <c r="E189" s="0" t="s">
        <v>608</v>
      </c>
      <c r="F189" s="0" t="s">
        <v>71</v>
      </c>
      <c r="G189" s="0" t="n">
        <f aca="false">HYPERLINK("http://clipc-services.ceda.ac.uk/dreq/u/c97520628498eea6e19cc1be19c73677.html","web")</f>
        <v>0</v>
      </c>
      <c r="H189" s="0" t="s">
        <v>63</v>
      </c>
      <c r="I189" s="0" t="s">
        <v>64</v>
      </c>
      <c r="J189" s="0" t="s">
        <v>587</v>
      </c>
      <c r="K189" s="0" t="s">
        <v>391</v>
      </c>
    </row>
    <row r="190" customFormat="false" ht="15" hidden="false" customHeight="false" outlineLevel="0" collapsed="false">
      <c r="A190" s="0" t="s">
        <v>326</v>
      </c>
      <c r="B190" s="0" t="s">
        <v>609</v>
      </c>
      <c r="C190" s="0" t="s">
        <v>13</v>
      </c>
      <c r="D190" s="0" t="s">
        <v>78</v>
      </c>
      <c r="E190" s="0" t="s">
        <v>610</v>
      </c>
      <c r="F190" s="0" t="s">
        <v>54</v>
      </c>
      <c r="G190" s="0" t="n">
        <f aca="false">HYPERLINK("http://clipc-services.ceda.ac.uk/dreq/u/228d3ad84f6db126c53ac4ae0a18a014.html","web")</f>
        <v>0</v>
      </c>
      <c r="H190" s="0" t="s">
        <v>63</v>
      </c>
      <c r="I190" s="0" t="s">
        <v>64</v>
      </c>
      <c r="J190" s="0" t="s">
        <v>556</v>
      </c>
      <c r="K190" s="0" t="s">
        <v>336</v>
      </c>
    </row>
    <row r="192" customFormat="false" ht="15" hidden="false" customHeight="false" outlineLevel="0" collapsed="false">
      <c r="A192" s="0" t="s">
        <v>611</v>
      </c>
      <c r="B192" s="0" t="s">
        <v>93</v>
      </c>
      <c r="C192" s="0" t="s">
        <v>13</v>
      </c>
      <c r="D192" s="0" t="s">
        <v>160</v>
      </c>
      <c r="E192" s="0" t="s">
        <v>94</v>
      </c>
      <c r="F192" s="0" t="s">
        <v>16</v>
      </c>
      <c r="G192" s="0" t="n">
        <f aca="false">HYPERLINK("http://clipc-services.ceda.ac.uk/dreq/u/ce9ab9b945fcc86013ad10431d8f252e.html","web")</f>
        <v>0</v>
      </c>
      <c r="H192" s="0" t="s">
        <v>95</v>
      </c>
      <c r="I192" s="0" t="s">
        <v>81</v>
      </c>
      <c r="J192" s="0" t="s">
        <v>96</v>
      </c>
      <c r="K192" s="0" t="s">
        <v>612</v>
      </c>
    </row>
    <row r="193" customFormat="false" ht="15" hidden="false" customHeight="false" outlineLevel="0" collapsed="false">
      <c r="A193" s="0" t="s">
        <v>611</v>
      </c>
      <c r="B193" s="0" t="s">
        <v>97</v>
      </c>
      <c r="C193" s="0" t="s">
        <v>13</v>
      </c>
      <c r="D193" s="0" t="s">
        <v>613</v>
      </c>
      <c r="E193" s="0" t="s">
        <v>215</v>
      </c>
      <c r="F193" s="0" t="s">
        <v>16</v>
      </c>
      <c r="G193" s="0" t="n">
        <f aca="false">HYPERLINK("http://clipc-services.ceda.ac.uk/dreq/u/0bbbf303ac691061a69938846f32b23b.html","web")</f>
        <v>0</v>
      </c>
      <c r="H193" s="0" t="s">
        <v>100</v>
      </c>
      <c r="I193" s="0" t="s">
        <v>81</v>
      </c>
      <c r="J193" s="0" t="s">
        <v>101</v>
      </c>
      <c r="K193" s="0" t="s">
        <v>612</v>
      </c>
    </row>
    <row r="194" customFormat="false" ht="15" hidden="false" customHeight="false" outlineLevel="0" collapsed="false">
      <c r="A194" s="0" t="s">
        <v>611</v>
      </c>
      <c r="B194" s="0" t="s">
        <v>102</v>
      </c>
      <c r="C194" s="0" t="s">
        <v>13</v>
      </c>
      <c r="D194" s="0" t="s">
        <v>614</v>
      </c>
      <c r="E194" s="0" t="s">
        <v>104</v>
      </c>
      <c r="F194" s="0" t="s">
        <v>16</v>
      </c>
      <c r="G194" s="0" t="n">
        <f aca="false">HYPERLINK("http://clipc-services.ceda.ac.uk/dreq/u/fe9d4b45792f7d6430fe2a9c9b7234b1.html","web")</f>
        <v>0</v>
      </c>
      <c r="H194" s="0" t="s">
        <v>105</v>
      </c>
      <c r="I194" s="0" t="s">
        <v>81</v>
      </c>
      <c r="J194" s="0" t="s">
        <v>106</v>
      </c>
      <c r="K194" s="0" t="s">
        <v>612</v>
      </c>
    </row>
    <row r="195" customFormat="false" ht="15" hidden="false" customHeight="false" outlineLevel="0" collapsed="false">
      <c r="A195" s="0" t="s">
        <v>611</v>
      </c>
      <c r="B195" s="0" t="s">
        <v>107</v>
      </c>
      <c r="C195" s="0" t="s">
        <v>13</v>
      </c>
      <c r="D195" s="0" t="s">
        <v>615</v>
      </c>
      <c r="E195" s="0" t="s">
        <v>109</v>
      </c>
      <c r="F195" s="0" t="s">
        <v>16</v>
      </c>
      <c r="G195" s="0" t="n">
        <f aca="false">HYPERLINK("http://clipc-services.ceda.ac.uk/dreq/u/7308096ae00ff52340909b2a59415f82.html","web")</f>
        <v>0</v>
      </c>
      <c r="H195" s="0" t="s">
        <v>110</v>
      </c>
      <c r="I195" s="0" t="s">
        <v>81</v>
      </c>
      <c r="J195" s="0" t="s">
        <v>111</v>
      </c>
      <c r="K195" s="0" t="s">
        <v>612</v>
      </c>
    </row>
    <row r="196" customFormat="false" ht="15" hidden="false" customHeight="false" outlineLevel="0" collapsed="false">
      <c r="A196" s="0" t="s">
        <v>611</v>
      </c>
      <c r="B196" s="0" t="s">
        <v>570</v>
      </c>
      <c r="C196" s="0" t="s">
        <v>13</v>
      </c>
      <c r="D196" s="0" t="s">
        <v>160</v>
      </c>
      <c r="E196" s="0" t="s">
        <v>571</v>
      </c>
      <c r="F196" s="0" t="s">
        <v>197</v>
      </c>
      <c r="G196" s="0" t="n">
        <f aca="false">HYPERLINK("http://clipc-services.ceda.ac.uk/dreq/u/c9a70b4e-c5f0-11e6-ac20-5404a60d96b5.html","web")</f>
        <v>0</v>
      </c>
      <c r="H196" s="0" t="s">
        <v>567</v>
      </c>
      <c r="I196" s="0" t="s">
        <v>347</v>
      </c>
      <c r="J196" s="0" t="s">
        <v>572</v>
      </c>
      <c r="K196" s="0" t="s">
        <v>616</v>
      </c>
    </row>
    <row r="197" customFormat="false" ht="15" hidden="false" customHeight="false" outlineLevel="0" collapsed="false">
      <c r="A197" s="0" t="s">
        <v>611</v>
      </c>
      <c r="B197" s="0" t="s">
        <v>617</v>
      </c>
      <c r="C197" s="0" t="s">
        <v>13</v>
      </c>
      <c r="D197" s="0" t="s">
        <v>160</v>
      </c>
      <c r="E197" s="0" t="s">
        <v>618</v>
      </c>
      <c r="F197" s="0" t="s">
        <v>197</v>
      </c>
      <c r="G197" s="0" t="n">
        <f aca="false">HYPERLINK("http://clipc-services.ceda.ac.uk/dreq/u/590daf66-9e49-11e5-803c-0d0b866b59f3.html","web")</f>
        <v>0</v>
      </c>
      <c r="H197" s="0" t="s">
        <v>563</v>
      </c>
      <c r="I197" s="0" t="s">
        <v>347</v>
      </c>
      <c r="J197" s="0" t="s">
        <v>619</v>
      </c>
      <c r="K197" s="0" t="s">
        <v>616</v>
      </c>
    </row>
    <row r="198" customFormat="false" ht="15" hidden="false" customHeight="false" outlineLevel="0" collapsed="false">
      <c r="A198" s="0" t="s">
        <v>611</v>
      </c>
      <c r="B198" s="0" t="s">
        <v>620</v>
      </c>
      <c r="C198" s="0" t="s">
        <v>13</v>
      </c>
      <c r="D198" s="0" t="s">
        <v>160</v>
      </c>
      <c r="E198" s="0" t="s">
        <v>621</v>
      </c>
      <c r="F198" s="0" t="s">
        <v>197</v>
      </c>
      <c r="G198" s="0" t="n">
        <f aca="false">HYPERLINK("http://clipc-services.ceda.ac.uk/dreq/u/90df05fe3dcd9fe0c9b48aaa74b5e9e.html","web")</f>
        <v>0</v>
      </c>
      <c r="H198" s="0" t="s">
        <v>622</v>
      </c>
      <c r="I198" s="0" t="s">
        <v>347</v>
      </c>
      <c r="J198" s="0" t="s">
        <v>623</v>
      </c>
      <c r="K198" s="0" t="s">
        <v>616</v>
      </c>
    </row>
    <row r="199" customFormat="false" ht="15" hidden="false" customHeight="false" outlineLevel="0" collapsed="false">
      <c r="A199" s="0" t="s">
        <v>611</v>
      </c>
      <c r="B199" s="0" t="s">
        <v>624</v>
      </c>
      <c r="C199" s="0" t="s">
        <v>13</v>
      </c>
      <c r="D199" s="0" t="s">
        <v>160</v>
      </c>
      <c r="E199" s="0" t="s">
        <v>625</v>
      </c>
      <c r="F199" s="0" t="s">
        <v>626</v>
      </c>
      <c r="G199" s="0" t="n">
        <f aca="false">HYPERLINK("http://clipc-services.ceda.ac.uk/dreq/u/9c35e2ac-a0de-11e6-bc63-ac72891c3257.html","web")</f>
        <v>0</v>
      </c>
      <c r="H199" s="0" t="s">
        <v>627</v>
      </c>
      <c r="I199" s="0" t="s">
        <v>56</v>
      </c>
      <c r="J199" s="0" t="s">
        <v>628</v>
      </c>
      <c r="K199" s="0" t="s">
        <v>616</v>
      </c>
    </row>
    <row r="200" customFormat="false" ht="15" hidden="false" customHeight="false" outlineLevel="0" collapsed="false">
      <c r="A200" s="0" t="s">
        <v>611</v>
      </c>
      <c r="B200" s="0" t="s">
        <v>302</v>
      </c>
      <c r="C200" s="0" t="s">
        <v>13</v>
      </c>
      <c r="D200" s="0" t="s">
        <v>629</v>
      </c>
      <c r="E200" s="0" t="s">
        <v>353</v>
      </c>
      <c r="F200" s="0" t="s">
        <v>285</v>
      </c>
      <c r="G200" s="0" t="n">
        <f aca="false">HYPERLINK("http://clipc-services.ceda.ac.uk/dreq/u/7f4c49e8abe3230e87fa7299b73448fa.html","web")</f>
        <v>0</v>
      </c>
      <c r="H200" s="0" t="s">
        <v>63</v>
      </c>
      <c r="I200" s="0" t="s">
        <v>64</v>
      </c>
      <c r="J200" s="0" t="s">
        <v>286</v>
      </c>
      <c r="K200" s="0" t="s">
        <v>616</v>
      </c>
    </row>
    <row r="201" customFormat="false" ht="15" hidden="false" customHeight="false" outlineLevel="0" collapsed="false">
      <c r="A201" s="0" t="s">
        <v>611</v>
      </c>
      <c r="B201" s="0" t="s">
        <v>291</v>
      </c>
      <c r="C201" s="0" t="s">
        <v>13</v>
      </c>
      <c r="D201" s="0" t="s">
        <v>629</v>
      </c>
      <c r="E201" s="0" t="s">
        <v>365</v>
      </c>
      <c r="F201" s="0" t="s">
        <v>285</v>
      </c>
      <c r="G201" s="0" t="n">
        <f aca="false">HYPERLINK("http://clipc-services.ceda.ac.uk/dreq/u/9bb9a503065dfbd30c9bbe5c3c6abf99.html","web")</f>
        <v>0</v>
      </c>
      <c r="H201" s="0" t="s">
        <v>63</v>
      </c>
      <c r="I201" s="0" t="s">
        <v>64</v>
      </c>
      <c r="J201" s="0" t="s">
        <v>286</v>
      </c>
      <c r="K201" s="0" t="s">
        <v>616</v>
      </c>
    </row>
    <row r="202" customFormat="false" ht="15" hidden="false" customHeight="false" outlineLevel="0" collapsed="false">
      <c r="A202" s="0" t="s">
        <v>611</v>
      </c>
      <c r="B202" s="0" t="s">
        <v>282</v>
      </c>
      <c r="C202" s="0" t="s">
        <v>13</v>
      </c>
      <c r="D202" s="0" t="s">
        <v>629</v>
      </c>
      <c r="E202" s="0" t="s">
        <v>501</v>
      </c>
      <c r="F202" s="0" t="s">
        <v>285</v>
      </c>
      <c r="G202" s="0" t="n">
        <f aca="false">HYPERLINK("http://clipc-services.ceda.ac.uk/dreq/u/1d4594c97188efd47935238a429e02e4.html","web")</f>
        <v>0</v>
      </c>
      <c r="H202" s="0" t="s">
        <v>63</v>
      </c>
      <c r="I202" s="0" t="s">
        <v>64</v>
      </c>
      <c r="J202" s="0" t="s">
        <v>286</v>
      </c>
      <c r="K202" s="0" t="s">
        <v>616</v>
      </c>
    </row>
    <row r="204" customFormat="false" ht="15" hidden="false" customHeight="false" outlineLevel="0" collapsed="false">
      <c r="A204" s="0" t="s">
        <v>630</v>
      </c>
      <c r="B204" s="0" t="s">
        <v>312</v>
      </c>
      <c r="C204" s="0" t="s">
        <v>631</v>
      </c>
      <c r="D204" s="0" t="s">
        <v>160</v>
      </c>
      <c r="E204" s="0" t="s">
        <v>313</v>
      </c>
      <c r="F204" s="0" t="s">
        <v>54</v>
      </c>
      <c r="G204" s="0" t="n">
        <f aca="false">HYPERLINK("http://clipc-services.ceda.ac.uk/dreq/u/590e3c7e-9e49-11e5-803c-0d0b866b59f3.html","web")</f>
        <v>0</v>
      </c>
      <c r="H204" s="0" t="s">
        <v>63</v>
      </c>
      <c r="I204" s="0" t="s">
        <v>64</v>
      </c>
      <c r="J204" s="0" t="s">
        <v>314</v>
      </c>
      <c r="K204" s="0" t="s">
        <v>632</v>
      </c>
    </row>
    <row r="205" customFormat="false" ht="15" hidden="false" customHeight="false" outlineLevel="0" collapsed="false">
      <c r="A205" s="0" t="s">
        <v>630</v>
      </c>
      <c r="B205" s="0" t="s">
        <v>203</v>
      </c>
      <c r="C205" s="0" t="s">
        <v>631</v>
      </c>
      <c r="D205" s="0" t="s">
        <v>629</v>
      </c>
      <c r="E205" s="0" t="s">
        <v>205</v>
      </c>
      <c r="F205" s="0" t="s">
        <v>206</v>
      </c>
      <c r="G205" s="0" t="n">
        <f aca="false">HYPERLINK("http://clipc-services.ceda.ac.uk/dreq/u/c8b1814845661bcad37910e70a59b285.html","web")</f>
        <v>0</v>
      </c>
      <c r="H205" s="0" t="s">
        <v>207</v>
      </c>
      <c r="I205" s="0" t="s">
        <v>208</v>
      </c>
      <c r="J205" s="0" t="s">
        <v>205</v>
      </c>
      <c r="K205" s="0" t="s">
        <v>632</v>
      </c>
    </row>
    <row r="207" customFormat="false" ht="15" hidden="false" customHeight="false" outlineLevel="0" collapsed="false">
      <c r="A207" s="0" t="s">
        <v>633</v>
      </c>
      <c r="B207" s="0" t="s">
        <v>634</v>
      </c>
      <c r="C207" s="0" t="s">
        <v>13</v>
      </c>
      <c r="D207" s="0" t="s">
        <v>78</v>
      </c>
      <c r="E207" s="0" t="s">
        <v>635</v>
      </c>
      <c r="F207" s="0" t="s">
        <v>54</v>
      </c>
      <c r="G207" s="0" t="n">
        <f aca="false">HYPERLINK("http://clipc-services.ceda.ac.uk/dreq/u/f70b088300f35ad3b19c67d2490612dd.html","web")</f>
        <v>0</v>
      </c>
      <c r="H207" s="0" t="s">
        <v>63</v>
      </c>
      <c r="I207" s="0" t="s">
        <v>64</v>
      </c>
      <c r="J207" s="0" t="s">
        <v>636</v>
      </c>
      <c r="K207" s="0" t="s">
        <v>66</v>
      </c>
    </row>
    <row r="208" customFormat="false" ht="15" hidden="false" customHeight="false" outlineLevel="0" collapsed="false">
      <c r="A208" s="0" t="s">
        <v>633</v>
      </c>
      <c r="B208" s="0" t="s">
        <v>637</v>
      </c>
      <c r="C208" s="0" t="s">
        <v>13</v>
      </c>
      <c r="D208" s="0" t="s">
        <v>78</v>
      </c>
      <c r="E208" s="0" t="s">
        <v>638</v>
      </c>
      <c r="F208" s="0" t="s">
        <v>54</v>
      </c>
      <c r="G208" s="0" t="n">
        <f aca="false">HYPERLINK("http://clipc-services.ceda.ac.uk/dreq/u/a503e8c8011c952b0b832e6074ad387d.html","web")</f>
        <v>0</v>
      </c>
      <c r="H208" s="0" t="s">
        <v>63</v>
      </c>
      <c r="I208" s="0" t="s">
        <v>64</v>
      </c>
      <c r="J208" s="0" t="s">
        <v>639</v>
      </c>
      <c r="K208" s="0" t="s">
        <v>66</v>
      </c>
    </row>
    <row r="209" customFormat="false" ht="15" hidden="false" customHeight="false" outlineLevel="0" collapsed="false">
      <c r="A209" s="0" t="s">
        <v>633</v>
      </c>
      <c r="B209" s="0" t="s">
        <v>514</v>
      </c>
      <c r="C209" s="0" t="s">
        <v>13</v>
      </c>
      <c r="D209" s="0" t="s">
        <v>328</v>
      </c>
      <c r="E209" s="0" t="s">
        <v>515</v>
      </c>
      <c r="F209" s="0" t="s">
        <v>13</v>
      </c>
      <c r="G209" s="0" t="n">
        <f aca="false">HYPERLINK("http://clipc-services.ceda.ac.uk/dreq/u/8f2fb9e812c26ee6cb8d9673e09d2644.html","web")</f>
        <v>0</v>
      </c>
      <c r="H209" s="0" t="s">
        <v>63</v>
      </c>
      <c r="I209" s="0" t="s">
        <v>64</v>
      </c>
      <c r="J209" s="0" t="s">
        <v>516</v>
      </c>
      <c r="K209" s="0" t="s">
        <v>66</v>
      </c>
    </row>
    <row r="210" customFormat="false" ht="15" hidden="false" customHeight="false" outlineLevel="0" collapsed="false">
      <c r="A210" s="0" t="s">
        <v>633</v>
      </c>
      <c r="B210" s="0" t="s">
        <v>640</v>
      </c>
      <c r="C210" s="0" t="s">
        <v>13</v>
      </c>
      <c r="D210" s="0" t="s">
        <v>78</v>
      </c>
      <c r="E210" s="0" t="s">
        <v>641</v>
      </c>
      <c r="F210" s="0" t="s">
        <v>285</v>
      </c>
      <c r="G210" s="0" t="n">
        <f aca="false">HYPERLINK("http://clipc-services.ceda.ac.uk/dreq/u/0656a67a-b896-11e6-a189-5404a60d96b5.html","web")</f>
        <v>0</v>
      </c>
      <c r="H210" s="0" t="s">
        <v>63</v>
      </c>
      <c r="I210" s="0" t="s">
        <v>64</v>
      </c>
      <c r="J210" s="0" t="s">
        <v>286</v>
      </c>
      <c r="K210" s="0" t="s">
        <v>66</v>
      </c>
    </row>
    <row r="211" customFormat="false" ht="15" hidden="false" customHeight="false" outlineLevel="0" collapsed="false">
      <c r="A211" s="0" t="s">
        <v>633</v>
      </c>
      <c r="B211" s="0" t="s">
        <v>579</v>
      </c>
      <c r="C211" s="0" t="s">
        <v>13</v>
      </c>
      <c r="D211" s="0" t="s">
        <v>78</v>
      </c>
      <c r="E211" s="0" t="s">
        <v>642</v>
      </c>
      <c r="F211" s="0" t="s">
        <v>54</v>
      </c>
      <c r="G211" s="0" t="n">
        <f aca="false">HYPERLINK("http://clipc-services.ceda.ac.uk/dreq/u/79fec430c1dca1ac4b48b0fc36c48449.html","web")</f>
        <v>0</v>
      </c>
      <c r="H211" s="0" t="s">
        <v>63</v>
      </c>
      <c r="I211" s="0" t="s">
        <v>64</v>
      </c>
      <c r="J211" s="0" t="s">
        <v>581</v>
      </c>
      <c r="K211" s="0" t="s">
        <v>66</v>
      </c>
    </row>
    <row r="213" customFormat="false" ht="15" hidden="false" customHeight="false" outlineLevel="0" collapsed="false">
      <c r="A213" s="0" t="s">
        <v>643</v>
      </c>
      <c r="B213" s="0" t="s">
        <v>644</v>
      </c>
      <c r="C213" s="0" t="s">
        <v>13</v>
      </c>
      <c r="D213" s="0" t="s">
        <v>78</v>
      </c>
      <c r="E213" s="0" t="s">
        <v>645</v>
      </c>
      <c r="F213" s="0" t="s">
        <v>13</v>
      </c>
      <c r="G213" s="0" t="n">
        <f aca="false">HYPERLINK("http://clipc-services.ceda.ac.uk/dreq/u/6c3e8db1b45a6ae7e80ca5a265c0fd50.html","web")</f>
        <v>0</v>
      </c>
      <c r="H213" s="0" t="s">
        <v>121</v>
      </c>
      <c r="I213" s="0" t="s">
        <v>122</v>
      </c>
      <c r="J213" s="0" t="s">
        <v>646</v>
      </c>
      <c r="K213" s="0" t="s">
        <v>647</v>
      </c>
    </row>
    <row r="214" customFormat="false" ht="15" hidden="false" customHeight="false" outlineLevel="0" collapsed="false">
      <c r="A214" s="0" t="s">
        <v>643</v>
      </c>
      <c r="B214" s="0" t="s">
        <v>648</v>
      </c>
      <c r="C214" s="0" t="s">
        <v>13</v>
      </c>
      <c r="D214" s="0" t="s">
        <v>649</v>
      </c>
      <c r="E214" s="0" t="s">
        <v>650</v>
      </c>
      <c r="F214" s="0" t="s">
        <v>49</v>
      </c>
      <c r="G214" s="0" t="n">
        <f aca="false">HYPERLINK("http://clipc-services.ceda.ac.uk/dreq/u/5914640a-9e49-11e5-803c-0d0b866b59f3.html","web")</f>
        <v>0</v>
      </c>
      <c r="H214" s="0" t="s">
        <v>651</v>
      </c>
      <c r="I214" s="0" t="s">
        <v>122</v>
      </c>
      <c r="J214" s="0" t="s">
        <v>652</v>
      </c>
      <c r="K214" s="0" t="s">
        <v>647</v>
      </c>
    </row>
    <row r="215" customFormat="false" ht="15" hidden="false" customHeight="false" outlineLevel="0" collapsed="false">
      <c r="A215" s="0" t="s">
        <v>643</v>
      </c>
      <c r="B215" s="0" t="s">
        <v>653</v>
      </c>
      <c r="C215" s="0" t="s">
        <v>13</v>
      </c>
      <c r="D215" s="0" t="s">
        <v>78</v>
      </c>
      <c r="E215" s="0" t="s">
        <v>654</v>
      </c>
      <c r="F215" s="0" t="s">
        <v>49</v>
      </c>
      <c r="G215" s="0" t="n">
        <f aca="false">HYPERLINK("http://clipc-services.ceda.ac.uk/dreq/u/c23a39645d860d5a2d7f34ea91d1fd82.html","web")</f>
        <v>0</v>
      </c>
      <c r="H215" s="0" t="s">
        <v>655</v>
      </c>
      <c r="I215" s="0" t="s">
        <v>347</v>
      </c>
      <c r="J215" s="0" t="s">
        <v>656</v>
      </c>
      <c r="K215" s="0" t="s">
        <v>612</v>
      </c>
    </row>
    <row r="216" customFormat="false" ht="15" hidden="false" customHeight="false" outlineLevel="0" collapsed="false">
      <c r="A216" s="0" t="s">
        <v>643</v>
      </c>
      <c r="B216" s="0" t="s">
        <v>657</v>
      </c>
      <c r="C216" s="0" t="s">
        <v>13</v>
      </c>
      <c r="D216" s="0" t="s">
        <v>78</v>
      </c>
      <c r="E216" s="0" t="s">
        <v>658</v>
      </c>
      <c r="F216" s="0" t="s">
        <v>90</v>
      </c>
      <c r="G216" s="0" t="n">
        <f aca="false">HYPERLINK("http://clipc-services.ceda.ac.uk/dreq/u/590ea93e-9e49-11e5-803c-0d0b866b59f3.html","web")</f>
        <v>0</v>
      </c>
      <c r="H216" s="0" t="s">
        <v>659</v>
      </c>
      <c r="I216" s="0" t="s">
        <v>56</v>
      </c>
      <c r="J216" s="0" t="s">
        <v>660</v>
      </c>
      <c r="K216" s="0" t="s">
        <v>661</v>
      </c>
    </row>
    <row r="217" customFormat="false" ht="15" hidden="false" customHeight="false" outlineLevel="0" collapsed="false">
      <c r="A217" s="0" t="s">
        <v>643</v>
      </c>
      <c r="B217" s="0" t="s">
        <v>662</v>
      </c>
      <c r="C217" s="0" t="s">
        <v>13</v>
      </c>
      <c r="D217" s="0" t="s">
        <v>78</v>
      </c>
      <c r="E217" s="0" t="s">
        <v>663</v>
      </c>
      <c r="F217" s="0" t="s">
        <v>90</v>
      </c>
      <c r="G217" s="0" t="n">
        <f aca="false">HYPERLINK("http://clipc-services.ceda.ac.uk/dreq/u/590f5b72-9e49-11e5-803c-0d0b866b59f3.html","web")</f>
        <v>0</v>
      </c>
      <c r="H217" s="0" t="s">
        <v>664</v>
      </c>
      <c r="I217" s="0" t="s">
        <v>56</v>
      </c>
      <c r="J217" s="0" t="s">
        <v>665</v>
      </c>
      <c r="K217" s="0" t="s">
        <v>661</v>
      </c>
    </row>
    <row r="218" customFormat="false" ht="15" hidden="false" customHeight="false" outlineLevel="0" collapsed="false">
      <c r="A218" s="0" t="s">
        <v>643</v>
      </c>
      <c r="B218" s="0" t="s">
        <v>666</v>
      </c>
      <c r="C218" s="0" t="s">
        <v>13</v>
      </c>
      <c r="D218" s="0" t="s">
        <v>78</v>
      </c>
      <c r="E218" s="0" t="s">
        <v>667</v>
      </c>
      <c r="F218" s="0" t="s">
        <v>71</v>
      </c>
      <c r="G218" s="0" t="n">
        <f aca="false">HYPERLINK("http://clipc-services.ceda.ac.uk/dreq/u/81f029ba-b63d-11e6-98cb-ac72891c3257.html","web")</f>
        <v>0</v>
      </c>
      <c r="H218" s="0" t="s">
        <v>668</v>
      </c>
      <c r="I218" s="0" t="s">
        <v>122</v>
      </c>
      <c r="J218" s="0" t="s">
        <v>669</v>
      </c>
      <c r="K218" s="0" t="s">
        <v>315</v>
      </c>
    </row>
    <row r="220" customFormat="false" ht="15" hidden="false" customHeight="false" outlineLevel="0" collapsed="false">
      <c r="A220" s="0" t="s">
        <v>670</v>
      </c>
      <c r="B220" s="0" t="s">
        <v>302</v>
      </c>
      <c r="C220" s="0" t="s">
        <v>13</v>
      </c>
      <c r="D220" s="0" t="s">
        <v>671</v>
      </c>
      <c r="E220" s="0" t="s">
        <v>353</v>
      </c>
      <c r="F220" s="0" t="s">
        <v>285</v>
      </c>
      <c r="G220" s="0" t="n">
        <f aca="false">HYPERLINK("http://clipc-services.ceda.ac.uk/dreq/u/7f4c49e8abe3230e87fa7299b73448fa.html","web")</f>
        <v>0</v>
      </c>
      <c r="H220" s="0" t="s">
        <v>63</v>
      </c>
      <c r="I220" s="0" t="s">
        <v>64</v>
      </c>
      <c r="J220" s="0" t="s">
        <v>286</v>
      </c>
      <c r="K220" s="0" t="s">
        <v>66</v>
      </c>
    </row>
    <row r="221" customFormat="false" ht="15" hidden="false" customHeight="false" outlineLevel="0" collapsed="false">
      <c r="A221" s="0" t="s">
        <v>670</v>
      </c>
      <c r="B221" s="0" t="s">
        <v>433</v>
      </c>
      <c r="C221" s="0" t="s">
        <v>13</v>
      </c>
      <c r="D221" s="0" t="s">
        <v>671</v>
      </c>
      <c r="E221" s="0" t="s">
        <v>434</v>
      </c>
      <c r="F221" s="0" t="s">
        <v>13</v>
      </c>
      <c r="G221" s="0" t="n">
        <f aca="false">HYPERLINK("http://clipc-services.ceda.ac.uk/dreq/u/a7cf325e9bf994ade073a1297378a57c.html","web")</f>
        <v>0</v>
      </c>
      <c r="H221" s="0" t="s">
        <v>63</v>
      </c>
      <c r="I221" s="0" t="s">
        <v>64</v>
      </c>
      <c r="J221" s="0" t="s">
        <v>435</v>
      </c>
      <c r="K221" s="0" t="s">
        <v>66</v>
      </c>
    </row>
    <row r="222" customFormat="false" ht="15" hidden="false" customHeight="false" outlineLevel="0" collapsed="false">
      <c r="A222" s="0" t="s">
        <v>670</v>
      </c>
      <c r="B222" s="0" t="s">
        <v>439</v>
      </c>
      <c r="C222" s="0" t="s">
        <v>13</v>
      </c>
      <c r="D222" s="0" t="s">
        <v>671</v>
      </c>
      <c r="E222" s="0" t="s">
        <v>440</v>
      </c>
      <c r="F222" s="0" t="s">
        <v>285</v>
      </c>
      <c r="G222" s="0" t="n">
        <f aca="false">HYPERLINK("http://clipc-services.ceda.ac.uk/dreq/u/07ae8a0c132c9bf65a2722885a2fcd08.html","web")</f>
        <v>0</v>
      </c>
      <c r="H222" s="0" t="s">
        <v>63</v>
      </c>
      <c r="I222" s="0" t="s">
        <v>64</v>
      </c>
      <c r="J222" s="0" t="s">
        <v>286</v>
      </c>
      <c r="K222" s="0" t="s">
        <v>66</v>
      </c>
    </row>
    <row r="223" customFormat="false" ht="15" hidden="false" customHeight="false" outlineLevel="0" collapsed="false">
      <c r="A223" s="0" t="s">
        <v>670</v>
      </c>
      <c r="B223" s="0" t="s">
        <v>672</v>
      </c>
      <c r="C223" s="0" t="s">
        <v>13</v>
      </c>
      <c r="D223" s="0" t="s">
        <v>671</v>
      </c>
      <c r="E223" s="0" t="s">
        <v>673</v>
      </c>
      <c r="F223" s="0" t="s">
        <v>285</v>
      </c>
      <c r="G223" s="0" t="n">
        <f aca="false">HYPERLINK("http://clipc-services.ceda.ac.uk/dreq/u/96f51020-b096-11e6-aab6-ac72891c3257.html","web")</f>
        <v>0</v>
      </c>
      <c r="H223" s="0" t="s">
        <v>63</v>
      </c>
      <c r="I223" s="0" t="s">
        <v>64</v>
      </c>
      <c r="J223" s="0" t="s">
        <v>674</v>
      </c>
      <c r="K223" s="0" t="s">
        <v>66</v>
      </c>
    </row>
    <row r="224" customFormat="false" ht="15" hidden="false" customHeight="false" outlineLevel="0" collapsed="false">
      <c r="A224" s="0" t="s">
        <v>670</v>
      </c>
      <c r="B224" s="0" t="s">
        <v>675</v>
      </c>
      <c r="C224" s="0" t="s">
        <v>13</v>
      </c>
      <c r="D224" s="0" t="s">
        <v>671</v>
      </c>
      <c r="E224" s="0" t="s">
        <v>676</v>
      </c>
      <c r="F224" s="0" t="s">
        <v>285</v>
      </c>
      <c r="G224" s="0" t="n">
        <f aca="false">HYPERLINK("http://clipc-services.ceda.ac.uk/dreq/u/e29fbc42-b095-11e6-aab6-ac72891c3257.html","web")</f>
        <v>0</v>
      </c>
      <c r="H224" s="0" t="s">
        <v>63</v>
      </c>
      <c r="I224" s="0" t="s">
        <v>64</v>
      </c>
      <c r="J224" s="0" t="s">
        <v>677</v>
      </c>
      <c r="K224" s="0" t="s">
        <v>66</v>
      </c>
    </row>
    <row r="225" customFormat="false" ht="15" hidden="false" customHeight="false" outlineLevel="0" collapsed="false">
      <c r="A225" s="0" t="s">
        <v>670</v>
      </c>
      <c r="B225" s="0" t="s">
        <v>282</v>
      </c>
      <c r="C225" s="0" t="s">
        <v>13</v>
      </c>
      <c r="D225" s="0" t="s">
        <v>671</v>
      </c>
      <c r="E225" s="0" t="s">
        <v>501</v>
      </c>
      <c r="F225" s="0" t="s">
        <v>285</v>
      </c>
      <c r="G225" s="0" t="n">
        <f aca="false">HYPERLINK("http://clipc-services.ceda.ac.uk/dreq/u/1d4594c97188efd47935238a429e02e4.html","web")</f>
        <v>0</v>
      </c>
      <c r="H225" s="0" t="s">
        <v>63</v>
      </c>
      <c r="I225" s="0" t="s">
        <v>64</v>
      </c>
      <c r="J225" s="0" t="s">
        <v>286</v>
      </c>
      <c r="K225" s="0" t="s">
        <v>66</v>
      </c>
    </row>
    <row r="226" customFormat="false" ht="15" hidden="false" customHeight="false" outlineLevel="0" collapsed="false">
      <c r="A226" s="0" t="s">
        <v>670</v>
      </c>
      <c r="B226" s="0" t="s">
        <v>549</v>
      </c>
      <c r="C226" s="0" t="s">
        <v>13</v>
      </c>
      <c r="D226" s="0" t="s">
        <v>671</v>
      </c>
      <c r="E226" s="0" t="s">
        <v>550</v>
      </c>
      <c r="F226" s="0" t="s">
        <v>285</v>
      </c>
      <c r="G226" s="0" t="n">
        <f aca="false">HYPERLINK("http://clipc-services.ceda.ac.uk/dreq/u/609d47152c2ed8122caa2528117aff9a.html","web")</f>
        <v>0</v>
      </c>
      <c r="H226" s="0" t="s">
        <v>63</v>
      </c>
      <c r="I226" s="0" t="s">
        <v>64</v>
      </c>
      <c r="J226" s="0" t="s">
        <v>286</v>
      </c>
      <c r="K226" s="0" t="s">
        <v>66</v>
      </c>
    </row>
    <row r="228" customFormat="false" ht="15" hidden="false" customHeight="false" outlineLevel="0" collapsed="false">
      <c r="A228" s="0" t="s">
        <v>678</v>
      </c>
      <c r="B228" s="0" t="s">
        <v>112</v>
      </c>
      <c r="C228" s="0" t="s">
        <v>118</v>
      </c>
      <c r="D228" s="0" t="s">
        <v>679</v>
      </c>
      <c r="E228" s="0" t="s">
        <v>114</v>
      </c>
      <c r="F228" s="0" t="s">
        <v>90</v>
      </c>
      <c r="G228" s="0" t="n">
        <f aca="false">HYPERLINK("http://clipc-services.ceda.ac.uk/dreq/u/154ab10964742eaff37de9cc5beef39c.html","web")</f>
        <v>0</v>
      </c>
      <c r="H228" s="0" t="s">
        <v>63</v>
      </c>
      <c r="I228" s="0" t="s">
        <v>64</v>
      </c>
      <c r="J228" s="0" t="s">
        <v>115</v>
      </c>
      <c r="K228" s="0" t="s">
        <v>680</v>
      </c>
    </row>
    <row r="229" customFormat="false" ht="15" hidden="false" customHeight="false" outlineLevel="0" collapsed="false">
      <c r="A229" s="0" t="s">
        <v>678</v>
      </c>
      <c r="B229" s="0" t="s">
        <v>433</v>
      </c>
      <c r="C229" s="0" t="s">
        <v>118</v>
      </c>
      <c r="D229" s="0" t="s">
        <v>629</v>
      </c>
      <c r="E229" s="0" t="s">
        <v>434</v>
      </c>
      <c r="F229" s="0" t="s">
        <v>13</v>
      </c>
      <c r="G229" s="0" t="n">
        <f aca="false">HYPERLINK("http://clipc-services.ceda.ac.uk/dreq/u/a7cf325e9bf994ade073a1297378a57c.html","web")</f>
        <v>0</v>
      </c>
      <c r="H229" s="0" t="s">
        <v>63</v>
      </c>
      <c r="I229" s="0" t="s">
        <v>64</v>
      </c>
      <c r="J229" s="0" t="s">
        <v>435</v>
      </c>
      <c r="K229" s="0" t="s">
        <v>612</v>
      </c>
    </row>
    <row r="231" customFormat="false" ht="15" hidden="false" customHeight="false" outlineLevel="0" collapsed="false">
      <c r="A231" s="0" t="s">
        <v>681</v>
      </c>
      <c r="B231" s="0" t="s">
        <v>682</v>
      </c>
      <c r="C231" s="0" t="s">
        <v>13</v>
      </c>
      <c r="D231" s="0" t="s">
        <v>78</v>
      </c>
      <c r="E231" s="0" t="s">
        <v>683</v>
      </c>
      <c r="F231" s="0" t="s">
        <v>71</v>
      </c>
      <c r="G231" s="0" t="n">
        <f aca="false">HYPERLINK("http://clipc-services.ceda.ac.uk/dreq/u/5917e2ba-9e49-11e5-803c-0d0b866b59f3.html","web")</f>
        <v>0</v>
      </c>
      <c r="H231" s="0" t="s">
        <v>684</v>
      </c>
      <c r="I231" s="0" t="s">
        <v>347</v>
      </c>
      <c r="J231" s="0" t="s">
        <v>685</v>
      </c>
      <c r="K231" s="0" t="s">
        <v>27</v>
      </c>
    </row>
    <row r="233" customFormat="false" ht="15" hidden="false" customHeight="false" outlineLevel="0" collapsed="false">
      <c r="A233" s="0" t="s">
        <v>686</v>
      </c>
      <c r="B233" s="0" t="s">
        <v>159</v>
      </c>
      <c r="C233" s="0" t="s">
        <v>13</v>
      </c>
      <c r="D233" s="0" t="s">
        <v>78</v>
      </c>
      <c r="E233" s="0" t="s">
        <v>161</v>
      </c>
      <c r="F233" s="0" t="s">
        <v>49</v>
      </c>
      <c r="G233" s="0" t="n">
        <f aca="false">HYPERLINK("http://clipc-services.ceda.ac.uk/dreq/u/6c08493dc9183b6ec7005a6be27f67f1.html","web")</f>
        <v>0</v>
      </c>
      <c r="H233" s="0" t="s">
        <v>121</v>
      </c>
      <c r="I233" s="0" t="s">
        <v>122</v>
      </c>
      <c r="J233" s="0" t="s">
        <v>162</v>
      </c>
      <c r="K233" s="0" t="s">
        <v>687</v>
      </c>
    </row>
    <row r="234" customFormat="false" ht="15" hidden="false" customHeight="false" outlineLevel="0" collapsed="false">
      <c r="A234" s="0" t="s">
        <v>686</v>
      </c>
      <c r="B234" s="0" t="s">
        <v>688</v>
      </c>
      <c r="C234" s="0" t="s">
        <v>13</v>
      </c>
      <c r="D234" s="0" t="s">
        <v>78</v>
      </c>
      <c r="E234" s="0" t="s">
        <v>689</v>
      </c>
      <c r="F234" s="0" t="s">
        <v>71</v>
      </c>
      <c r="G234" s="0" t="n">
        <f aca="false">HYPERLINK("http://clipc-services.ceda.ac.uk/dreq/u/590ddf9a-9e49-11e5-803c-0d0b866b59f3.html","web")</f>
        <v>0</v>
      </c>
      <c r="H234" s="0" t="s">
        <v>121</v>
      </c>
      <c r="I234" s="0" t="s">
        <v>122</v>
      </c>
      <c r="J234" s="0" t="s">
        <v>690</v>
      </c>
      <c r="K234" s="0" t="s">
        <v>691</v>
      </c>
    </row>
    <row r="235" customFormat="false" ht="15" hidden="false" customHeight="false" outlineLevel="0" collapsed="false">
      <c r="A235" s="0" t="s">
        <v>686</v>
      </c>
      <c r="B235" s="0" t="s">
        <v>692</v>
      </c>
      <c r="C235" s="0" t="s">
        <v>13</v>
      </c>
      <c r="D235" s="0" t="s">
        <v>78</v>
      </c>
      <c r="E235" s="0" t="s">
        <v>693</v>
      </c>
      <c r="F235" s="0" t="s">
        <v>71</v>
      </c>
      <c r="G235" s="0" t="n">
        <f aca="false">HYPERLINK("http://clipc-services.ceda.ac.uk/dreq/u/590f58de-9e49-11e5-803c-0d0b866b59f3.html","web")</f>
        <v>0</v>
      </c>
      <c r="H235" s="0" t="s">
        <v>121</v>
      </c>
      <c r="I235" s="0" t="s">
        <v>122</v>
      </c>
      <c r="J235" s="0" t="s">
        <v>694</v>
      </c>
      <c r="K235" s="0" t="s">
        <v>691</v>
      </c>
    </row>
    <row r="236" customFormat="false" ht="15" hidden="false" customHeight="false" outlineLevel="0" collapsed="false">
      <c r="A236" s="0" t="s">
        <v>686</v>
      </c>
      <c r="B236" s="0" t="s">
        <v>695</v>
      </c>
      <c r="C236" s="0" t="s">
        <v>13</v>
      </c>
      <c r="D236" s="0" t="s">
        <v>78</v>
      </c>
      <c r="E236" s="0" t="s">
        <v>696</v>
      </c>
      <c r="F236" s="0" t="s">
        <v>71</v>
      </c>
      <c r="G236" s="0" t="n">
        <f aca="false">HYPERLINK("http://clipc-services.ceda.ac.uk/dreq/u/590f933a-9e49-11e5-803c-0d0b866b59f3.html","web")</f>
        <v>0</v>
      </c>
      <c r="H236" s="0" t="s">
        <v>121</v>
      </c>
      <c r="I236" s="0" t="s">
        <v>122</v>
      </c>
      <c r="J236" s="0" t="s">
        <v>697</v>
      </c>
      <c r="K236" s="0" t="s">
        <v>691</v>
      </c>
    </row>
    <row r="237" customFormat="false" ht="15" hidden="false" customHeight="false" outlineLevel="0" collapsed="false">
      <c r="A237" s="0" t="s">
        <v>686</v>
      </c>
      <c r="B237" s="0" t="s">
        <v>698</v>
      </c>
      <c r="C237" s="0" t="s">
        <v>13</v>
      </c>
      <c r="D237" s="0" t="s">
        <v>78</v>
      </c>
      <c r="E237" s="0" t="s">
        <v>699</v>
      </c>
      <c r="F237" s="0" t="s">
        <v>71</v>
      </c>
      <c r="G237" s="0" t="n">
        <f aca="false">HYPERLINK("http://clipc-services.ceda.ac.uk/dreq/u/59149f2e-9e49-11e5-803c-0d0b866b59f3.html","web")</f>
        <v>0</v>
      </c>
      <c r="H237" s="0" t="s">
        <v>121</v>
      </c>
      <c r="I237" s="0" t="s">
        <v>122</v>
      </c>
      <c r="J237" s="0" t="s">
        <v>700</v>
      </c>
      <c r="K237" s="0" t="s">
        <v>691</v>
      </c>
    </row>
    <row r="238" customFormat="false" ht="15" hidden="false" customHeight="false" outlineLevel="0" collapsed="false">
      <c r="A238" s="0" t="s">
        <v>686</v>
      </c>
      <c r="B238" s="0" t="s">
        <v>701</v>
      </c>
      <c r="C238" s="0" t="s">
        <v>13</v>
      </c>
      <c r="D238" s="0" t="s">
        <v>78</v>
      </c>
      <c r="E238" s="0" t="s">
        <v>702</v>
      </c>
      <c r="F238" s="0" t="s">
        <v>71</v>
      </c>
      <c r="G238" s="0" t="n">
        <f aca="false">HYPERLINK("http://clipc-services.ceda.ac.uk/dreq/u/5913de9a-9e49-11e5-803c-0d0b866b59f3.html","web")</f>
        <v>0</v>
      </c>
      <c r="H238" s="0" t="s">
        <v>121</v>
      </c>
      <c r="I238" s="0" t="s">
        <v>122</v>
      </c>
      <c r="J238" s="0" t="s">
        <v>703</v>
      </c>
      <c r="K238" s="0" t="s">
        <v>691</v>
      </c>
    </row>
    <row r="239" customFormat="false" ht="15" hidden="false" customHeight="false" outlineLevel="0" collapsed="false">
      <c r="A239" s="0" t="s">
        <v>686</v>
      </c>
      <c r="B239" s="0" t="s">
        <v>704</v>
      </c>
      <c r="C239" s="0" t="s">
        <v>13</v>
      </c>
      <c r="D239" s="0" t="s">
        <v>78</v>
      </c>
      <c r="E239" s="0" t="s">
        <v>705</v>
      </c>
      <c r="F239" s="0" t="s">
        <v>71</v>
      </c>
      <c r="G239" s="0" t="n">
        <f aca="false">HYPERLINK("http://clipc-services.ceda.ac.uk/dreq/u/5917a796-9e49-11e5-803c-0d0b866b59f3.html","web")</f>
        <v>0</v>
      </c>
      <c r="H239" s="0" t="s">
        <v>121</v>
      </c>
      <c r="I239" s="0" t="s">
        <v>122</v>
      </c>
      <c r="J239" s="0" t="s">
        <v>706</v>
      </c>
      <c r="K239" s="0" t="s">
        <v>691</v>
      </c>
    </row>
    <row r="240" customFormat="false" ht="15" hidden="false" customHeight="false" outlineLevel="0" collapsed="false">
      <c r="A240" s="0" t="s">
        <v>686</v>
      </c>
      <c r="B240" s="0" t="s">
        <v>707</v>
      </c>
      <c r="C240" s="0" t="s">
        <v>13</v>
      </c>
      <c r="D240" s="0" t="s">
        <v>78</v>
      </c>
      <c r="E240" s="0" t="s">
        <v>708</v>
      </c>
      <c r="F240" s="0" t="s">
        <v>49</v>
      </c>
      <c r="G240" s="0" t="n">
        <f aca="false">HYPERLINK("http://clipc-services.ceda.ac.uk/dreq/u/590e70f4-9e49-11e5-803c-0d0b866b59f3.html","web")</f>
        <v>0</v>
      </c>
      <c r="H240" s="0" t="s">
        <v>121</v>
      </c>
      <c r="I240" s="0" t="s">
        <v>122</v>
      </c>
      <c r="J240" s="0" t="s">
        <v>709</v>
      </c>
      <c r="K240" s="0" t="s">
        <v>710</v>
      </c>
    </row>
    <row r="241" customFormat="false" ht="15" hidden="false" customHeight="false" outlineLevel="0" collapsed="false">
      <c r="A241" s="0" t="s">
        <v>686</v>
      </c>
      <c r="B241" s="0" t="s">
        <v>711</v>
      </c>
      <c r="C241" s="0" t="s">
        <v>13</v>
      </c>
      <c r="D241" s="0" t="s">
        <v>78</v>
      </c>
      <c r="E241" s="0" t="s">
        <v>712</v>
      </c>
      <c r="F241" s="0" t="s">
        <v>49</v>
      </c>
      <c r="G241" s="0" t="n">
        <f aca="false">HYPERLINK("http://clipc-services.ceda.ac.uk/dreq/u/5917f21e-9e49-11e5-803c-0d0b866b59f3.html","web")</f>
        <v>0</v>
      </c>
      <c r="H241" s="0" t="s">
        <v>121</v>
      </c>
      <c r="I241" s="0" t="s">
        <v>122</v>
      </c>
      <c r="J241" s="0" t="s">
        <v>709</v>
      </c>
      <c r="K241" s="0" t="s">
        <v>710</v>
      </c>
    </row>
    <row r="242" customFormat="false" ht="15" hidden="false" customHeight="false" outlineLevel="0" collapsed="false">
      <c r="A242" s="0" t="s">
        <v>686</v>
      </c>
      <c r="B242" s="0" t="s">
        <v>713</v>
      </c>
      <c r="C242" s="0" t="s">
        <v>13</v>
      </c>
      <c r="D242" s="0" t="s">
        <v>78</v>
      </c>
      <c r="E242" s="0" t="s">
        <v>714</v>
      </c>
      <c r="F242" s="0" t="s">
        <v>49</v>
      </c>
      <c r="G242" s="0" t="n">
        <f aca="false">HYPERLINK("http://clipc-services.ceda.ac.uk/dreq/u/59142e0e-9e49-11e5-803c-0d0b866b59f3.html","web")</f>
        <v>0</v>
      </c>
      <c r="H242" s="0" t="s">
        <v>121</v>
      </c>
      <c r="I242" s="0" t="s">
        <v>122</v>
      </c>
      <c r="J242" s="0" t="s">
        <v>709</v>
      </c>
      <c r="K242" s="0" t="s">
        <v>710</v>
      </c>
    </row>
    <row r="243" customFormat="false" ht="15" hidden="false" customHeight="false" outlineLevel="0" collapsed="false">
      <c r="A243" s="0" t="s">
        <v>686</v>
      </c>
      <c r="B243" s="0" t="s">
        <v>715</v>
      </c>
      <c r="C243" s="0" t="s">
        <v>13</v>
      </c>
      <c r="D243" s="0" t="s">
        <v>78</v>
      </c>
      <c r="E243" s="0" t="s">
        <v>716</v>
      </c>
      <c r="F243" s="0" t="s">
        <v>49</v>
      </c>
      <c r="G243" s="0" t="n">
        <f aca="false">HYPERLINK("http://clipc-services.ceda.ac.uk/dreq/u/5913fa10-9e49-11e5-803c-0d0b866b59f3.html","web")</f>
        <v>0</v>
      </c>
      <c r="H243" s="0" t="s">
        <v>121</v>
      </c>
      <c r="I243" s="0" t="s">
        <v>122</v>
      </c>
      <c r="J243" s="0" t="s">
        <v>717</v>
      </c>
      <c r="K243" s="0" t="s">
        <v>691</v>
      </c>
    </row>
    <row r="244" customFormat="false" ht="15" hidden="false" customHeight="false" outlineLevel="0" collapsed="false">
      <c r="A244" s="0" t="s">
        <v>686</v>
      </c>
      <c r="B244" s="0" t="s">
        <v>718</v>
      </c>
      <c r="C244" s="0" t="s">
        <v>13</v>
      </c>
      <c r="D244" s="0" t="s">
        <v>78</v>
      </c>
      <c r="E244" s="0" t="s">
        <v>719</v>
      </c>
      <c r="F244" s="0" t="s">
        <v>71</v>
      </c>
      <c r="G244" s="0" t="n">
        <f aca="false">HYPERLINK("http://clipc-services.ceda.ac.uk/dreq/u/591478be-9e49-11e5-803c-0d0b866b59f3.html","web")</f>
        <v>0</v>
      </c>
      <c r="H244" s="0" t="s">
        <v>121</v>
      </c>
      <c r="I244" s="0" t="s">
        <v>122</v>
      </c>
      <c r="J244" s="0" t="s">
        <v>720</v>
      </c>
      <c r="K244" s="0" t="s">
        <v>691</v>
      </c>
    </row>
    <row r="245" customFormat="false" ht="15" hidden="false" customHeight="false" outlineLevel="0" collapsed="false">
      <c r="A245" s="0" t="s">
        <v>686</v>
      </c>
      <c r="B245" s="0" t="s">
        <v>721</v>
      </c>
      <c r="C245" s="0" t="s">
        <v>13</v>
      </c>
      <c r="D245" s="0" t="s">
        <v>78</v>
      </c>
      <c r="E245" s="0" t="s">
        <v>722</v>
      </c>
      <c r="F245" s="0" t="s">
        <v>71</v>
      </c>
      <c r="G245" s="0" t="n">
        <f aca="false">HYPERLINK("http://clipc-services.ceda.ac.uk/dreq/u/84f09af8-acb7-11e6-b5ee-ac72891c3257.html","web")</f>
        <v>0</v>
      </c>
      <c r="H245" s="0" t="s">
        <v>121</v>
      </c>
      <c r="I245" s="0" t="s">
        <v>122</v>
      </c>
      <c r="J245" s="0" t="s">
        <v>723</v>
      </c>
      <c r="K245" s="0" t="s">
        <v>691</v>
      </c>
    </row>
    <row r="246" customFormat="false" ht="15" hidden="false" customHeight="false" outlineLevel="0" collapsed="false">
      <c r="A246" s="0" t="s">
        <v>686</v>
      </c>
      <c r="B246" s="0" t="s">
        <v>724</v>
      </c>
      <c r="C246" s="0" t="s">
        <v>13</v>
      </c>
      <c r="D246" s="0" t="s">
        <v>78</v>
      </c>
      <c r="E246" s="0" t="s">
        <v>725</v>
      </c>
      <c r="F246" s="0" t="s">
        <v>71</v>
      </c>
      <c r="G246" s="0" t="n">
        <f aca="false">HYPERLINK("http://clipc-services.ceda.ac.uk/dreq/u/5913bfe6-9e49-11e5-803c-0d0b866b59f3.html","web")</f>
        <v>0</v>
      </c>
      <c r="H246" s="0" t="s">
        <v>121</v>
      </c>
      <c r="I246" s="0" t="s">
        <v>122</v>
      </c>
      <c r="J246" s="0" t="s">
        <v>726</v>
      </c>
      <c r="K246" s="0" t="s">
        <v>691</v>
      </c>
    </row>
    <row r="247" customFormat="false" ht="15" hidden="false" customHeight="false" outlineLevel="0" collapsed="false">
      <c r="A247" s="0" t="s">
        <v>686</v>
      </c>
      <c r="B247" s="0" t="s">
        <v>727</v>
      </c>
      <c r="C247" s="0" t="s">
        <v>13</v>
      </c>
      <c r="D247" s="0" t="s">
        <v>78</v>
      </c>
      <c r="E247" s="0" t="s">
        <v>728</v>
      </c>
      <c r="F247" s="0" t="s">
        <v>71</v>
      </c>
      <c r="G247" s="0" t="n">
        <f aca="false">HYPERLINK("http://clipc-services.ceda.ac.uk/dreq/u/590d2ed8-9e49-11e5-803c-0d0b866b59f3.html","web")</f>
        <v>0</v>
      </c>
      <c r="H247" s="0" t="s">
        <v>121</v>
      </c>
      <c r="I247" s="0" t="s">
        <v>122</v>
      </c>
      <c r="J247" s="0" t="s">
        <v>729</v>
      </c>
      <c r="K247" s="0" t="s">
        <v>691</v>
      </c>
    </row>
    <row r="248" customFormat="false" ht="15" hidden="false" customHeight="false" outlineLevel="0" collapsed="false">
      <c r="A248" s="0" t="s">
        <v>686</v>
      </c>
      <c r="B248" s="0" t="s">
        <v>730</v>
      </c>
      <c r="C248" s="0" t="s">
        <v>13</v>
      </c>
      <c r="D248" s="0" t="s">
        <v>78</v>
      </c>
      <c r="E248" s="0" t="s">
        <v>731</v>
      </c>
      <c r="F248" s="0" t="s">
        <v>71</v>
      </c>
      <c r="G248" s="0" t="n">
        <f aca="false">HYPERLINK("http://clipc-services.ceda.ac.uk/dreq/u/5917c654-9e49-11e5-803c-0d0b866b59f3.html","web")</f>
        <v>0</v>
      </c>
      <c r="H248" s="0" t="s">
        <v>121</v>
      </c>
      <c r="I248" s="0" t="s">
        <v>122</v>
      </c>
      <c r="J248" s="0" t="s">
        <v>732</v>
      </c>
      <c r="K248" s="0" t="s">
        <v>710</v>
      </c>
    </row>
    <row r="249" customFormat="false" ht="15" hidden="false" customHeight="false" outlineLevel="0" collapsed="false">
      <c r="A249" s="0" t="s">
        <v>686</v>
      </c>
      <c r="B249" s="0" t="s">
        <v>733</v>
      </c>
      <c r="C249" s="0" t="s">
        <v>13</v>
      </c>
      <c r="D249" s="0" t="s">
        <v>78</v>
      </c>
      <c r="E249" s="0" t="s">
        <v>734</v>
      </c>
      <c r="F249" s="0" t="s">
        <v>71</v>
      </c>
      <c r="G249" s="0" t="n">
        <f aca="false">HYPERLINK("http://clipc-services.ceda.ac.uk/dreq/u/590dda36-9e49-11e5-803c-0d0b866b59f3.html","web")</f>
        <v>0</v>
      </c>
      <c r="H249" s="0" t="s">
        <v>121</v>
      </c>
      <c r="I249" s="0" t="s">
        <v>122</v>
      </c>
      <c r="J249" s="0" t="s">
        <v>735</v>
      </c>
      <c r="K249" s="0" t="s">
        <v>710</v>
      </c>
    </row>
    <row r="250" customFormat="false" ht="15" hidden="false" customHeight="false" outlineLevel="0" collapsed="false">
      <c r="A250" s="0" t="s">
        <v>686</v>
      </c>
      <c r="B250" s="0" t="s">
        <v>736</v>
      </c>
      <c r="C250" s="0" t="s">
        <v>13</v>
      </c>
      <c r="D250" s="0" t="s">
        <v>78</v>
      </c>
      <c r="E250" s="0" t="s">
        <v>737</v>
      </c>
      <c r="F250" s="0" t="s">
        <v>71</v>
      </c>
      <c r="G250" s="0" t="n">
        <f aca="false">HYPERLINK("http://clipc-services.ceda.ac.uk/dreq/u/5913ba00-9e49-11e5-803c-0d0b866b59f3.html","web")</f>
        <v>0</v>
      </c>
      <c r="H250" s="0" t="s">
        <v>121</v>
      </c>
      <c r="I250" s="0" t="s">
        <v>122</v>
      </c>
      <c r="J250" s="0" t="s">
        <v>738</v>
      </c>
      <c r="K250" s="0" t="s">
        <v>691</v>
      </c>
    </row>
    <row r="251" customFormat="false" ht="15" hidden="false" customHeight="false" outlineLevel="0" collapsed="false">
      <c r="A251" s="0" t="s">
        <v>686</v>
      </c>
      <c r="B251" s="0" t="s">
        <v>739</v>
      </c>
      <c r="C251" s="0" t="s">
        <v>13</v>
      </c>
      <c r="D251" s="0" t="s">
        <v>78</v>
      </c>
      <c r="E251" s="0" t="s">
        <v>740</v>
      </c>
      <c r="F251" s="0" t="s">
        <v>71</v>
      </c>
      <c r="G251" s="0" t="n">
        <f aca="false">HYPERLINK("http://clipc-services.ceda.ac.uk/dreq/u/59151c42-9e49-11e5-803c-0d0b866b59f3.html","web")</f>
        <v>0</v>
      </c>
      <c r="H251" s="0" t="s">
        <v>121</v>
      </c>
      <c r="I251" s="0" t="s">
        <v>122</v>
      </c>
      <c r="J251" s="0" t="s">
        <v>741</v>
      </c>
      <c r="K251" s="0" t="s">
        <v>691</v>
      </c>
    </row>
    <row r="252" customFormat="false" ht="15" hidden="false" customHeight="false" outlineLevel="0" collapsed="false">
      <c r="A252" s="0" t="s">
        <v>686</v>
      </c>
      <c r="B252" s="0" t="s">
        <v>742</v>
      </c>
      <c r="C252" s="0" t="s">
        <v>13</v>
      </c>
      <c r="D252" s="0" t="s">
        <v>78</v>
      </c>
      <c r="E252" s="0" t="s">
        <v>743</v>
      </c>
      <c r="F252" s="0" t="s">
        <v>71</v>
      </c>
      <c r="G252" s="0" t="n">
        <f aca="false">HYPERLINK("http://clipc-services.ceda.ac.uk/dreq/u/590ded6e-9e49-11e5-803c-0d0b866b59f3.html","web")</f>
        <v>0</v>
      </c>
      <c r="H252" s="0" t="s">
        <v>121</v>
      </c>
      <c r="I252" s="0" t="s">
        <v>122</v>
      </c>
      <c r="J252" s="0" t="s">
        <v>744</v>
      </c>
      <c r="K252" s="0" t="s">
        <v>691</v>
      </c>
    </row>
    <row r="253" customFormat="false" ht="15" hidden="false" customHeight="false" outlineLevel="0" collapsed="false">
      <c r="A253" s="0" t="s">
        <v>686</v>
      </c>
      <c r="B253" s="0" t="s">
        <v>745</v>
      </c>
      <c r="C253" s="0" t="s">
        <v>13</v>
      </c>
      <c r="D253" s="0" t="s">
        <v>78</v>
      </c>
      <c r="E253" s="0" t="s">
        <v>746</v>
      </c>
      <c r="F253" s="0" t="s">
        <v>71</v>
      </c>
      <c r="G253" s="0" t="n">
        <f aca="false">HYPERLINK("http://clipc-services.ceda.ac.uk/dreq/u/5913e3e0-9e49-11e5-803c-0d0b866b59f3.html","web")</f>
        <v>0</v>
      </c>
      <c r="H253" s="0" t="s">
        <v>121</v>
      </c>
      <c r="I253" s="0" t="s">
        <v>122</v>
      </c>
      <c r="J253" s="0" t="s">
        <v>703</v>
      </c>
      <c r="K253" s="0" t="s">
        <v>691</v>
      </c>
    </row>
    <row r="254" customFormat="false" ht="15" hidden="false" customHeight="false" outlineLevel="0" collapsed="false">
      <c r="A254" s="0" t="s">
        <v>686</v>
      </c>
      <c r="B254" s="0" t="s">
        <v>747</v>
      </c>
      <c r="C254" s="0" t="s">
        <v>13</v>
      </c>
      <c r="D254" s="0" t="s">
        <v>78</v>
      </c>
      <c r="E254" s="0" t="s">
        <v>748</v>
      </c>
      <c r="F254" s="0" t="s">
        <v>71</v>
      </c>
      <c r="G254" s="0" t="n">
        <f aca="false">HYPERLINK("http://clipc-services.ceda.ac.uk/dreq/u/84f0ea44-acb7-11e6-b5ee-ac72891c3257.html","web")</f>
        <v>0</v>
      </c>
      <c r="H254" s="0" t="s">
        <v>121</v>
      </c>
      <c r="I254" s="0" t="s">
        <v>122</v>
      </c>
      <c r="J254" s="0" t="s">
        <v>749</v>
      </c>
      <c r="K254" s="0" t="s">
        <v>691</v>
      </c>
    </row>
    <row r="255" customFormat="false" ht="15" hidden="false" customHeight="false" outlineLevel="0" collapsed="false">
      <c r="A255" s="0" t="s">
        <v>686</v>
      </c>
      <c r="B255" s="0" t="s">
        <v>750</v>
      </c>
      <c r="C255" s="0" t="s">
        <v>13</v>
      </c>
      <c r="D255" s="0" t="s">
        <v>751</v>
      </c>
      <c r="E255" s="0" t="s">
        <v>752</v>
      </c>
      <c r="F255" s="0" t="s">
        <v>16</v>
      </c>
      <c r="G255" s="0" t="n">
        <f aca="false">HYPERLINK("http://clipc-services.ceda.ac.uk/dreq/u/59131672-9e49-11e5-803c-0d0b866b59f3.html","web")</f>
        <v>0</v>
      </c>
      <c r="H255" s="0" t="s">
        <v>121</v>
      </c>
      <c r="I255" s="0" t="s">
        <v>122</v>
      </c>
      <c r="J255" s="0" t="s">
        <v>753</v>
      </c>
      <c r="K255" s="0" t="s">
        <v>754</v>
      </c>
    </row>
    <row r="256" customFormat="false" ht="15" hidden="false" customHeight="false" outlineLevel="0" collapsed="false">
      <c r="A256" s="0" t="s">
        <v>686</v>
      </c>
      <c r="B256" s="0" t="s">
        <v>755</v>
      </c>
      <c r="C256" s="0" t="s">
        <v>13</v>
      </c>
      <c r="D256" s="0" t="s">
        <v>756</v>
      </c>
      <c r="E256" s="0" t="s">
        <v>757</v>
      </c>
      <c r="F256" s="0" t="s">
        <v>16</v>
      </c>
      <c r="G256" s="0" t="n">
        <f aca="false">HYPERLINK("http://clipc-services.ceda.ac.uk/dreq/u/5914dbb0-9e49-11e5-803c-0d0b866b59f3.html","web")</f>
        <v>0</v>
      </c>
      <c r="H256" s="0" t="s">
        <v>121</v>
      </c>
      <c r="I256" s="0" t="s">
        <v>122</v>
      </c>
      <c r="J256" s="0" t="s">
        <v>758</v>
      </c>
      <c r="K256" s="0" t="s">
        <v>754</v>
      </c>
    </row>
    <row r="257" customFormat="false" ht="15" hidden="false" customHeight="false" outlineLevel="0" collapsed="false">
      <c r="A257" s="0" t="s">
        <v>686</v>
      </c>
      <c r="B257" s="0" t="s">
        <v>759</v>
      </c>
      <c r="C257" s="0" t="s">
        <v>13</v>
      </c>
      <c r="D257" s="0" t="s">
        <v>760</v>
      </c>
      <c r="E257" s="0" t="s">
        <v>761</v>
      </c>
      <c r="F257" s="0" t="s">
        <v>16</v>
      </c>
      <c r="G257" s="0" t="n">
        <f aca="false">HYPERLINK("http://clipc-services.ceda.ac.uk/dreq/u/5914ccba-9e49-11e5-803c-0d0b866b59f3.html","web")</f>
        <v>0</v>
      </c>
      <c r="H257" s="0" t="s">
        <v>121</v>
      </c>
      <c r="I257" s="0" t="s">
        <v>122</v>
      </c>
      <c r="J257" s="0" t="s">
        <v>762</v>
      </c>
      <c r="K257" s="0" t="s">
        <v>754</v>
      </c>
    </row>
    <row r="258" customFormat="false" ht="15" hidden="false" customHeight="false" outlineLevel="0" collapsed="false">
      <c r="A258" s="0" t="s">
        <v>686</v>
      </c>
      <c r="B258" s="0" t="s">
        <v>763</v>
      </c>
      <c r="C258" s="0" t="s">
        <v>13</v>
      </c>
      <c r="D258" s="0" t="s">
        <v>764</v>
      </c>
      <c r="E258" s="0" t="s">
        <v>765</v>
      </c>
      <c r="F258" s="0" t="s">
        <v>16</v>
      </c>
      <c r="G258" s="0" t="n">
        <f aca="false">HYPERLINK("http://clipc-services.ceda.ac.uk/dreq/u/590dc8ac-9e49-11e5-803c-0d0b866b59f3.html","web")</f>
        <v>0</v>
      </c>
      <c r="H258" s="0" t="s">
        <v>121</v>
      </c>
      <c r="I258" s="0" t="s">
        <v>122</v>
      </c>
      <c r="J258" s="0" t="s">
        <v>766</v>
      </c>
      <c r="K258" s="0" t="s">
        <v>754</v>
      </c>
    </row>
    <row r="259" customFormat="false" ht="15" hidden="false" customHeight="false" outlineLevel="0" collapsed="false">
      <c r="A259" s="0" t="s">
        <v>686</v>
      </c>
      <c r="B259" s="0" t="s">
        <v>767</v>
      </c>
      <c r="C259" s="0" t="s">
        <v>13</v>
      </c>
      <c r="D259" s="0" t="s">
        <v>768</v>
      </c>
      <c r="E259" s="0" t="s">
        <v>769</v>
      </c>
      <c r="F259" s="0" t="s">
        <v>16</v>
      </c>
      <c r="G259" s="0" t="n">
        <f aca="false">HYPERLINK("http://clipc-services.ceda.ac.uk/dreq/u/590dc37a-9e49-11e5-803c-0d0b866b59f3.html","web")</f>
        <v>0</v>
      </c>
      <c r="H259" s="0" t="s">
        <v>121</v>
      </c>
      <c r="I259" s="0" t="s">
        <v>122</v>
      </c>
      <c r="J259" s="0" t="s">
        <v>770</v>
      </c>
      <c r="K259" s="0" t="s">
        <v>754</v>
      </c>
    </row>
    <row r="260" customFormat="false" ht="15" hidden="false" customHeight="false" outlineLevel="0" collapsed="false">
      <c r="A260" s="0" t="s">
        <v>686</v>
      </c>
      <c r="B260" s="0" t="s">
        <v>771</v>
      </c>
      <c r="C260" s="0" t="s">
        <v>118</v>
      </c>
      <c r="D260" s="0" t="s">
        <v>772</v>
      </c>
      <c r="E260" s="0" t="s">
        <v>773</v>
      </c>
      <c r="F260" s="0" t="s">
        <v>16</v>
      </c>
      <c r="G260" s="0" t="n">
        <f aca="false">HYPERLINK("http://clipc-services.ceda.ac.uk/dreq/u/84f091c0-acb7-11e6-b5ee-ac72891c3257.html","web")</f>
        <v>0</v>
      </c>
      <c r="H260" s="0" t="s">
        <v>121</v>
      </c>
      <c r="I260" s="0" t="s">
        <v>122</v>
      </c>
      <c r="J260" s="0" t="s">
        <v>774</v>
      </c>
      <c r="K260" s="0" t="s">
        <v>775</v>
      </c>
    </row>
    <row r="261" customFormat="false" ht="15" hidden="false" customHeight="false" outlineLevel="0" collapsed="false">
      <c r="A261" s="0" t="s">
        <v>686</v>
      </c>
      <c r="B261" s="0" t="s">
        <v>776</v>
      </c>
      <c r="C261" s="0" t="s">
        <v>118</v>
      </c>
      <c r="D261" s="0" t="s">
        <v>777</v>
      </c>
      <c r="E261" s="0" t="s">
        <v>778</v>
      </c>
      <c r="F261" s="0" t="s">
        <v>16</v>
      </c>
      <c r="G261" s="0" t="n">
        <f aca="false">HYPERLINK("http://clipc-services.ceda.ac.uk/dreq/u/84eff3c8-acb7-11e6-b5ee-ac72891c3257.html","web")</f>
        <v>0</v>
      </c>
      <c r="H261" s="0" t="s">
        <v>121</v>
      </c>
      <c r="I261" s="0" t="s">
        <v>122</v>
      </c>
      <c r="J261" s="0" t="s">
        <v>779</v>
      </c>
      <c r="K261" s="0" t="s">
        <v>775</v>
      </c>
    </row>
    <row r="262" customFormat="false" ht="15" hidden="false" customHeight="false" outlineLevel="0" collapsed="false">
      <c r="A262" s="0" t="s">
        <v>686</v>
      </c>
      <c r="B262" s="0" t="s">
        <v>780</v>
      </c>
      <c r="C262" s="0" t="s">
        <v>118</v>
      </c>
      <c r="D262" s="0" t="s">
        <v>78</v>
      </c>
      <c r="E262" s="0" t="s">
        <v>781</v>
      </c>
      <c r="F262" s="0" t="s">
        <v>49</v>
      </c>
      <c r="G262" s="0" t="n">
        <f aca="false">HYPERLINK("http://clipc-services.ceda.ac.uk/dreq/u/59171df8-9e49-11e5-803c-0d0b866b59f3.html","web")</f>
        <v>0</v>
      </c>
      <c r="H262" s="0" t="s">
        <v>121</v>
      </c>
      <c r="I262" s="0" t="s">
        <v>122</v>
      </c>
      <c r="J262" s="0" t="s">
        <v>782</v>
      </c>
      <c r="K262" s="0" t="s">
        <v>691</v>
      </c>
    </row>
    <row r="263" customFormat="false" ht="15" hidden="false" customHeight="false" outlineLevel="0" collapsed="false">
      <c r="A263" s="0" t="s">
        <v>686</v>
      </c>
      <c r="B263" s="0" t="s">
        <v>783</v>
      </c>
      <c r="C263" s="0" t="s">
        <v>118</v>
      </c>
      <c r="D263" s="0" t="s">
        <v>78</v>
      </c>
      <c r="E263" s="0" t="s">
        <v>784</v>
      </c>
      <c r="F263" s="0" t="s">
        <v>49</v>
      </c>
      <c r="G263" s="0" t="n">
        <f aca="false">HYPERLINK("http://clipc-services.ceda.ac.uk/dreq/u/5914b748-9e49-11e5-803c-0d0b866b59f3.html","web")</f>
        <v>0</v>
      </c>
      <c r="H263" s="0" t="s">
        <v>121</v>
      </c>
      <c r="I263" s="0" t="s">
        <v>122</v>
      </c>
      <c r="J263" s="0" t="s">
        <v>785</v>
      </c>
      <c r="K263" s="0" t="s">
        <v>691</v>
      </c>
    </row>
    <row r="264" customFormat="false" ht="15" hidden="false" customHeight="false" outlineLevel="0" collapsed="false">
      <c r="A264" s="0" t="s">
        <v>686</v>
      </c>
      <c r="B264" s="0" t="s">
        <v>786</v>
      </c>
      <c r="C264" s="0" t="s">
        <v>118</v>
      </c>
      <c r="D264" s="0" t="s">
        <v>78</v>
      </c>
      <c r="E264" s="0" t="s">
        <v>787</v>
      </c>
      <c r="F264" s="0" t="s">
        <v>49</v>
      </c>
      <c r="G264" s="0" t="n">
        <f aca="false">HYPERLINK("http://clipc-services.ceda.ac.uk/dreq/u/5912b196-9e49-11e5-803c-0d0b866b59f3.html","web")</f>
        <v>0</v>
      </c>
      <c r="H264" s="0" t="s">
        <v>121</v>
      </c>
      <c r="I264" s="0" t="s">
        <v>122</v>
      </c>
      <c r="J264" s="0" t="s">
        <v>788</v>
      </c>
      <c r="K264" s="0" t="s">
        <v>691</v>
      </c>
    </row>
    <row r="265" customFormat="false" ht="15" hidden="false" customHeight="false" outlineLevel="0" collapsed="false">
      <c r="A265" s="0" t="s">
        <v>686</v>
      </c>
      <c r="B265" s="0" t="s">
        <v>789</v>
      </c>
      <c r="C265" s="0" t="s">
        <v>118</v>
      </c>
      <c r="D265" s="0" t="s">
        <v>78</v>
      </c>
      <c r="E265" s="0" t="s">
        <v>790</v>
      </c>
      <c r="F265" s="0" t="s">
        <v>49</v>
      </c>
      <c r="G265" s="0" t="n">
        <f aca="false">HYPERLINK("http://clipc-services.ceda.ac.uk/dreq/u/590f4c7c-9e49-11e5-803c-0d0b866b59f3.html","web")</f>
        <v>0</v>
      </c>
      <c r="H265" s="0" t="s">
        <v>121</v>
      </c>
      <c r="I265" s="0" t="s">
        <v>122</v>
      </c>
      <c r="J265" s="0" t="s">
        <v>791</v>
      </c>
      <c r="K265" s="0" t="s">
        <v>691</v>
      </c>
    </row>
    <row r="266" customFormat="false" ht="15" hidden="false" customHeight="false" outlineLevel="0" collapsed="false">
      <c r="A266" s="0" t="s">
        <v>686</v>
      </c>
      <c r="B266" s="0" t="s">
        <v>792</v>
      </c>
      <c r="C266" s="0" t="s">
        <v>118</v>
      </c>
      <c r="D266" s="0" t="s">
        <v>78</v>
      </c>
      <c r="E266" s="0" t="s">
        <v>793</v>
      </c>
      <c r="F266" s="0" t="s">
        <v>49</v>
      </c>
      <c r="G266" s="0" t="n">
        <f aca="false">HYPERLINK("http://clipc-services.ceda.ac.uk/dreq/u/5913b4ec-9e49-11e5-803c-0d0b866b59f3.html","web")</f>
        <v>0</v>
      </c>
      <c r="H266" s="0" t="s">
        <v>121</v>
      </c>
      <c r="I266" s="0" t="s">
        <v>122</v>
      </c>
      <c r="J266" s="0" t="s">
        <v>794</v>
      </c>
      <c r="K266" s="0" t="s">
        <v>691</v>
      </c>
    </row>
    <row r="267" customFormat="false" ht="15" hidden="false" customHeight="false" outlineLevel="0" collapsed="false">
      <c r="A267" s="0" t="s">
        <v>686</v>
      </c>
      <c r="B267" s="0" t="s">
        <v>795</v>
      </c>
      <c r="C267" s="0" t="s">
        <v>118</v>
      </c>
      <c r="D267" s="0" t="s">
        <v>78</v>
      </c>
      <c r="E267" s="0" t="s">
        <v>796</v>
      </c>
      <c r="F267" s="0" t="s">
        <v>71</v>
      </c>
      <c r="G267" s="0" t="n">
        <f aca="false">HYPERLINK("http://clipc-services.ceda.ac.uk/dreq/u/590e2f36-9e49-11e5-803c-0d0b866b59f3.html","web")</f>
        <v>0</v>
      </c>
      <c r="H267" s="0" t="s">
        <v>121</v>
      </c>
      <c r="I267" s="0" t="s">
        <v>122</v>
      </c>
      <c r="J267" s="0" t="s">
        <v>797</v>
      </c>
      <c r="K267" s="0" t="s">
        <v>691</v>
      </c>
    </row>
    <row r="268" customFormat="false" ht="15" hidden="false" customHeight="false" outlineLevel="0" collapsed="false">
      <c r="A268" s="0" t="s">
        <v>686</v>
      </c>
      <c r="B268" s="0" t="s">
        <v>798</v>
      </c>
      <c r="C268" s="0" t="s">
        <v>118</v>
      </c>
      <c r="D268" s="0" t="s">
        <v>78</v>
      </c>
      <c r="E268" s="0" t="s">
        <v>799</v>
      </c>
      <c r="F268" s="0" t="s">
        <v>71</v>
      </c>
      <c r="G268" s="0" t="n">
        <f aca="false">HYPERLINK("http://clipc-services.ceda.ac.uk/dreq/u/5914f2a8-9e49-11e5-803c-0d0b866b59f3.html","web")</f>
        <v>0</v>
      </c>
      <c r="H268" s="0" t="s">
        <v>121</v>
      </c>
      <c r="I268" s="0" t="s">
        <v>122</v>
      </c>
      <c r="J268" s="0" t="s">
        <v>797</v>
      </c>
      <c r="K268" s="0" t="s">
        <v>691</v>
      </c>
    </row>
    <row r="269" customFormat="false" ht="15" hidden="false" customHeight="false" outlineLevel="0" collapsed="false">
      <c r="A269" s="0" t="s">
        <v>686</v>
      </c>
      <c r="B269" s="0" t="s">
        <v>800</v>
      </c>
      <c r="C269" s="0" t="s">
        <v>118</v>
      </c>
      <c r="D269" s="0" t="s">
        <v>78</v>
      </c>
      <c r="E269" s="0" t="s">
        <v>801</v>
      </c>
      <c r="F269" s="0" t="s">
        <v>71</v>
      </c>
      <c r="G269" s="0" t="n">
        <f aca="false">HYPERLINK("http://clipc-services.ceda.ac.uk/dreq/u/590eb456-9e49-11e5-803c-0d0b866b59f3.html","web")</f>
        <v>0</v>
      </c>
      <c r="H269" s="0" t="s">
        <v>121</v>
      </c>
      <c r="I269" s="0" t="s">
        <v>122</v>
      </c>
      <c r="J269" s="0" t="s">
        <v>802</v>
      </c>
      <c r="K269" s="0" t="s">
        <v>691</v>
      </c>
    </row>
    <row r="270" customFormat="false" ht="15" hidden="false" customHeight="false" outlineLevel="0" collapsed="false">
      <c r="A270" s="0" t="s">
        <v>686</v>
      </c>
      <c r="B270" s="0" t="s">
        <v>803</v>
      </c>
      <c r="C270" s="0" t="s">
        <v>118</v>
      </c>
      <c r="D270" s="0" t="s">
        <v>78</v>
      </c>
      <c r="E270" s="0" t="s">
        <v>804</v>
      </c>
      <c r="F270" s="0" t="s">
        <v>71</v>
      </c>
      <c r="G270" s="0" t="n">
        <f aca="false">HYPERLINK("http://clipc-services.ceda.ac.uk/dreq/u/591491e6-9e49-11e5-803c-0d0b866b59f3.html","web")</f>
        <v>0</v>
      </c>
      <c r="H270" s="0" t="s">
        <v>121</v>
      </c>
      <c r="I270" s="0" t="s">
        <v>122</v>
      </c>
      <c r="J270" s="0" t="s">
        <v>805</v>
      </c>
      <c r="K270" s="0" t="s">
        <v>691</v>
      </c>
    </row>
    <row r="271" customFormat="false" ht="15" hidden="false" customHeight="false" outlineLevel="0" collapsed="false">
      <c r="A271" s="0" t="s">
        <v>686</v>
      </c>
      <c r="B271" s="0" t="s">
        <v>806</v>
      </c>
      <c r="C271" s="0" t="s">
        <v>118</v>
      </c>
      <c r="D271" s="0" t="s">
        <v>78</v>
      </c>
      <c r="E271" s="0" t="s">
        <v>807</v>
      </c>
      <c r="F271" s="0" t="s">
        <v>71</v>
      </c>
      <c r="G271" s="0" t="n">
        <f aca="false">HYPERLINK("http://clipc-services.ceda.ac.uk/dreq/u/590db236-9e49-11e5-803c-0d0b866b59f3.html","web")</f>
        <v>0</v>
      </c>
      <c r="H271" s="0" t="s">
        <v>121</v>
      </c>
      <c r="I271" s="0" t="s">
        <v>122</v>
      </c>
      <c r="J271" s="0" t="s">
        <v>808</v>
      </c>
      <c r="K271" s="0" t="s">
        <v>691</v>
      </c>
    </row>
    <row r="272" customFormat="false" ht="15" hidden="false" customHeight="false" outlineLevel="0" collapsed="false">
      <c r="A272" s="0" t="s">
        <v>686</v>
      </c>
      <c r="B272" s="0" t="s">
        <v>809</v>
      </c>
      <c r="C272" s="0" t="s">
        <v>118</v>
      </c>
      <c r="D272" s="0" t="s">
        <v>78</v>
      </c>
      <c r="E272" s="0" t="s">
        <v>810</v>
      </c>
      <c r="F272" s="0" t="s">
        <v>71</v>
      </c>
      <c r="G272" s="0" t="n">
        <f aca="false">HYPERLINK("http://clipc-services.ceda.ac.uk/dreq/u/590f2bfc-9e49-11e5-803c-0d0b866b59f3.html","web")</f>
        <v>0</v>
      </c>
      <c r="H272" s="0" t="s">
        <v>121</v>
      </c>
      <c r="I272" s="0" t="s">
        <v>122</v>
      </c>
      <c r="J272" s="0" t="s">
        <v>808</v>
      </c>
      <c r="K272" s="0" t="s">
        <v>691</v>
      </c>
    </row>
    <row r="273" customFormat="false" ht="15" hidden="false" customHeight="false" outlineLevel="0" collapsed="false">
      <c r="A273" s="0" t="s">
        <v>686</v>
      </c>
      <c r="B273" s="0" t="s">
        <v>811</v>
      </c>
      <c r="C273" s="0" t="s">
        <v>118</v>
      </c>
      <c r="D273" s="0" t="s">
        <v>78</v>
      </c>
      <c r="E273" s="0" t="s">
        <v>812</v>
      </c>
      <c r="F273" s="0" t="s">
        <v>71</v>
      </c>
      <c r="G273" s="0" t="n">
        <f aca="false">HYPERLINK("http://clipc-services.ceda.ac.uk/dreq/u/84f0b2cc-acb7-11e6-b5ee-ac72891c3257.html","web")</f>
        <v>0</v>
      </c>
      <c r="H273" s="0" t="s">
        <v>121</v>
      </c>
      <c r="I273" s="0" t="s">
        <v>122</v>
      </c>
      <c r="J273" s="0" t="s">
        <v>808</v>
      </c>
      <c r="K273" s="0" t="s">
        <v>691</v>
      </c>
    </row>
    <row r="274" customFormat="false" ht="15" hidden="false" customHeight="false" outlineLevel="0" collapsed="false">
      <c r="A274" s="0" t="s">
        <v>686</v>
      </c>
      <c r="B274" s="0" t="s">
        <v>813</v>
      </c>
      <c r="C274" s="0" t="s">
        <v>118</v>
      </c>
      <c r="D274" s="0" t="s">
        <v>78</v>
      </c>
      <c r="E274" s="0" t="s">
        <v>814</v>
      </c>
      <c r="F274" s="0" t="s">
        <v>71</v>
      </c>
      <c r="G274" s="0" t="n">
        <f aca="false">HYPERLINK("http://clipc-services.ceda.ac.uk/dreq/u/59136654-9e49-11e5-803c-0d0b866b59f3.html","web")</f>
        <v>0</v>
      </c>
      <c r="H274" s="0" t="s">
        <v>121</v>
      </c>
      <c r="I274" s="0" t="s">
        <v>122</v>
      </c>
      <c r="J274" s="0" t="s">
        <v>815</v>
      </c>
      <c r="K274" s="0" t="s">
        <v>691</v>
      </c>
    </row>
    <row r="275" customFormat="false" ht="15" hidden="false" customHeight="false" outlineLevel="0" collapsed="false">
      <c r="A275" s="0" t="s">
        <v>686</v>
      </c>
      <c r="B275" s="0" t="s">
        <v>816</v>
      </c>
      <c r="C275" s="0" t="s">
        <v>118</v>
      </c>
      <c r="D275" s="0" t="s">
        <v>78</v>
      </c>
      <c r="E275" s="0" t="s">
        <v>817</v>
      </c>
      <c r="F275" s="0" t="s">
        <v>71</v>
      </c>
      <c r="G275" s="0" t="n">
        <f aca="false">HYPERLINK("http://clipc-services.ceda.ac.uk/dreq/u/590f3674-9e49-11e5-803c-0d0b866b59f3.html","web")</f>
        <v>0</v>
      </c>
      <c r="H275" s="0" t="s">
        <v>121</v>
      </c>
      <c r="I275" s="0" t="s">
        <v>122</v>
      </c>
      <c r="J275" s="0" t="s">
        <v>818</v>
      </c>
      <c r="K275" s="0" t="s">
        <v>691</v>
      </c>
    </row>
    <row r="276" customFormat="false" ht="15" hidden="false" customHeight="false" outlineLevel="0" collapsed="false">
      <c r="A276" s="0" t="s">
        <v>686</v>
      </c>
      <c r="B276" s="0" t="s">
        <v>819</v>
      </c>
      <c r="C276" s="0" t="s">
        <v>118</v>
      </c>
      <c r="D276" s="0" t="s">
        <v>78</v>
      </c>
      <c r="E276" s="0" t="s">
        <v>820</v>
      </c>
      <c r="F276" s="0" t="s">
        <v>71</v>
      </c>
      <c r="G276" s="0" t="n">
        <f aca="false">HYPERLINK("http://clipc-services.ceda.ac.uk/dreq/u/84f10236-acb7-11e6-b5ee-ac72891c3257.html","web")</f>
        <v>0</v>
      </c>
      <c r="H276" s="0" t="s">
        <v>121</v>
      </c>
      <c r="I276" s="0" t="s">
        <v>122</v>
      </c>
      <c r="J276" s="0" t="s">
        <v>821</v>
      </c>
      <c r="K276" s="0" t="s">
        <v>691</v>
      </c>
    </row>
    <row r="277" customFormat="false" ht="15" hidden="false" customHeight="false" outlineLevel="0" collapsed="false">
      <c r="A277" s="0" t="s">
        <v>686</v>
      </c>
      <c r="B277" s="0" t="s">
        <v>822</v>
      </c>
      <c r="C277" s="0" t="s">
        <v>118</v>
      </c>
      <c r="D277" s="0" t="s">
        <v>78</v>
      </c>
      <c r="E277" s="0" t="s">
        <v>823</v>
      </c>
      <c r="F277" s="0" t="s">
        <v>71</v>
      </c>
      <c r="G277" s="0" t="n">
        <f aca="false">HYPERLINK("http://clipc-services.ceda.ac.uk/dreq/u/84f0afac-acb7-11e6-b5ee-ac72891c3257.html","web")</f>
        <v>0</v>
      </c>
      <c r="H277" s="0" t="s">
        <v>121</v>
      </c>
      <c r="I277" s="0" t="s">
        <v>122</v>
      </c>
      <c r="J277" s="0" t="s">
        <v>824</v>
      </c>
      <c r="K277" s="0" t="s">
        <v>691</v>
      </c>
    </row>
    <row r="278" customFormat="false" ht="15" hidden="false" customHeight="false" outlineLevel="0" collapsed="false">
      <c r="A278" s="0" t="s">
        <v>686</v>
      </c>
      <c r="B278" s="0" t="s">
        <v>825</v>
      </c>
      <c r="C278" s="0" t="s">
        <v>118</v>
      </c>
      <c r="D278" s="0" t="s">
        <v>78</v>
      </c>
      <c r="E278" s="0" t="s">
        <v>826</v>
      </c>
      <c r="F278" s="0" t="s">
        <v>71</v>
      </c>
      <c r="G278" s="0" t="n">
        <f aca="false">HYPERLINK("http://clipc-services.ceda.ac.uk/dreq/u/84f10e7a-acb7-11e6-b5ee-ac72891c3257.html","web")</f>
        <v>0</v>
      </c>
      <c r="H278" s="0" t="s">
        <v>121</v>
      </c>
      <c r="I278" s="0" t="s">
        <v>122</v>
      </c>
      <c r="J278" s="0" t="s">
        <v>827</v>
      </c>
      <c r="K278" s="0" t="s">
        <v>691</v>
      </c>
    </row>
    <row r="279" customFormat="false" ht="15" hidden="false" customHeight="false" outlineLevel="0" collapsed="false">
      <c r="A279" s="0" t="s">
        <v>686</v>
      </c>
      <c r="B279" s="0" t="s">
        <v>828</v>
      </c>
      <c r="C279" s="0" t="s">
        <v>118</v>
      </c>
      <c r="D279" s="0" t="s">
        <v>78</v>
      </c>
      <c r="E279" s="0" t="s">
        <v>829</v>
      </c>
      <c r="F279" s="0" t="s">
        <v>71</v>
      </c>
      <c r="G279" s="0" t="n">
        <f aca="false">HYPERLINK("http://clipc-services.ceda.ac.uk/dreq/u/84f0b8d0-acb7-11e6-b5ee-ac72891c3257.html","web")</f>
        <v>0</v>
      </c>
      <c r="H279" s="0" t="s">
        <v>121</v>
      </c>
      <c r="I279" s="0" t="s">
        <v>122</v>
      </c>
      <c r="J279" s="0" t="s">
        <v>830</v>
      </c>
      <c r="K279" s="0" t="s">
        <v>691</v>
      </c>
    </row>
    <row r="280" customFormat="false" ht="15" hidden="false" customHeight="false" outlineLevel="0" collapsed="false">
      <c r="A280" s="0" t="s">
        <v>686</v>
      </c>
      <c r="B280" s="0" t="s">
        <v>831</v>
      </c>
      <c r="C280" s="0" t="s">
        <v>118</v>
      </c>
      <c r="D280" s="0" t="s">
        <v>78</v>
      </c>
      <c r="E280" s="0" t="s">
        <v>832</v>
      </c>
      <c r="F280" s="0" t="s">
        <v>71</v>
      </c>
      <c r="G280" s="0" t="n">
        <f aca="false">HYPERLINK("http://clipc-services.ceda.ac.uk/dreq/u/84f0b5e2-acb7-11e6-b5ee-ac72891c3257.html","web")</f>
        <v>0</v>
      </c>
      <c r="H280" s="0" t="s">
        <v>121</v>
      </c>
      <c r="I280" s="0" t="s">
        <v>122</v>
      </c>
      <c r="J280" s="0" t="s">
        <v>833</v>
      </c>
      <c r="K280" s="0" t="s">
        <v>691</v>
      </c>
    </row>
    <row r="281" customFormat="false" ht="15" hidden="false" customHeight="false" outlineLevel="0" collapsed="false">
      <c r="A281" s="0" t="s">
        <v>686</v>
      </c>
      <c r="B281" s="0" t="s">
        <v>834</v>
      </c>
      <c r="C281" s="0" t="s">
        <v>118</v>
      </c>
      <c r="D281" s="0" t="s">
        <v>78</v>
      </c>
      <c r="E281" s="0" t="s">
        <v>835</v>
      </c>
      <c r="F281" s="0" t="s">
        <v>71</v>
      </c>
      <c r="G281" s="0" t="n">
        <f aca="false">HYPERLINK("http://clipc-services.ceda.ac.uk/dreq/u/84f105a6-acb7-11e6-b5ee-ac72891c3257.html","web")</f>
        <v>0</v>
      </c>
      <c r="H281" s="0" t="s">
        <v>121</v>
      </c>
      <c r="I281" s="0" t="s">
        <v>122</v>
      </c>
      <c r="J281" s="0" t="s">
        <v>836</v>
      </c>
      <c r="K281" s="0" t="s">
        <v>691</v>
      </c>
    </row>
    <row r="282" customFormat="false" ht="15" hidden="false" customHeight="false" outlineLevel="0" collapsed="false">
      <c r="A282" s="0" t="s">
        <v>686</v>
      </c>
      <c r="B282" s="0" t="s">
        <v>837</v>
      </c>
      <c r="C282" s="0" t="s">
        <v>118</v>
      </c>
      <c r="D282" s="0" t="s">
        <v>78</v>
      </c>
      <c r="E282" s="0" t="s">
        <v>838</v>
      </c>
      <c r="F282" s="0" t="s">
        <v>71</v>
      </c>
      <c r="G282" s="0" t="n">
        <f aca="false">HYPERLINK("http://clipc-services.ceda.ac.uk/dreq/u/590d9f1c-9e49-11e5-803c-0d0b866b59f3.html","web")</f>
        <v>0</v>
      </c>
      <c r="H282" s="0" t="s">
        <v>121</v>
      </c>
      <c r="I282" s="0" t="s">
        <v>122</v>
      </c>
      <c r="J282" s="0" t="s">
        <v>839</v>
      </c>
      <c r="K282" s="0" t="s">
        <v>691</v>
      </c>
    </row>
    <row r="283" customFormat="false" ht="15" hidden="false" customHeight="false" outlineLevel="0" collapsed="false">
      <c r="A283" s="0" t="s">
        <v>686</v>
      </c>
      <c r="B283" s="0" t="s">
        <v>840</v>
      </c>
      <c r="C283" s="0" t="s">
        <v>118</v>
      </c>
      <c r="D283" s="0" t="s">
        <v>78</v>
      </c>
      <c r="E283" s="0" t="s">
        <v>841</v>
      </c>
      <c r="F283" s="0" t="s">
        <v>71</v>
      </c>
      <c r="G283" s="0" t="n">
        <f aca="false">HYPERLINK("http://clipc-services.ceda.ac.uk/dreq/u/591324be-9e49-11e5-803c-0d0b866b59f3.html","web")</f>
        <v>0</v>
      </c>
      <c r="H283" s="0" t="s">
        <v>121</v>
      </c>
      <c r="I283" s="0" t="s">
        <v>122</v>
      </c>
      <c r="J283" s="0" t="s">
        <v>703</v>
      </c>
      <c r="K283" s="0" t="s">
        <v>691</v>
      </c>
    </row>
    <row r="284" customFormat="false" ht="15" hidden="false" customHeight="false" outlineLevel="0" collapsed="false">
      <c r="A284" s="0" t="s">
        <v>686</v>
      </c>
      <c r="B284" s="0" t="s">
        <v>842</v>
      </c>
      <c r="C284" s="0" t="s">
        <v>118</v>
      </c>
      <c r="D284" s="0" t="s">
        <v>78</v>
      </c>
      <c r="E284" s="0" t="s">
        <v>843</v>
      </c>
      <c r="F284" s="0" t="s">
        <v>49</v>
      </c>
      <c r="G284" s="0" t="n">
        <f aca="false">HYPERLINK("http://clipc-services.ceda.ac.uk/dreq/u/591397be-9e49-11e5-803c-0d0b866b59f3.html","web")</f>
        <v>0</v>
      </c>
      <c r="H284" s="0" t="s">
        <v>121</v>
      </c>
      <c r="I284" s="0" t="s">
        <v>122</v>
      </c>
      <c r="J284" s="0" t="s">
        <v>51</v>
      </c>
      <c r="K284" s="0" t="s">
        <v>691</v>
      </c>
    </row>
    <row r="285" customFormat="false" ht="15" hidden="false" customHeight="false" outlineLevel="0" collapsed="false">
      <c r="A285" s="0" t="s">
        <v>686</v>
      </c>
      <c r="B285" s="0" t="s">
        <v>844</v>
      </c>
      <c r="C285" s="0" t="s">
        <v>118</v>
      </c>
      <c r="D285" s="0" t="s">
        <v>78</v>
      </c>
      <c r="E285" s="0" t="s">
        <v>845</v>
      </c>
      <c r="F285" s="0" t="s">
        <v>49</v>
      </c>
      <c r="G285" s="0" t="n">
        <f aca="false">HYPERLINK("http://clipc-services.ceda.ac.uk/dreq/u/59128f0e-9e49-11e5-803c-0d0b866b59f3.html","web")</f>
        <v>0</v>
      </c>
      <c r="H285" s="0" t="s">
        <v>121</v>
      </c>
      <c r="I285" s="0" t="s">
        <v>122</v>
      </c>
      <c r="J285" s="0" t="s">
        <v>782</v>
      </c>
      <c r="K285" s="0" t="s">
        <v>691</v>
      </c>
    </row>
    <row r="286" customFormat="false" ht="15" hidden="false" customHeight="false" outlineLevel="0" collapsed="false">
      <c r="A286" s="0" t="s">
        <v>686</v>
      </c>
      <c r="B286" s="0" t="s">
        <v>846</v>
      </c>
      <c r="C286" s="0" t="s">
        <v>118</v>
      </c>
      <c r="D286" s="0" t="s">
        <v>78</v>
      </c>
      <c r="E286" s="0" t="s">
        <v>847</v>
      </c>
      <c r="F286" s="0" t="s">
        <v>49</v>
      </c>
      <c r="G286" s="0" t="n">
        <f aca="false">HYPERLINK("http://clipc-services.ceda.ac.uk/dreq/u/59136dfc-9e49-11e5-803c-0d0b866b59f3.html","web")</f>
        <v>0</v>
      </c>
      <c r="H286" s="0" t="s">
        <v>121</v>
      </c>
      <c r="I286" s="0" t="s">
        <v>122</v>
      </c>
      <c r="J286" s="0" t="s">
        <v>848</v>
      </c>
      <c r="K286" s="0" t="s">
        <v>691</v>
      </c>
    </row>
    <row r="287" customFormat="false" ht="15" hidden="false" customHeight="false" outlineLevel="0" collapsed="false">
      <c r="A287" s="0" t="s">
        <v>686</v>
      </c>
      <c r="B287" s="0" t="s">
        <v>849</v>
      </c>
      <c r="C287" s="0" t="s">
        <v>118</v>
      </c>
      <c r="D287" s="0" t="s">
        <v>78</v>
      </c>
      <c r="E287" s="0" t="s">
        <v>850</v>
      </c>
      <c r="F287" s="0" t="s">
        <v>49</v>
      </c>
      <c r="G287" s="0" t="n">
        <f aca="false">HYPERLINK("http://clipc-services.ceda.ac.uk/dreq/u/5917cc94-9e49-11e5-803c-0d0b866b59f3.html","web")</f>
        <v>0</v>
      </c>
      <c r="H287" s="0" t="s">
        <v>121</v>
      </c>
      <c r="I287" s="0" t="s">
        <v>122</v>
      </c>
      <c r="J287" s="0" t="s">
        <v>785</v>
      </c>
      <c r="K287" s="0" t="s">
        <v>691</v>
      </c>
    </row>
    <row r="288" customFormat="false" ht="15" hidden="false" customHeight="false" outlineLevel="0" collapsed="false">
      <c r="A288" s="0" t="s">
        <v>686</v>
      </c>
      <c r="B288" s="0" t="s">
        <v>851</v>
      </c>
      <c r="C288" s="0" t="s">
        <v>118</v>
      </c>
      <c r="D288" s="0" t="s">
        <v>78</v>
      </c>
      <c r="E288" s="0" t="s">
        <v>852</v>
      </c>
      <c r="F288" s="0" t="s">
        <v>49</v>
      </c>
      <c r="G288" s="0" t="n">
        <f aca="false">HYPERLINK("http://clipc-services.ceda.ac.uk/dreq/u/5914de26-9e49-11e5-803c-0d0b866b59f3.html","web")</f>
        <v>0</v>
      </c>
      <c r="H288" s="0" t="s">
        <v>121</v>
      </c>
      <c r="I288" s="0" t="s">
        <v>122</v>
      </c>
      <c r="J288" s="0" t="s">
        <v>853</v>
      </c>
      <c r="K288" s="0" t="s">
        <v>691</v>
      </c>
    </row>
    <row r="289" customFormat="false" ht="15" hidden="false" customHeight="false" outlineLevel="0" collapsed="false">
      <c r="A289" s="0" t="s">
        <v>686</v>
      </c>
      <c r="B289" s="0" t="s">
        <v>854</v>
      </c>
      <c r="C289" s="0" t="s">
        <v>118</v>
      </c>
      <c r="D289" s="0" t="s">
        <v>78</v>
      </c>
      <c r="E289" s="0" t="s">
        <v>855</v>
      </c>
      <c r="F289" s="0" t="s">
        <v>49</v>
      </c>
      <c r="G289" s="0" t="n">
        <f aca="false">HYPERLINK("http://clipc-services.ceda.ac.uk/dreq/u/71c982aa-b8ab-11e6-97ab-ac72891c3257.html","web")</f>
        <v>0</v>
      </c>
      <c r="H289" s="0" t="s">
        <v>121</v>
      </c>
      <c r="I289" s="0" t="s">
        <v>122</v>
      </c>
      <c r="J289" s="0" t="s">
        <v>856</v>
      </c>
      <c r="K289" s="0" t="s">
        <v>691</v>
      </c>
    </row>
    <row r="290" customFormat="false" ht="15" hidden="false" customHeight="false" outlineLevel="0" collapsed="false">
      <c r="A290" s="0" t="s">
        <v>686</v>
      </c>
      <c r="B290" s="0" t="s">
        <v>857</v>
      </c>
      <c r="C290" s="0" t="s">
        <v>118</v>
      </c>
      <c r="D290" s="0" t="s">
        <v>78</v>
      </c>
      <c r="E290" s="0" t="s">
        <v>858</v>
      </c>
      <c r="F290" s="0" t="s">
        <v>49</v>
      </c>
      <c r="G290" s="0" t="n">
        <f aca="false">HYPERLINK("http://clipc-services.ceda.ac.uk/dreq/u/71c9768e-b8ab-11e6-97ab-ac72891c3257.html","web")</f>
        <v>0</v>
      </c>
      <c r="H290" s="0" t="s">
        <v>121</v>
      </c>
      <c r="I290" s="0" t="s">
        <v>122</v>
      </c>
      <c r="J290" s="0" t="s">
        <v>859</v>
      </c>
      <c r="K290" s="0" t="s">
        <v>691</v>
      </c>
    </row>
    <row r="291" customFormat="false" ht="15" hidden="false" customHeight="false" outlineLevel="0" collapsed="false">
      <c r="A291" s="0" t="s">
        <v>686</v>
      </c>
      <c r="B291" s="0" t="s">
        <v>860</v>
      </c>
      <c r="C291" s="0" t="s">
        <v>118</v>
      </c>
      <c r="D291" s="0" t="s">
        <v>78</v>
      </c>
      <c r="E291" s="0" t="s">
        <v>861</v>
      </c>
      <c r="F291" s="0" t="s">
        <v>49</v>
      </c>
      <c r="G291" s="0" t="n">
        <f aca="false">HYPERLINK("http://clipc-services.ceda.ac.uk/dreq/u/59151012-9e49-11e5-803c-0d0b866b59f3.html","web")</f>
        <v>0</v>
      </c>
      <c r="H291" s="0" t="s">
        <v>121</v>
      </c>
      <c r="I291" s="0" t="s">
        <v>122</v>
      </c>
      <c r="J291" s="0" t="s">
        <v>862</v>
      </c>
      <c r="K291" s="0" t="s">
        <v>691</v>
      </c>
    </row>
    <row r="292" customFormat="false" ht="15" hidden="false" customHeight="false" outlineLevel="0" collapsed="false">
      <c r="A292" s="0" t="s">
        <v>686</v>
      </c>
      <c r="B292" s="0" t="s">
        <v>863</v>
      </c>
      <c r="C292" s="0" t="s">
        <v>118</v>
      </c>
      <c r="D292" s="0" t="s">
        <v>78</v>
      </c>
      <c r="E292" s="0" t="s">
        <v>864</v>
      </c>
      <c r="F292" s="0" t="s">
        <v>49</v>
      </c>
      <c r="G292" s="0" t="n">
        <f aca="false">HYPERLINK("http://clipc-services.ceda.ac.uk/dreq/u/59129468-9e49-11e5-803c-0d0b866b59f3.html","web")</f>
        <v>0</v>
      </c>
      <c r="H292" s="0" t="s">
        <v>121</v>
      </c>
      <c r="I292" s="0" t="s">
        <v>122</v>
      </c>
      <c r="J292" s="0" t="s">
        <v>865</v>
      </c>
      <c r="K292" s="0" t="s">
        <v>691</v>
      </c>
    </row>
    <row r="293" customFormat="false" ht="15" hidden="false" customHeight="false" outlineLevel="0" collapsed="false">
      <c r="A293" s="0" t="s">
        <v>686</v>
      </c>
      <c r="B293" s="0" t="s">
        <v>866</v>
      </c>
      <c r="C293" s="0" t="s">
        <v>13</v>
      </c>
      <c r="D293" s="0" t="s">
        <v>78</v>
      </c>
      <c r="E293" s="0" t="s">
        <v>867</v>
      </c>
      <c r="F293" s="0" t="s">
        <v>71</v>
      </c>
      <c r="G293" s="0" t="n">
        <f aca="false">HYPERLINK("http://clipc-services.ceda.ac.uk/dreq/u/591514ea-9e49-11e5-803c-0d0b866b59f3.html","web")</f>
        <v>0</v>
      </c>
      <c r="H293" s="0" t="s">
        <v>121</v>
      </c>
      <c r="I293" s="0" t="s">
        <v>122</v>
      </c>
      <c r="J293" s="0" t="s">
        <v>868</v>
      </c>
      <c r="K293" s="0" t="s">
        <v>710</v>
      </c>
    </row>
    <row r="294" customFormat="false" ht="15" hidden="false" customHeight="false" outlineLevel="0" collapsed="false">
      <c r="A294" s="0" t="s">
        <v>686</v>
      </c>
      <c r="B294" s="0" t="s">
        <v>869</v>
      </c>
      <c r="C294" s="0" t="s">
        <v>118</v>
      </c>
      <c r="D294" s="0" t="s">
        <v>78</v>
      </c>
      <c r="E294" s="0" t="s">
        <v>870</v>
      </c>
      <c r="F294" s="0" t="s">
        <v>71</v>
      </c>
      <c r="G294" s="0" t="n">
        <f aca="false">HYPERLINK("http://clipc-services.ceda.ac.uk/dreq/u/59174d14-9e49-11e5-803c-0d0b866b59f3.html","web")</f>
        <v>0</v>
      </c>
      <c r="H294" s="0" t="s">
        <v>121</v>
      </c>
      <c r="I294" s="0" t="s">
        <v>122</v>
      </c>
      <c r="J294" s="0" t="s">
        <v>871</v>
      </c>
      <c r="K294" s="0" t="s">
        <v>691</v>
      </c>
    </row>
    <row r="295" customFormat="false" ht="15" hidden="false" customHeight="false" outlineLevel="0" collapsed="false">
      <c r="A295" s="0" t="s">
        <v>686</v>
      </c>
      <c r="B295" s="0" t="s">
        <v>872</v>
      </c>
      <c r="C295" s="0" t="s">
        <v>118</v>
      </c>
      <c r="D295" s="0" t="s">
        <v>78</v>
      </c>
      <c r="E295" s="0" t="s">
        <v>873</v>
      </c>
      <c r="F295" s="0" t="s">
        <v>71</v>
      </c>
      <c r="G295" s="0" t="n">
        <f aca="false">HYPERLINK("http://clipc-services.ceda.ac.uk/dreq/u/5913e156-9e49-11e5-803c-0d0b866b59f3.html","web")</f>
        <v>0</v>
      </c>
      <c r="H295" s="0" t="s">
        <v>121</v>
      </c>
      <c r="I295" s="0" t="s">
        <v>122</v>
      </c>
      <c r="J295" s="0" t="s">
        <v>874</v>
      </c>
      <c r="K295" s="0" t="s">
        <v>691</v>
      </c>
    </row>
    <row r="296" customFormat="false" ht="15" hidden="false" customHeight="false" outlineLevel="0" collapsed="false">
      <c r="A296" s="0" t="s">
        <v>686</v>
      </c>
      <c r="B296" s="0" t="s">
        <v>875</v>
      </c>
      <c r="C296" s="0" t="s">
        <v>13</v>
      </c>
      <c r="D296" s="0" t="s">
        <v>78</v>
      </c>
      <c r="E296" s="0" t="s">
        <v>876</v>
      </c>
      <c r="F296" s="0" t="s">
        <v>71</v>
      </c>
      <c r="G296" s="0" t="n">
        <f aca="false">HYPERLINK("http://clipc-services.ceda.ac.uk/dreq/u/59152142-9e49-11e5-803c-0d0b866b59f3.html","web")</f>
        <v>0</v>
      </c>
      <c r="H296" s="0" t="s">
        <v>877</v>
      </c>
      <c r="I296" s="0" t="s">
        <v>122</v>
      </c>
      <c r="J296" s="0" t="s">
        <v>878</v>
      </c>
      <c r="K296" s="0" t="s">
        <v>879</v>
      </c>
    </row>
    <row r="297" customFormat="false" ht="15" hidden="false" customHeight="false" outlineLevel="0" collapsed="false">
      <c r="A297" s="0" t="s">
        <v>686</v>
      </c>
      <c r="B297" s="0" t="s">
        <v>59</v>
      </c>
      <c r="C297" s="0" t="s">
        <v>13</v>
      </c>
      <c r="D297" s="0" t="s">
        <v>880</v>
      </c>
      <c r="E297" s="0" t="s">
        <v>61</v>
      </c>
      <c r="F297" s="0" t="s">
        <v>62</v>
      </c>
      <c r="G297" s="0" t="n">
        <f aca="false">HYPERLINK("http://clipc-services.ceda.ac.uk/dreq/u/be9cffbb781e32b0bc311b22fa5c0322.html","web")</f>
        <v>0</v>
      </c>
      <c r="H297" s="0" t="s">
        <v>63</v>
      </c>
      <c r="I297" s="0" t="s">
        <v>64</v>
      </c>
      <c r="J297" s="0" t="s">
        <v>65</v>
      </c>
      <c r="K297" s="0" t="s">
        <v>881</v>
      </c>
    </row>
    <row r="298" customFormat="false" ht="15" hidden="false" customHeight="false" outlineLevel="0" collapsed="false">
      <c r="A298" s="0" t="s">
        <v>686</v>
      </c>
      <c r="B298" s="0" t="s">
        <v>882</v>
      </c>
      <c r="C298" s="0" t="s">
        <v>13</v>
      </c>
      <c r="D298" s="0" t="s">
        <v>78</v>
      </c>
      <c r="E298" s="0" t="s">
        <v>883</v>
      </c>
      <c r="F298" s="0" t="s">
        <v>884</v>
      </c>
      <c r="G298" s="0" t="n">
        <f aca="false">HYPERLINK("http://clipc-services.ceda.ac.uk/dreq/u/59177dc0-9e49-11e5-803c-0d0b866b59f3.html","web")</f>
        <v>0</v>
      </c>
      <c r="H298" s="0" t="s">
        <v>885</v>
      </c>
      <c r="I298" s="0" t="s">
        <v>56</v>
      </c>
      <c r="J298" s="0" t="s">
        <v>886</v>
      </c>
      <c r="K298" s="0" t="s">
        <v>632</v>
      </c>
    </row>
    <row r="299" customFormat="false" ht="15" hidden="false" customHeight="false" outlineLevel="0" collapsed="false">
      <c r="A299" s="0" t="s">
        <v>686</v>
      </c>
      <c r="B299" s="0" t="s">
        <v>887</v>
      </c>
      <c r="C299" s="0" t="s">
        <v>13</v>
      </c>
      <c r="D299" s="0" t="s">
        <v>78</v>
      </c>
      <c r="E299" s="0" t="s">
        <v>888</v>
      </c>
      <c r="F299" s="0" t="s">
        <v>884</v>
      </c>
      <c r="G299" s="0" t="n">
        <f aca="false">HYPERLINK("http://clipc-services.ceda.ac.uk/dreq/u/591306a0-9e49-11e5-803c-0d0b866b59f3.html","web")</f>
        <v>0</v>
      </c>
      <c r="H299" s="0" t="s">
        <v>889</v>
      </c>
      <c r="I299" s="0" t="s">
        <v>56</v>
      </c>
      <c r="J299" s="0" t="s">
        <v>890</v>
      </c>
      <c r="K299" s="0" t="s">
        <v>632</v>
      </c>
    </row>
    <row r="300" customFormat="false" ht="15" hidden="false" customHeight="false" outlineLevel="0" collapsed="false">
      <c r="A300" s="0" t="s">
        <v>686</v>
      </c>
      <c r="B300" s="0" t="s">
        <v>891</v>
      </c>
      <c r="C300" s="0" t="s">
        <v>13</v>
      </c>
      <c r="D300" s="0" t="s">
        <v>78</v>
      </c>
      <c r="E300" s="0" t="s">
        <v>892</v>
      </c>
      <c r="F300" s="0" t="s">
        <v>71</v>
      </c>
      <c r="G300" s="0" t="n">
        <f aca="false">HYPERLINK("http://clipc-services.ceda.ac.uk/dreq/u/b71c89e6003d19738e44474eaacf8ef0.html","web")</f>
        <v>0</v>
      </c>
      <c r="H300" s="0" t="s">
        <v>877</v>
      </c>
      <c r="I300" s="0" t="s">
        <v>122</v>
      </c>
      <c r="J300" s="0" t="s">
        <v>893</v>
      </c>
      <c r="K300" s="0" t="s">
        <v>894</v>
      </c>
    </row>
    <row r="301" customFormat="false" ht="15" hidden="false" customHeight="false" outlineLevel="0" collapsed="false">
      <c r="A301" s="0" t="s">
        <v>686</v>
      </c>
      <c r="B301" s="0" t="s">
        <v>895</v>
      </c>
      <c r="C301" s="0" t="s">
        <v>13</v>
      </c>
      <c r="D301" s="0" t="s">
        <v>78</v>
      </c>
      <c r="E301" s="0" t="s">
        <v>896</v>
      </c>
      <c r="F301" s="0" t="s">
        <v>71</v>
      </c>
      <c r="G301" s="0" t="n">
        <f aca="false">HYPERLINK("http://clipc-services.ceda.ac.uk/dreq/u/2191e3410c3a2beedfec222f81f028b6.html","web")</f>
        <v>0</v>
      </c>
      <c r="H301" s="0" t="s">
        <v>121</v>
      </c>
      <c r="I301" s="0" t="s">
        <v>122</v>
      </c>
      <c r="J301" s="0" t="s">
        <v>897</v>
      </c>
      <c r="K301" s="0" t="s">
        <v>894</v>
      </c>
    </row>
    <row r="302" customFormat="false" ht="15" hidden="false" customHeight="false" outlineLevel="0" collapsed="false">
      <c r="A302" s="0" t="s">
        <v>686</v>
      </c>
      <c r="B302" s="0" t="s">
        <v>898</v>
      </c>
      <c r="C302" s="0" t="s">
        <v>118</v>
      </c>
      <c r="D302" s="0" t="s">
        <v>78</v>
      </c>
      <c r="E302" s="0" t="s">
        <v>899</v>
      </c>
      <c r="F302" s="0" t="s">
        <v>49</v>
      </c>
      <c r="G302" s="0" t="n">
        <f aca="false">HYPERLINK("http://clipc-services.ceda.ac.uk/dreq/u/64d818a9a2f9e72570449c024070950e.html","web")</f>
        <v>0</v>
      </c>
      <c r="H302" s="0" t="s">
        <v>121</v>
      </c>
      <c r="I302" s="0" t="s">
        <v>122</v>
      </c>
      <c r="J302" s="0" t="s">
        <v>900</v>
      </c>
      <c r="K302" s="0" t="s">
        <v>894</v>
      </c>
    </row>
    <row r="303" customFormat="false" ht="15" hidden="false" customHeight="false" outlineLevel="0" collapsed="false">
      <c r="A303" s="0" t="s">
        <v>686</v>
      </c>
      <c r="B303" s="0" t="s">
        <v>901</v>
      </c>
      <c r="C303" s="0" t="s">
        <v>13</v>
      </c>
      <c r="D303" s="0" t="s">
        <v>173</v>
      </c>
      <c r="E303" s="0" t="s">
        <v>902</v>
      </c>
      <c r="F303" s="0" t="s">
        <v>71</v>
      </c>
      <c r="G303" s="0" t="n">
        <f aca="false">HYPERLINK("http://clipc-services.ceda.ac.uk/dreq/u/590a8976-9e49-11e5-803c-0d0b866b59f3.html","web")</f>
        <v>0</v>
      </c>
      <c r="H303" s="0" t="s">
        <v>121</v>
      </c>
      <c r="I303" s="0" t="s">
        <v>122</v>
      </c>
      <c r="J303" s="0" t="s">
        <v>903</v>
      </c>
      <c r="K303" s="0" t="s">
        <v>151</v>
      </c>
    </row>
    <row r="304" customFormat="false" ht="15" hidden="false" customHeight="false" outlineLevel="0" collapsed="false">
      <c r="A304" s="0" t="s">
        <v>686</v>
      </c>
      <c r="B304" s="0" t="s">
        <v>904</v>
      </c>
      <c r="C304" s="0" t="s">
        <v>13</v>
      </c>
      <c r="D304" s="0" t="s">
        <v>173</v>
      </c>
      <c r="E304" s="0" t="s">
        <v>905</v>
      </c>
      <c r="F304" s="0" t="s">
        <v>71</v>
      </c>
      <c r="G304" s="0" t="n">
        <f aca="false">HYPERLINK("http://clipc-services.ceda.ac.uk/dreq/u/59140726-9e49-11e5-803c-0d0b866b59f3.html","web")</f>
        <v>0</v>
      </c>
      <c r="H304" s="0" t="s">
        <v>121</v>
      </c>
      <c r="I304" s="0" t="s">
        <v>122</v>
      </c>
      <c r="J304" s="0" t="s">
        <v>906</v>
      </c>
      <c r="K304" s="0" t="s">
        <v>151</v>
      </c>
    </row>
    <row r="305" customFormat="false" ht="15" hidden="false" customHeight="false" outlineLevel="0" collapsed="false">
      <c r="A305" s="0" t="s">
        <v>686</v>
      </c>
      <c r="B305" s="0" t="s">
        <v>907</v>
      </c>
      <c r="C305" s="0" t="s">
        <v>13</v>
      </c>
      <c r="D305" s="0" t="s">
        <v>173</v>
      </c>
      <c r="E305" s="0" t="s">
        <v>908</v>
      </c>
      <c r="F305" s="0" t="s">
        <v>71</v>
      </c>
      <c r="G305" s="0" t="n">
        <f aca="false">HYPERLINK("http://clipc-services.ceda.ac.uk/dreq/u/59148a84-9e49-11e5-803c-0d0b866b59f3.html","web")</f>
        <v>0</v>
      </c>
      <c r="H305" s="0" t="s">
        <v>121</v>
      </c>
      <c r="I305" s="0" t="s">
        <v>122</v>
      </c>
      <c r="J305" s="0" t="s">
        <v>909</v>
      </c>
      <c r="K305" s="0" t="s">
        <v>151</v>
      </c>
    </row>
    <row r="306" customFormat="false" ht="15" hidden="false" customHeight="false" outlineLevel="0" collapsed="false">
      <c r="A306" s="0" t="s">
        <v>686</v>
      </c>
      <c r="B306" s="0" t="s">
        <v>910</v>
      </c>
      <c r="C306" s="0" t="s">
        <v>13</v>
      </c>
      <c r="D306" s="0" t="s">
        <v>173</v>
      </c>
      <c r="E306" s="0" t="s">
        <v>911</v>
      </c>
      <c r="F306" s="0" t="s">
        <v>71</v>
      </c>
      <c r="G306" s="0" t="n">
        <f aca="false">HYPERLINK("http://clipc-services.ceda.ac.uk/dreq/u/59148f52-9e49-11e5-803c-0d0b866b59f3.html","web")</f>
        <v>0</v>
      </c>
      <c r="H306" s="0" t="s">
        <v>121</v>
      </c>
      <c r="I306" s="0" t="s">
        <v>122</v>
      </c>
      <c r="J306" s="0" t="s">
        <v>912</v>
      </c>
      <c r="K306" s="0" t="s">
        <v>151</v>
      </c>
    </row>
    <row r="307" customFormat="false" ht="15" hidden="false" customHeight="false" outlineLevel="0" collapsed="false">
      <c r="A307" s="0" t="s">
        <v>686</v>
      </c>
      <c r="B307" s="0" t="s">
        <v>913</v>
      </c>
      <c r="C307" s="0" t="s">
        <v>13</v>
      </c>
      <c r="D307" s="0" t="s">
        <v>173</v>
      </c>
      <c r="E307" s="0" t="s">
        <v>914</v>
      </c>
      <c r="F307" s="0" t="s">
        <v>71</v>
      </c>
      <c r="G307" s="0" t="n">
        <f aca="false">HYPERLINK("http://clipc-services.ceda.ac.uk/dreq/u/5912a174-9e49-11e5-803c-0d0b866b59f3.html","web")</f>
        <v>0</v>
      </c>
      <c r="H307" s="0" t="s">
        <v>121</v>
      </c>
      <c r="I307" s="0" t="s">
        <v>122</v>
      </c>
      <c r="J307" s="0" t="s">
        <v>915</v>
      </c>
      <c r="K307" s="0" t="s">
        <v>151</v>
      </c>
    </row>
    <row r="308" customFormat="false" ht="15" hidden="false" customHeight="false" outlineLevel="0" collapsed="false">
      <c r="A308" s="0" t="s">
        <v>686</v>
      </c>
      <c r="B308" s="0" t="s">
        <v>916</v>
      </c>
      <c r="C308" s="0" t="s">
        <v>13</v>
      </c>
      <c r="D308" s="0" t="s">
        <v>173</v>
      </c>
      <c r="E308" s="0" t="s">
        <v>917</v>
      </c>
      <c r="F308" s="0" t="s">
        <v>71</v>
      </c>
      <c r="G308" s="0" t="n">
        <f aca="false">HYPERLINK("http://clipc-services.ceda.ac.uk/dreq/u/590ed0a8-9e49-11e5-803c-0d0b866b59f3.html","web")</f>
        <v>0</v>
      </c>
      <c r="H308" s="0" t="s">
        <v>121</v>
      </c>
      <c r="I308" s="0" t="s">
        <v>122</v>
      </c>
      <c r="J308" s="0" t="s">
        <v>918</v>
      </c>
      <c r="K308" s="0" t="s">
        <v>151</v>
      </c>
    </row>
    <row r="309" customFormat="false" ht="15" hidden="false" customHeight="false" outlineLevel="0" collapsed="false">
      <c r="A309" s="0" t="s">
        <v>686</v>
      </c>
      <c r="B309" s="0" t="s">
        <v>919</v>
      </c>
      <c r="C309" s="0" t="s">
        <v>13</v>
      </c>
      <c r="D309" s="0" t="s">
        <v>920</v>
      </c>
      <c r="E309" s="0" t="s">
        <v>921</v>
      </c>
      <c r="F309" s="0" t="s">
        <v>16</v>
      </c>
      <c r="G309" s="0" t="n">
        <f aca="false">HYPERLINK("http://clipc-services.ceda.ac.uk/dreq/u/59170110-9e49-11e5-803c-0d0b866b59f3.html","web")</f>
        <v>0</v>
      </c>
      <c r="H309" s="0" t="s">
        <v>121</v>
      </c>
      <c r="I309" s="0" t="s">
        <v>122</v>
      </c>
      <c r="J309" s="0" t="s">
        <v>922</v>
      </c>
      <c r="K309" s="0" t="s">
        <v>176</v>
      </c>
    </row>
    <row r="310" customFormat="false" ht="15" hidden="false" customHeight="false" outlineLevel="0" collapsed="false">
      <c r="A310" s="0" t="s">
        <v>686</v>
      </c>
      <c r="B310" s="0" t="s">
        <v>923</v>
      </c>
      <c r="C310" s="0" t="s">
        <v>13</v>
      </c>
      <c r="D310" s="0" t="s">
        <v>173</v>
      </c>
      <c r="E310" s="0" t="s">
        <v>924</v>
      </c>
      <c r="F310" s="0" t="s">
        <v>13</v>
      </c>
      <c r="G310" s="0" t="n">
        <f aca="false">HYPERLINK("http://clipc-services.ceda.ac.uk/dreq/u/590f8d36-9e49-11e5-803c-0d0b866b59f3.html","web")</f>
        <v>0</v>
      </c>
      <c r="H310" s="0" t="s">
        <v>121</v>
      </c>
      <c r="I310" s="0" t="s">
        <v>122</v>
      </c>
      <c r="J310" s="0" t="s">
        <v>646</v>
      </c>
      <c r="K310" s="0" t="s">
        <v>151</v>
      </c>
    </row>
    <row r="311" customFormat="false" ht="15" hidden="false" customHeight="false" outlineLevel="0" collapsed="false">
      <c r="A311" s="0" t="s">
        <v>686</v>
      </c>
      <c r="B311" s="0" t="s">
        <v>925</v>
      </c>
      <c r="C311" s="0" t="s">
        <v>13</v>
      </c>
      <c r="D311" s="0" t="s">
        <v>926</v>
      </c>
      <c r="E311" s="0" t="s">
        <v>927</v>
      </c>
      <c r="F311" s="0" t="s">
        <v>49</v>
      </c>
      <c r="G311" s="0" t="n">
        <f aca="false">HYPERLINK("http://clipc-services.ceda.ac.uk/dreq/u/590f983a-9e49-11e5-803c-0d0b866b59f3.html","web")</f>
        <v>0</v>
      </c>
      <c r="H311" s="0" t="s">
        <v>121</v>
      </c>
      <c r="I311" s="0" t="s">
        <v>122</v>
      </c>
      <c r="J311" s="0" t="s">
        <v>928</v>
      </c>
      <c r="K311" s="0" t="s">
        <v>151</v>
      </c>
    </row>
    <row r="312" customFormat="false" ht="15" hidden="false" customHeight="false" outlineLevel="0" collapsed="false">
      <c r="A312" s="0" t="s">
        <v>686</v>
      </c>
      <c r="B312" s="0" t="s">
        <v>929</v>
      </c>
      <c r="C312" s="0" t="s">
        <v>13</v>
      </c>
      <c r="D312" s="0" t="s">
        <v>173</v>
      </c>
      <c r="E312" s="0" t="s">
        <v>930</v>
      </c>
      <c r="F312" s="0" t="s">
        <v>71</v>
      </c>
      <c r="G312" s="0" t="n">
        <f aca="false">HYPERLINK("http://clipc-services.ceda.ac.uk/dreq/u/5913bc80-9e49-11e5-803c-0d0b866b59f3.html","web")</f>
        <v>0</v>
      </c>
      <c r="H312" s="0" t="s">
        <v>121</v>
      </c>
      <c r="I312" s="0" t="s">
        <v>122</v>
      </c>
      <c r="J312" s="0" t="s">
        <v>931</v>
      </c>
      <c r="K312" s="0" t="s">
        <v>151</v>
      </c>
    </row>
    <row r="313" customFormat="false" ht="15" hidden="false" customHeight="false" outlineLevel="0" collapsed="false">
      <c r="A313" s="0" t="s">
        <v>686</v>
      </c>
      <c r="B313" s="0" t="s">
        <v>932</v>
      </c>
      <c r="C313" s="0" t="s">
        <v>13</v>
      </c>
      <c r="D313" s="0" t="s">
        <v>173</v>
      </c>
      <c r="E313" s="0" t="s">
        <v>933</v>
      </c>
      <c r="F313" s="0" t="s">
        <v>49</v>
      </c>
      <c r="G313" s="0" t="n">
        <f aca="false">HYPERLINK("http://clipc-services.ceda.ac.uk/dreq/u/590d606a-9e49-11e5-803c-0d0b866b59f3.html","web")</f>
        <v>0</v>
      </c>
      <c r="H313" s="0" t="s">
        <v>121</v>
      </c>
      <c r="I313" s="0" t="s">
        <v>122</v>
      </c>
      <c r="J313" s="0" t="s">
        <v>934</v>
      </c>
      <c r="K313" s="0" t="s">
        <v>151</v>
      </c>
    </row>
    <row r="314" customFormat="false" ht="15" hidden="false" customHeight="false" outlineLevel="0" collapsed="false">
      <c r="A314" s="0" t="s">
        <v>686</v>
      </c>
      <c r="B314" s="0" t="s">
        <v>935</v>
      </c>
      <c r="C314" s="0" t="s">
        <v>13</v>
      </c>
      <c r="D314" s="0" t="s">
        <v>173</v>
      </c>
      <c r="E314" s="0" t="s">
        <v>936</v>
      </c>
      <c r="F314" s="0" t="s">
        <v>71</v>
      </c>
      <c r="G314" s="0" t="n">
        <f aca="false">HYPERLINK("http://clipc-services.ceda.ac.uk/dreq/u/3f305b94-b89b-11e6-be04-ac72891c3257.html","web")</f>
        <v>0</v>
      </c>
      <c r="H314" s="0" t="s">
        <v>121</v>
      </c>
      <c r="I314" s="0" t="s">
        <v>122</v>
      </c>
      <c r="J314" s="0" t="s">
        <v>937</v>
      </c>
      <c r="K314" s="0" t="s">
        <v>151</v>
      </c>
    </row>
    <row r="315" customFormat="false" ht="15" hidden="false" customHeight="false" outlineLevel="0" collapsed="false">
      <c r="A315" s="0" t="s">
        <v>686</v>
      </c>
      <c r="B315" s="0" t="s">
        <v>938</v>
      </c>
      <c r="C315" s="0" t="s">
        <v>13</v>
      </c>
      <c r="D315" s="0" t="s">
        <v>173</v>
      </c>
      <c r="E315" s="0" t="s">
        <v>939</v>
      </c>
      <c r="F315" s="0" t="s">
        <v>71</v>
      </c>
      <c r="G315" s="0" t="n">
        <f aca="false">HYPERLINK("http://clipc-services.ceda.ac.uk/dreq/u/3f3074ee-b89b-11e6-be04-ac72891c3257.html","web")</f>
        <v>0</v>
      </c>
      <c r="H315" s="0" t="s">
        <v>121</v>
      </c>
      <c r="I315" s="0" t="s">
        <v>122</v>
      </c>
      <c r="J315" s="0" t="s">
        <v>940</v>
      </c>
      <c r="K315" s="0" t="s">
        <v>151</v>
      </c>
    </row>
    <row r="316" customFormat="false" ht="15" hidden="false" customHeight="false" outlineLevel="0" collapsed="false">
      <c r="A316" s="0" t="s">
        <v>686</v>
      </c>
      <c r="B316" s="0" t="s">
        <v>941</v>
      </c>
      <c r="C316" s="0" t="s">
        <v>13</v>
      </c>
      <c r="D316" s="0" t="s">
        <v>173</v>
      </c>
      <c r="E316" s="0" t="s">
        <v>942</v>
      </c>
      <c r="F316" s="0" t="s">
        <v>71</v>
      </c>
      <c r="G316" s="0" t="n">
        <f aca="false">HYPERLINK("http://clipc-services.ceda.ac.uk/dreq/u/3f30714c-b89b-11e6-be04-ac72891c3257.html","web")</f>
        <v>0</v>
      </c>
      <c r="H316" s="0" t="s">
        <v>121</v>
      </c>
      <c r="I316" s="0" t="s">
        <v>122</v>
      </c>
      <c r="J316" s="0" t="s">
        <v>943</v>
      </c>
      <c r="K316" s="0" t="s">
        <v>151</v>
      </c>
    </row>
    <row r="317" customFormat="false" ht="15" hidden="false" customHeight="false" outlineLevel="0" collapsed="false">
      <c r="A317" s="0" t="s">
        <v>686</v>
      </c>
      <c r="B317" s="0" t="s">
        <v>944</v>
      </c>
      <c r="C317" s="0" t="s">
        <v>13</v>
      </c>
      <c r="D317" s="0" t="s">
        <v>173</v>
      </c>
      <c r="E317" s="0" t="s">
        <v>945</v>
      </c>
      <c r="F317" s="0" t="s">
        <v>71</v>
      </c>
      <c r="G317" s="0" t="n">
        <f aca="false">HYPERLINK("http://clipc-services.ceda.ac.uk/dreq/u/3f3067e2-b89b-11e6-be04-ac72891c3257.html","web")</f>
        <v>0</v>
      </c>
      <c r="H317" s="0" t="s">
        <v>121</v>
      </c>
      <c r="I317" s="0" t="s">
        <v>122</v>
      </c>
      <c r="J317" s="0" t="s">
        <v>946</v>
      </c>
      <c r="K317" s="0" t="s">
        <v>151</v>
      </c>
    </row>
    <row r="318" customFormat="false" ht="15" hidden="false" customHeight="false" outlineLevel="0" collapsed="false">
      <c r="A318" s="0" t="s">
        <v>686</v>
      </c>
      <c r="B318" s="0" t="s">
        <v>947</v>
      </c>
      <c r="C318" s="0" t="s">
        <v>13</v>
      </c>
      <c r="D318" s="0" t="s">
        <v>173</v>
      </c>
      <c r="E318" s="0" t="s">
        <v>948</v>
      </c>
      <c r="F318" s="0" t="s">
        <v>71</v>
      </c>
      <c r="G318" s="0" t="n">
        <f aca="false">HYPERLINK("http://clipc-services.ceda.ac.uk/dreq/u/3f3051c6-b89b-11e6-be04-ac72891c3257.html","web")</f>
        <v>0</v>
      </c>
      <c r="H318" s="0" t="s">
        <v>121</v>
      </c>
      <c r="I318" s="0" t="s">
        <v>122</v>
      </c>
      <c r="J318" s="0" t="s">
        <v>949</v>
      </c>
      <c r="K318" s="0" t="s">
        <v>151</v>
      </c>
    </row>
    <row r="319" customFormat="false" ht="15" hidden="false" customHeight="false" outlineLevel="0" collapsed="false">
      <c r="A319" s="0" t="s">
        <v>686</v>
      </c>
      <c r="B319" s="0" t="s">
        <v>180</v>
      </c>
      <c r="C319" s="0" t="s">
        <v>13</v>
      </c>
      <c r="D319" s="0" t="s">
        <v>173</v>
      </c>
      <c r="E319" s="0" t="s">
        <v>181</v>
      </c>
      <c r="F319" s="0" t="s">
        <v>16</v>
      </c>
      <c r="G319" s="0" t="n">
        <f aca="false">HYPERLINK("http://clipc-services.ceda.ac.uk/dreq/u/591423aa-9e49-11e5-803c-0d0b866b59f3.html","web")</f>
        <v>0</v>
      </c>
      <c r="H319" s="0" t="s">
        <v>121</v>
      </c>
      <c r="I319" s="0" t="s">
        <v>122</v>
      </c>
      <c r="J319" s="0" t="s">
        <v>182</v>
      </c>
      <c r="K319" s="0" t="s">
        <v>176</v>
      </c>
    </row>
    <row r="320" customFormat="false" ht="15" hidden="false" customHeight="false" outlineLevel="0" collapsed="false">
      <c r="A320" s="0" t="s">
        <v>686</v>
      </c>
      <c r="B320" s="0" t="s">
        <v>950</v>
      </c>
      <c r="C320" s="0" t="s">
        <v>13</v>
      </c>
      <c r="D320" s="0" t="s">
        <v>78</v>
      </c>
      <c r="E320" s="0" t="s">
        <v>951</v>
      </c>
      <c r="F320" s="0" t="s">
        <v>71</v>
      </c>
      <c r="G320" s="0" t="n">
        <f aca="false">HYPERLINK("http://clipc-services.ceda.ac.uk/dreq/u/2ca539fe3d21e4555ac39018c99b357d.html","web")</f>
        <v>0</v>
      </c>
      <c r="H320" s="0" t="s">
        <v>952</v>
      </c>
      <c r="I320" s="0" t="s">
        <v>122</v>
      </c>
      <c r="J320" s="0" t="s">
        <v>953</v>
      </c>
      <c r="K320" s="0" t="s">
        <v>954</v>
      </c>
    </row>
    <row r="321" customFormat="false" ht="15" hidden="false" customHeight="false" outlineLevel="0" collapsed="false">
      <c r="A321" s="0" t="s">
        <v>686</v>
      </c>
      <c r="B321" s="0" t="s">
        <v>955</v>
      </c>
      <c r="C321" s="0" t="s">
        <v>13</v>
      </c>
      <c r="D321" s="0" t="s">
        <v>78</v>
      </c>
      <c r="E321" s="0" t="s">
        <v>956</v>
      </c>
      <c r="F321" s="0" t="s">
        <v>957</v>
      </c>
      <c r="G321" s="0" t="n">
        <f aca="false">HYPERLINK("http://clipc-services.ceda.ac.uk/dreq/u/590de58a-9e49-11e5-803c-0d0b866b59f3.html","web")</f>
        <v>0</v>
      </c>
      <c r="H321" s="0" t="s">
        <v>958</v>
      </c>
      <c r="I321" s="0" t="s">
        <v>56</v>
      </c>
      <c r="J321" s="0" t="s">
        <v>959</v>
      </c>
      <c r="K321" s="0" t="s">
        <v>954</v>
      </c>
    </row>
    <row r="322" customFormat="false" ht="15" hidden="false" customHeight="false" outlineLevel="0" collapsed="false">
      <c r="A322" s="0" t="s">
        <v>686</v>
      </c>
      <c r="B322" s="0" t="s">
        <v>960</v>
      </c>
      <c r="C322" s="0" t="s">
        <v>13</v>
      </c>
      <c r="D322" s="0" t="s">
        <v>78</v>
      </c>
      <c r="E322" s="0" t="s">
        <v>961</v>
      </c>
      <c r="F322" s="0" t="s">
        <v>957</v>
      </c>
      <c r="G322" s="0" t="n">
        <f aca="false">HYPERLINK("http://clipc-services.ceda.ac.uk/dreq/u/591444ca-9e49-11e5-803c-0d0b866b59f3.html","web")</f>
        <v>0</v>
      </c>
      <c r="H322" s="0" t="s">
        <v>962</v>
      </c>
      <c r="I322" s="0" t="s">
        <v>56</v>
      </c>
      <c r="J322" s="0" t="s">
        <v>961</v>
      </c>
      <c r="K322" s="0" t="s">
        <v>954</v>
      </c>
    </row>
    <row r="323" customFormat="false" ht="15" hidden="false" customHeight="false" outlineLevel="0" collapsed="false">
      <c r="A323" s="0" t="s">
        <v>686</v>
      </c>
      <c r="B323" s="0" t="s">
        <v>963</v>
      </c>
      <c r="C323" s="0" t="s">
        <v>13</v>
      </c>
      <c r="D323" s="0" t="s">
        <v>78</v>
      </c>
      <c r="E323" s="0" t="s">
        <v>964</v>
      </c>
      <c r="F323" s="0" t="s">
        <v>965</v>
      </c>
      <c r="G323" s="0" t="n">
        <f aca="false">HYPERLINK("http://clipc-services.ceda.ac.uk/dreq/u/5917acf0-9e49-11e5-803c-0d0b866b59f3.html","web")</f>
        <v>0</v>
      </c>
      <c r="H323" s="0" t="s">
        <v>966</v>
      </c>
      <c r="I323" s="0" t="s">
        <v>56</v>
      </c>
      <c r="J323" s="0" t="s">
        <v>967</v>
      </c>
      <c r="K323" s="0" t="s">
        <v>954</v>
      </c>
    </row>
    <row r="324" customFormat="false" ht="15" hidden="false" customHeight="false" outlineLevel="0" collapsed="false">
      <c r="A324" s="0" t="s">
        <v>686</v>
      </c>
      <c r="B324" s="0" t="s">
        <v>968</v>
      </c>
      <c r="C324" s="0" t="s">
        <v>13</v>
      </c>
      <c r="D324" s="0" t="s">
        <v>78</v>
      </c>
      <c r="E324" s="0" t="s">
        <v>969</v>
      </c>
      <c r="F324" s="0" t="s">
        <v>965</v>
      </c>
      <c r="G324" s="0" t="n">
        <f aca="false">HYPERLINK("http://clipc-services.ceda.ac.uk/dreq/u/59147b48-9e49-11e5-803c-0d0b866b59f3.html","web")</f>
        <v>0</v>
      </c>
      <c r="H324" s="0" t="s">
        <v>970</v>
      </c>
      <c r="I324" s="0" t="s">
        <v>56</v>
      </c>
      <c r="J324" s="0" t="s">
        <v>971</v>
      </c>
      <c r="K324" s="0" t="s">
        <v>954</v>
      </c>
    </row>
    <row r="325" customFormat="false" ht="15" hidden="false" customHeight="false" outlineLevel="0" collapsed="false">
      <c r="A325" s="0" t="s">
        <v>686</v>
      </c>
      <c r="B325" s="0" t="s">
        <v>972</v>
      </c>
      <c r="C325" s="0" t="s">
        <v>13</v>
      </c>
      <c r="D325" s="0" t="s">
        <v>78</v>
      </c>
      <c r="E325" s="0" t="s">
        <v>973</v>
      </c>
      <c r="F325" s="0" t="s">
        <v>974</v>
      </c>
      <c r="G325" s="0" t="n">
        <f aca="false">HYPERLINK("http://clipc-services.ceda.ac.uk/dreq/u/23ecf19e478a3ed9026b011e1e1fed02.html","web")</f>
        <v>0</v>
      </c>
      <c r="H325" s="0" t="s">
        <v>655</v>
      </c>
      <c r="I325" s="0" t="s">
        <v>347</v>
      </c>
      <c r="J325" s="0" t="s">
        <v>975</v>
      </c>
      <c r="K325" s="0" t="s">
        <v>954</v>
      </c>
    </row>
    <row r="326" customFormat="false" ht="15" hidden="false" customHeight="false" outlineLevel="0" collapsed="false">
      <c r="A326" s="0" t="s">
        <v>686</v>
      </c>
      <c r="B326" s="0" t="s">
        <v>648</v>
      </c>
      <c r="C326" s="0" t="s">
        <v>13</v>
      </c>
      <c r="D326" s="0" t="s">
        <v>649</v>
      </c>
      <c r="E326" s="0" t="s">
        <v>650</v>
      </c>
      <c r="F326" s="0" t="s">
        <v>49</v>
      </c>
      <c r="G326" s="0" t="n">
        <f aca="false">HYPERLINK("http://clipc-services.ceda.ac.uk/dreq/u/5914640a-9e49-11e5-803c-0d0b866b59f3.html","web")</f>
        <v>0</v>
      </c>
      <c r="H326" s="0" t="s">
        <v>651</v>
      </c>
      <c r="I326" s="0" t="s">
        <v>122</v>
      </c>
      <c r="J326" s="0" t="s">
        <v>652</v>
      </c>
      <c r="K326" s="0" t="s">
        <v>710</v>
      </c>
    </row>
    <row r="327" customFormat="false" ht="15" hidden="false" customHeight="false" outlineLevel="0" collapsed="false">
      <c r="A327" s="0" t="s">
        <v>686</v>
      </c>
      <c r="B327" s="0" t="s">
        <v>976</v>
      </c>
      <c r="C327" s="0" t="s">
        <v>13</v>
      </c>
      <c r="D327" s="0" t="s">
        <v>977</v>
      </c>
      <c r="E327" s="0" t="s">
        <v>978</v>
      </c>
      <c r="F327" s="0" t="s">
        <v>16</v>
      </c>
      <c r="G327" s="0" t="n">
        <f aca="false">HYPERLINK("http://clipc-services.ceda.ac.uk/dreq/u/590e75c2-9e49-11e5-803c-0d0b866b59f3.html","web")</f>
        <v>0</v>
      </c>
      <c r="H327" s="0" t="s">
        <v>121</v>
      </c>
      <c r="I327" s="0" t="s">
        <v>122</v>
      </c>
      <c r="J327" s="0" t="s">
        <v>979</v>
      </c>
      <c r="K327" s="0" t="s">
        <v>754</v>
      </c>
    </row>
    <row r="328" customFormat="false" ht="15" hidden="false" customHeight="false" outlineLevel="0" collapsed="false">
      <c r="A328" s="0" t="s">
        <v>686</v>
      </c>
      <c r="B328" s="0" t="s">
        <v>980</v>
      </c>
      <c r="C328" s="0" t="s">
        <v>13</v>
      </c>
      <c r="D328" s="0" t="s">
        <v>981</v>
      </c>
      <c r="E328" s="0" t="s">
        <v>982</v>
      </c>
      <c r="F328" s="0" t="s">
        <v>16</v>
      </c>
      <c r="G328" s="0" t="n">
        <f aca="false">HYPERLINK("http://clipc-services.ceda.ac.uk/dreq/u/59144f06-9e49-11e5-803c-0d0b866b59f3.html","web")</f>
        <v>0</v>
      </c>
      <c r="H328" s="0" t="s">
        <v>121</v>
      </c>
      <c r="I328" s="0" t="s">
        <v>122</v>
      </c>
      <c r="J328" s="0" t="s">
        <v>983</v>
      </c>
      <c r="K328" s="0" t="s">
        <v>754</v>
      </c>
    </row>
    <row r="329" customFormat="false" ht="15" hidden="false" customHeight="false" outlineLevel="0" collapsed="false">
      <c r="A329" s="0" t="s">
        <v>686</v>
      </c>
      <c r="B329" s="0" t="s">
        <v>984</v>
      </c>
      <c r="C329" s="0" t="s">
        <v>13</v>
      </c>
      <c r="D329" s="0" t="s">
        <v>985</v>
      </c>
      <c r="E329" s="0" t="s">
        <v>986</v>
      </c>
      <c r="F329" s="0" t="s">
        <v>16</v>
      </c>
      <c r="G329" s="0" t="n">
        <f aca="false">HYPERLINK("http://clipc-services.ceda.ac.uk/dreq/u/5916fc60-9e49-11e5-803c-0d0b866b59f3.html","web")</f>
        <v>0</v>
      </c>
      <c r="H329" s="0" t="s">
        <v>121</v>
      </c>
      <c r="I329" s="0" t="s">
        <v>122</v>
      </c>
      <c r="J329" s="0" t="s">
        <v>987</v>
      </c>
      <c r="K329" s="0" t="s">
        <v>754</v>
      </c>
    </row>
    <row r="330" customFormat="false" ht="15" hidden="false" customHeight="false" outlineLevel="0" collapsed="false">
      <c r="A330" s="0" t="s">
        <v>686</v>
      </c>
      <c r="B330" s="0" t="s">
        <v>988</v>
      </c>
      <c r="C330" s="0" t="s">
        <v>13</v>
      </c>
      <c r="D330" s="0" t="s">
        <v>989</v>
      </c>
      <c r="E330" s="0" t="s">
        <v>990</v>
      </c>
      <c r="F330" s="0" t="s">
        <v>16</v>
      </c>
      <c r="G330" s="0" t="n">
        <f aca="false">HYPERLINK("http://clipc-services.ceda.ac.uk/dreq/u/59170444-9e49-11e5-803c-0d0b866b59f3.html","web")</f>
        <v>0</v>
      </c>
      <c r="H330" s="0" t="s">
        <v>121</v>
      </c>
      <c r="I330" s="0" t="s">
        <v>122</v>
      </c>
      <c r="J330" s="0" t="s">
        <v>991</v>
      </c>
      <c r="K330" s="0" t="s">
        <v>754</v>
      </c>
    </row>
    <row r="331" customFormat="false" ht="15" hidden="false" customHeight="false" outlineLevel="0" collapsed="false">
      <c r="A331" s="0" t="s">
        <v>686</v>
      </c>
      <c r="B331" s="0" t="s">
        <v>992</v>
      </c>
      <c r="C331" s="0" t="s">
        <v>13</v>
      </c>
      <c r="D331" s="0" t="s">
        <v>78</v>
      </c>
      <c r="E331" s="0" t="s">
        <v>993</v>
      </c>
      <c r="F331" s="0" t="s">
        <v>49</v>
      </c>
      <c r="G331" s="0" t="n">
        <f aca="false">HYPERLINK("http://clipc-services.ceda.ac.uk/dreq/u/5917aa7a-9e49-11e5-803c-0d0b866b59f3.html","web")</f>
        <v>0</v>
      </c>
      <c r="H331" s="0" t="s">
        <v>121</v>
      </c>
      <c r="I331" s="0" t="s">
        <v>122</v>
      </c>
      <c r="J331" s="0" t="s">
        <v>709</v>
      </c>
      <c r="K331" s="0" t="s">
        <v>879</v>
      </c>
    </row>
    <row r="332" customFormat="false" ht="15" hidden="false" customHeight="false" outlineLevel="0" collapsed="false">
      <c r="A332" s="0" t="s">
        <v>686</v>
      </c>
      <c r="B332" s="0" t="s">
        <v>994</v>
      </c>
      <c r="C332" s="0" t="s">
        <v>118</v>
      </c>
      <c r="D332" s="0" t="s">
        <v>78</v>
      </c>
      <c r="E332" s="0" t="s">
        <v>995</v>
      </c>
      <c r="F332" s="0" t="s">
        <v>54</v>
      </c>
      <c r="G332" s="0" t="n">
        <f aca="false">HYPERLINK("http://clipc-services.ceda.ac.uk/dreq/u/59136000-9e49-11e5-803c-0d0b866b59f3.html","web")</f>
        <v>0</v>
      </c>
      <c r="H332" s="0" t="s">
        <v>121</v>
      </c>
      <c r="I332" s="0" t="s">
        <v>122</v>
      </c>
      <c r="J332" s="0" t="s">
        <v>995</v>
      </c>
      <c r="K332" s="0" t="s">
        <v>710</v>
      </c>
    </row>
    <row r="333" customFormat="false" ht="15" hidden="false" customHeight="false" outlineLevel="0" collapsed="false">
      <c r="A333" s="0" t="s">
        <v>686</v>
      </c>
      <c r="B333" s="0" t="s">
        <v>996</v>
      </c>
      <c r="C333" s="0" t="s">
        <v>13</v>
      </c>
      <c r="D333" s="0" t="s">
        <v>78</v>
      </c>
      <c r="E333" s="0" t="s">
        <v>997</v>
      </c>
      <c r="F333" s="0" t="s">
        <v>49</v>
      </c>
      <c r="G333" s="0" t="n">
        <f aca="false">HYPERLINK("http://clipc-services.ceda.ac.uk/dreq/u/59176128-9e49-11e5-803c-0d0b866b59f3.html","web")</f>
        <v>0</v>
      </c>
      <c r="H333" s="0" t="s">
        <v>121</v>
      </c>
      <c r="I333" s="0" t="s">
        <v>122</v>
      </c>
      <c r="J333" s="0" t="s">
        <v>709</v>
      </c>
      <c r="K333" s="0" t="s">
        <v>710</v>
      </c>
    </row>
    <row r="334" customFormat="false" ht="15" hidden="false" customHeight="false" outlineLevel="0" collapsed="false">
      <c r="A334" s="0" t="s">
        <v>686</v>
      </c>
      <c r="B334" s="0" t="s">
        <v>998</v>
      </c>
      <c r="C334" s="0" t="s">
        <v>13</v>
      </c>
      <c r="D334" s="0" t="s">
        <v>78</v>
      </c>
      <c r="E334" s="0" t="s">
        <v>999</v>
      </c>
      <c r="F334" s="0" t="s">
        <v>49</v>
      </c>
      <c r="G334" s="0" t="n">
        <f aca="false">HYPERLINK("http://clipc-services.ceda.ac.uk/dreq/u/590e5100-9e49-11e5-803c-0d0b866b59f3.html","web")</f>
        <v>0</v>
      </c>
      <c r="H334" s="0" t="s">
        <v>121</v>
      </c>
      <c r="I334" s="0" t="s">
        <v>122</v>
      </c>
      <c r="J334" s="0" t="s">
        <v>709</v>
      </c>
      <c r="K334" s="0" t="s">
        <v>710</v>
      </c>
    </row>
    <row r="335" customFormat="false" ht="15" hidden="false" customHeight="false" outlineLevel="0" collapsed="false">
      <c r="A335" s="0" t="s">
        <v>686</v>
      </c>
      <c r="B335" s="0" t="s">
        <v>1000</v>
      </c>
      <c r="C335" s="0" t="s">
        <v>13</v>
      </c>
      <c r="D335" s="0" t="s">
        <v>78</v>
      </c>
      <c r="E335" s="0" t="s">
        <v>1001</v>
      </c>
      <c r="F335" s="0" t="s">
        <v>71</v>
      </c>
      <c r="G335" s="0" t="n">
        <f aca="false">HYPERLINK("http://clipc-services.ceda.ac.uk/dreq/u/5914d462-9e49-11e5-803c-0d0b866b59f3.html","web")</f>
        <v>0</v>
      </c>
      <c r="H335" s="0" t="s">
        <v>121</v>
      </c>
      <c r="I335" s="0" t="s">
        <v>122</v>
      </c>
      <c r="J335" s="0" t="s">
        <v>1002</v>
      </c>
      <c r="K335" s="0" t="s">
        <v>710</v>
      </c>
    </row>
    <row r="336" customFormat="false" ht="15" hidden="false" customHeight="false" outlineLevel="0" collapsed="false">
      <c r="A336" s="0" t="s">
        <v>686</v>
      </c>
      <c r="B336" s="0" t="s">
        <v>1003</v>
      </c>
      <c r="C336" s="0" t="s">
        <v>13</v>
      </c>
      <c r="D336" s="0" t="s">
        <v>328</v>
      </c>
      <c r="E336" s="0" t="s">
        <v>1004</v>
      </c>
      <c r="F336" s="0" t="s">
        <v>13</v>
      </c>
      <c r="G336" s="0" t="n">
        <f aca="false">HYPERLINK("http://clipc-services.ceda.ac.uk/dreq/u/591720a0-9e49-11e5-803c-0d0b866b59f3.html","web")</f>
        <v>0</v>
      </c>
      <c r="H336" s="0" t="s">
        <v>1005</v>
      </c>
      <c r="I336" s="0" t="s">
        <v>347</v>
      </c>
      <c r="J336" s="0" t="s">
        <v>1006</v>
      </c>
      <c r="K336" s="0" t="s">
        <v>1007</v>
      </c>
    </row>
    <row r="337" customFormat="false" ht="15" hidden="false" customHeight="false" outlineLevel="0" collapsed="false">
      <c r="A337" s="0" t="s">
        <v>686</v>
      </c>
      <c r="B337" s="0" t="s">
        <v>470</v>
      </c>
      <c r="C337" s="0" t="s">
        <v>13</v>
      </c>
      <c r="D337" s="0" t="s">
        <v>78</v>
      </c>
      <c r="E337" s="0" t="s">
        <v>471</v>
      </c>
      <c r="F337" s="0" t="s">
        <v>324</v>
      </c>
      <c r="G337" s="0" t="n">
        <f aca="false">HYPERLINK("http://clipc-services.ceda.ac.uk/dreq/u/11619ca70c37ffd25d5b234c03ca4d4f.html","web")</f>
        <v>0</v>
      </c>
      <c r="H337" s="0" t="s">
        <v>63</v>
      </c>
      <c r="I337" s="0" t="s">
        <v>64</v>
      </c>
      <c r="J337" s="0" t="s">
        <v>472</v>
      </c>
      <c r="K337" s="0" t="s">
        <v>954</v>
      </c>
    </row>
    <row r="338" customFormat="false" ht="15" hidden="false" customHeight="false" outlineLevel="0" collapsed="false">
      <c r="A338" s="0" t="s">
        <v>686</v>
      </c>
      <c r="B338" s="0" t="s">
        <v>1008</v>
      </c>
      <c r="C338" s="0" t="s">
        <v>13</v>
      </c>
      <c r="D338" s="0" t="s">
        <v>78</v>
      </c>
      <c r="E338" s="0" t="s">
        <v>1009</v>
      </c>
      <c r="F338" s="0" t="s">
        <v>71</v>
      </c>
      <c r="G338" s="0" t="n">
        <f aca="false">HYPERLINK("http://clipc-services.ceda.ac.uk/dreq/u/59131910-9e49-11e5-803c-0d0b866b59f3.html","web")</f>
        <v>0</v>
      </c>
      <c r="H338" s="0" t="s">
        <v>655</v>
      </c>
      <c r="I338" s="0" t="s">
        <v>347</v>
      </c>
      <c r="J338" s="0" t="s">
        <v>1010</v>
      </c>
      <c r="K338" s="0" t="s">
        <v>954</v>
      </c>
    </row>
    <row r="339" customFormat="false" ht="15" hidden="false" customHeight="false" outlineLevel="0" collapsed="false">
      <c r="A339" s="0" t="s">
        <v>686</v>
      </c>
      <c r="B339" s="0" t="s">
        <v>1011</v>
      </c>
      <c r="C339" s="0" t="s">
        <v>13</v>
      </c>
      <c r="D339" s="0" t="s">
        <v>78</v>
      </c>
      <c r="E339" s="0" t="s">
        <v>1012</v>
      </c>
      <c r="F339" s="0" t="s">
        <v>71</v>
      </c>
      <c r="G339" s="0" t="n">
        <f aca="false">HYPERLINK("http://clipc-services.ceda.ac.uk/dreq/u/5917c046-9e49-11e5-803c-0d0b866b59f3.html","web")</f>
        <v>0</v>
      </c>
      <c r="H339" s="0" t="s">
        <v>451</v>
      </c>
      <c r="I339" s="0" t="s">
        <v>347</v>
      </c>
      <c r="J339" s="0" t="s">
        <v>1010</v>
      </c>
      <c r="K339" s="0" t="s">
        <v>954</v>
      </c>
    </row>
    <row r="340" customFormat="false" ht="15" hidden="false" customHeight="false" outlineLevel="0" collapsed="false">
      <c r="A340" s="0" t="s">
        <v>686</v>
      </c>
      <c r="B340" s="0" t="s">
        <v>1013</v>
      </c>
      <c r="C340" s="0" t="s">
        <v>13</v>
      </c>
      <c r="D340" s="0" t="s">
        <v>204</v>
      </c>
      <c r="E340" s="0" t="s">
        <v>1014</v>
      </c>
      <c r="F340" s="0" t="s">
        <v>71</v>
      </c>
      <c r="G340" s="0" t="n">
        <f aca="false">HYPERLINK("http://clipc-services.ceda.ac.uk/dreq/u/590e4674-9e49-11e5-803c-0d0b866b59f3.html","web")</f>
        <v>0</v>
      </c>
      <c r="H340" s="0" t="s">
        <v>655</v>
      </c>
      <c r="I340" s="0" t="s">
        <v>347</v>
      </c>
      <c r="J340" s="0" t="s">
        <v>1010</v>
      </c>
      <c r="K340" s="0" t="s">
        <v>954</v>
      </c>
    </row>
    <row r="341" customFormat="false" ht="15" hidden="false" customHeight="false" outlineLevel="0" collapsed="false">
      <c r="A341" s="0" t="s">
        <v>686</v>
      </c>
      <c r="B341" s="0" t="s">
        <v>653</v>
      </c>
      <c r="C341" s="0" t="s">
        <v>13</v>
      </c>
      <c r="D341" s="0" t="s">
        <v>78</v>
      </c>
      <c r="E341" s="0" t="s">
        <v>654</v>
      </c>
      <c r="F341" s="0" t="s">
        <v>49</v>
      </c>
      <c r="G341" s="0" t="n">
        <f aca="false">HYPERLINK("http://clipc-services.ceda.ac.uk/dreq/u/c23a39645d860d5a2d7f34ea91d1fd82.html","web")</f>
        <v>0</v>
      </c>
      <c r="H341" s="0" t="s">
        <v>655</v>
      </c>
      <c r="I341" s="0" t="s">
        <v>347</v>
      </c>
      <c r="J341" s="0" t="s">
        <v>656</v>
      </c>
      <c r="K341" s="0" t="s">
        <v>1015</v>
      </c>
    </row>
    <row r="342" customFormat="false" ht="15" hidden="false" customHeight="false" outlineLevel="0" collapsed="false">
      <c r="A342" s="0" t="s">
        <v>686</v>
      </c>
      <c r="B342" s="0" t="s">
        <v>1016</v>
      </c>
      <c r="C342" s="0" t="s">
        <v>13</v>
      </c>
      <c r="D342" s="0" t="s">
        <v>204</v>
      </c>
      <c r="E342" s="0" t="s">
        <v>1017</v>
      </c>
      <c r="F342" s="0" t="s">
        <v>1018</v>
      </c>
      <c r="G342" s="0" t="n">
        <f aca="false">HYPERLINK("http://clipc-services.ceda.ac.uk/dreq/u/a9e338f20a1b85e4758c5b3cb0ad961c.html","web")</f>
        <v>0</v>
      </c>
      <c r="H342" s="0" t="s">
        <v>655</v>
      </c>
      <c r="I342" s="0" t="s">
        <v>347</v>
      </c>
      <c r="J342" s="0" t="s">
        <v>1019</v>
      </c>
      <c r="K342" s="0" t="s">
        <v>1015</v>
      </c>
    </row>
    <row r="343" customFormat="false" ht="15" hidden="false" customHeight="false" outlineLevel="0" collapsed="false">
      <c r="A343" s="0" t="s">
        <v>686</v>
      </c>
      <c r="B343" s="0" t="s">
        <v>666</v>
      </c>
      <c r="C343" s="0" t="s">
        <v>13</v>
      </c>
      <c r="D343" s="0" t="s">
        <v>78</v>
      </c>
      <c r="E343" s="0" t="s">
        <v>667</v>
      </c>
      <c r="F343" s="0" t="s">
        <v>71</v>
      </c>
      <c r="G343" s="0" t="n">
        <f aca="false">HYPERLINK("http://clipc-services.ceda.ac.uk/dreq/u/81f029ba-b63d-11e6-98cb-ac72891c3257.html","web")</f>
        <v>0</v>
      </c>
      <c r="H343" s="0" t="s">
        <v>668</v>
      </c>
      <c r="I343" s="0" t="s">
        <v>122</v>
      </c>
      <c r="J343" s="0" t="s">
        <v>669</v>
      </c>
      <c r="K343" s="0" t="s">
        <v>315</v>
      </c>
    </row>
    <row r="345" customFormat="false" ht="15" hidden="false" customHeight="false" outlineLevel="0" collapsed="false">
      <c r="A345" s="0" t="s">
        <v>1020</v>
      </c>
      <c r="B345" s="0" t="s">
        <v>1021</v>
      </c>
      <c r="C345" s="0" t="s">
        <v>118</v>
      </c>
      <c r="D345" s="0" t="s">
        <v>78</v>
      </c>
      <c r="E345" s="0" t="s">
        <v>1022</v>
      </c>
      <c r="F345" s="0" t="s">
        <v>71</v>
      </c>
      <c r="G345" s="0" t="n">
        <f aca="false">HYPERLINK("http://clipc-services.ceda.ac.uk/dreq/u/e54a3eda3d5fc42a9cd1354038ad45ed.html","web")</f>
        <v>0</v>
      </c>
      <c r="H345" s="0" t="s">
        <v>121</v>
      </c>
      <c r="I345" s="0" t="s">
        <v>122</v>
      </c>
      <c r="J345" s="0" t="s">
        <v>1023</v>
      </c>
      <c r="K345" s="0" t="s">
        <v>1024</v>
      </c>
    </row>
    <row r="346" customFormat="false" ht="15" hidden="false" customHeight="false" outlineLevel="0" collapsed="false">
      <c r="A346" s="0" t="s">
        <v>1020</v>
      </c>
      <c r="B346" s="0" t="s">
        <v>1025</v>
      </c>
      <c r="C346" s="0" t="s">
        <v>13</v>
      </c>
      <c r="D346" s="0" t="s">
        <v>78</v>
      </c>
      <c r="E346" s="0" t="s">
        <v>1026</v>
      </c>
      <c r="F346" s="0" t="s">
        <v>71</v>
      </c>
      <c r="G346" s="0" t="n">
        <f aca="false">HYPERLINK("http://clipc-services.ceda.ac.uk/dreq/u/32ed0e80b1ae2adc7d4fb4b71bce9285.html","web")</f>
        <v>0</v>
      </c>
      <c r="H346" s="0" t="s">
        <v>121</v>
      </c>
      <c r="I346" s="0" t="s">
        <v>122</v>
      </c>
      <c r="J346" s="0" t="s">
        <v>1027</v>
      </c>
      <c r="K346" s="0" t="s">
        <v>1028</v>
      </c>
    </row>
    <row r="347" customFormat="false" ht="15" hidden="false" customHeight="false" outlineLevel="0" collapsed="false">
      <c r="A347" s="0" t="s">
        <v>1020</v>
      </c>
      <c r="B347" s="0" t="s">
        <v>1029</v>
      </c>
      <c r="C347" s="0" t="s">
        <v>13</v>
      </c>
      <c r="D347" s="0" t="s">
        <v>78</v>
      </c>
      <c r="E347" s="0" t="s">
        <v>1030</v>
      </c>
      <c r="F347" s="0" t="s">
        <v>71</v>
      </c>
      <c r="G347" s="0" t="n">
        <f aca="false">HYPERLINK("http://clipc-services.ceda.ac.uk/dreq/u/19e117c2298a016c96c496ee22f39976.html","web")</f>
        <v>0</v>
      </c>
      <c r="H347" s="0" t="s">
        <v>1031</v>
      </c>
      <c r="I347" s="0" t="s">
        <v>122</v>
      </c>
      <c r="J347" s="0" t="s">
        <v>1032</v>
      </c>
      <c r="K347" s="0" t="s">
        <v>1028</v>
      </c>
    </row>
    <row r="348" customFormat="false" ht="15" hidden="false" customHeight="false" outlineLevel="0" collapsed="false">
      <c r="A348" s="0" t="s">
        <v>1020</v>
      </c>
      <c r="B348" s="0" t="s">
        <v>117</v>
      </c>
      <c r="C348" s="0" t="s">
        <v>13</v>
      </c>
      <c r="D348" s="0" t="s">
        <v>119</v>
      </c>
      <c r="E348" s="0" t="s">
        <v>120</v>
      </c>
      <c r="F348" s="0" t="s">
        <v>16</v>
      </c>
      <c r="G348" s="0" t="n">
        <f aca="false">HYPERLINK("http://clipc-services.ceda.ac.uk/dreq/u/d3eb8c36759afa5ef2c8363e0c16db88.html","web")</f>
        <v>0</v>
      </c>
      <c r="H348" s="0" t="s">
        <v>121</v>
      </c>
      <c r="I348" s="0" t="s">
        <v>122</v>
      </c>
      <c r="J348" s="0" t="s">
        <v>123</v>
      </c>
      <c r="K348" s="0" t="s">
        <v>1028</v>
      </c>
    </row>
    <row r="349" customFormat="false" ht="15" hidden="false" customHeight="false" outlineLevel="0" collapsed="false">
      <c r="A349" s="0" t="s">
        <v>1020</v>
      </c>
      <c r="B349" s="0" t="s">
        <v>125</v>
      </c>
      <c r="C349" s="0" t="s">
        <v>13</v>
      </c>
      <c r="D349" s="0" t="s">
        <v>126</v>
      </c>
      <c r="E349" s="0" t="s">
        <v>127</v>
      </c>
      <c r="F349" s="0" t="s">
        <v>16</v>
      </c>
      <c r="G349" s="0" t="n">
        <f aca="false">HYPERLINK("http://clipc-services.ceda.ac.uk/dreq/u/f972af18f1817a7bb5f961b534641394.html","web")</f>
        <v>0</v>
      </c>
      <c r="H349" s="0" t="s">
        <v>121</v>
      </c>
      <c r="I349" s="0" t="s">
        <v>122</v>
      </c>
      <c r="J349" s="0" t="s">
        <v>128</v>
      </c>
      <c r="K349" s="0" t="s">
        <v>1028</v>
      </c>
    </row>
    <row r="350" customFormat="false" ht="15" hidden="false" customHeight="false" outlineLevel="0" collapsed="false">
      <c r="A350" s="0" t="s">
        <v>1020</v>
      </c>
      <c r="B350" s="0" t="s">
        <v>129</v>
      </c>
      <c r="C350" s="0" t="s">
        <v>13</v>
      </c>
      <c r="D350" s="0" t="s">
        <v>130</v>
      </c>
      <c r="E350" s="0" t="s">
        <v>131</v>
      </c>
      <c r="F350" s="0" t="s">
        <v>16</v>
      </c>
      <c r="G350" s="0" t="n">
        <f aca="false">HYPERLINK("http://clipc-services.ceda.ac.uk/dreq/u/bdb1045bec7f58e9e6221cd39bb34c2f.html","web")</f>
        <v>0</v>
      </c>
      <c r="H350" s="0" t="s">
        <v>132</v>
      </c>
      <c r="I350" s="0" t="s">
        <v>122</v>
      </c>
      <c r="J350" s="0" t="s">
        <v>133</v>
      </c>
      <c r="K350" s="0" t="s">
        <v>1028</v>
      </c>
    </row>
    <row r="351" customFormat="false" ht="15" hidden="false" customHeight="false" outlineLevel="0" collapsed="false">
      <c r="A351" s="0" t="s">
        <v>1020</v>
      </c>
      <c r="B351" s="0" t="s">
        <v>134</v>
      </c>
      <c r="C351" s="0" t="s">
        <v>13</v>
      </c>
      <c r="D351" s="0" t="s">
        <v>135</v>
      </c>
      <c r="E351" s="0" t="s">
        <v>136</v>
      </c>
      <c r="F351" s="0" t="s">
        <v>16</v>
      </c>
      <c r="G351" s="0" t="n">
        <f aca="false">HYPERLINK("http://clipc-services.ceda.ac.uk/dreq/u/f730de87987b0357d3954c93c4a0c7f7.html","web")</f>
        <v>0</v>
      </c>
      <c r="H351" s="0" t="s">
        <v>121</v>
      </c>
      <c r="I351" s="0" t="s">
        <v>122</v>
      </c>
      <c r="J351" s="0" t="s">
        <v>137</v>
      </c>
      <c r="K351" s="0" t="s">
        <v>1028</v>
      </c>
    </row>
    <row r="352" customFormat="false" ht="15" hidden="false" customHeight="false" outlineLevel="0" collapsed="false">
      <c r="A352" s="0" t="s">
        <v>1020</v>
      </c>
      <c r="B352" s="0" t="s">
        <v>1033</v>
      </c>
      <c r="C352" s="0" t="s">
        <v>13</v>
      </c>
      <c r="D352" s="0" t="s">
        <v>1034</v>
      </c>
      <c r="E352" s="0" t="s">
        <v>1035</v>
      </c>
      <c r="F352" s="0" t="s">
        <v>16</v>
      </c>
      <c r="G352" s="0" t="n">
        <f aca="false">HYPERLINK("http://clipc-services.ceda.ac.uk/dreq/u/64c3bc72c46203646eb28fee17f6a5f7.html","web")</f>
        <v>0</v>
      </c>
      <c r="H352" s="0" t="s">
        <v>121</v>
      </c>
      <c r="I352" s="0" t="s">
        <v>122</v>
      </c>
      <c r="J352" s="0" t="s">
        <v>1036</v>
      </c>
      <c r="K352" s="0" t="s">
        <v>1028</v>
      </c>
    </row>
    <row r="353" customFormat="false" ht="15" hidden="false" customHeight="false" outlineLevel="0" collapsed="false">
      <c r="A353" s="0" t="s">
        <v>1020</v>
      </c>
      <c r="B353" s="0" t="s">
        <v>138</v>
      </c>
      <c r="C353" s="0" t="s">
        <v>13</v>
      </c>
      <c r="D353" s="0" t="s">
        <v>139</v>
      </c>
      <c r="E353" s="0" t="s">
        <v>140</v>
      </c>
      <c r="F353" s="0" t="s">
        <v>16</v>
      </c>
      <c r="G353" s="0" t="n">
        <f aca="false">HYPERLINK("http://clipc-services.ceda.ac.uk/dreq/u/9cdb8d54d49e98acadd87e2a1139225e.html","web")</f>
        <v>0</v>
      </c>
      <c r="H353" s="0" t="s">
        <v>121</v>
      </c>
      <c r="I353" s="0" t="s">
        <v>122</v>
      </c>
      <c r="J353" s="0" t="s">
        <v>141</v>
      </c>
      <c r="K353" s="0" t="s">
        <v>1028</v>
      </c>
    </row>
    <row r="354" customFormat="false" ht="15" hidden="false" customHeight="false" outlineLevel="0" collapsed="false">
      <c r="A354" s="0" t="s">
        <v>1020</v>
      </c>
      <c r="B354" s="0" t="s">
        <v>142</v>
      </c>
      <c r="C354" s="0" t="s">
        <v>13</v>
      </c>
      <c r="D354" s="0" t="s">
        <v>143</v>
      </c>
      <c r="E354" s="0" t="s">
        <v>144</v>
      </c>
      <c r="F354" s="0" t="s">
        <v>16</v>
      </c>
      <c r="G354" s="0" t="n">
        <f aca="false">HYPERLINK("http://clipc-services.ceda.ac.uk/dreq/u/e1ca31ce340d507b1dce7a537bbef951.html","web")</f>
        <v>0</v>
      </c>
      <c r="H354" s="0" t="s">
        <v>121</v>
      </c>
      <c r="I354" s="0" t="s">
        <v>122</v>
      </c>
      <c r="J354" s="0" t="s">
        <v>145</v>
      </c>
      <c r="K354" s="0" t="s">
        <v>1028</v>
      </c>
    </row>
    <row r="355" customFormat="false" ht="15" hidden="false" customHeight="false" outlineLevel="0" collapsed="false">
      <c r="A355" s="0" t="s">
        <v>1020</v>
      </c>
      <c r="B355" s="0" t="s">
        <v>163</v>
      </c>
      <c r="C355" s="0" t="s">
        <v>13</v>
      </c>
      <c r="D355" s="0" t="s">
        <v>78</v>
      </c>
      <c r="E355" s="0" t="s">
        <v>164</v>
      </c>
      <c r="F355" s="0" t="s">
        <v>49</v>
      </c>
      <c r="G355" s="0" t="n">
        <f aca="false">HYPERLINK("http://clipc-services.ceda.ac.uk/dreq/u/3434c274f8ad8754f594d2b23c2d37db.html","web")</f>
        <v>0</v>
      </c>
      <c r="H355" s="0" t="s">
        <v>121</v>
      </c>
      <c r="I355" s="0" t="s">
        <v>122</v>
      </c>
      <c r="J355" s="0" t="s">
        <v>165</v>
      </c>
      <c r="K355" s="0" t="s">
        <v>687</v>
      </c>
    </row>
    <row r="356" customFormat="false" ht="15" hidden="false" customHeight="false" outlineLevel="0" collapsed="false">
      <c r="A356" s="0" t="s">
        <v>1020</v>
      </c>
      <c r="B356" s="0" t="s">
        <v>166</v>
      </c>
      <c r="C356" s="0" t="s">
        <v>13</v>
      </c>
      <c r="D356" s="0" t="s">
        <v>78</v>
      </c>
      <c r="E356" s="0" t="s">
        <v>167</v>
      </c>
      <c r="F356" s="0" t="s">
        <v>49</v>
      </c>
      <c r="G356" s="0" t="n">
        <f aca="false">HYPERLINK("http://clipc-services.ceda.ac.uk/dreq/u/ece03799edff3053efe82e9512d55ed9.html","web")</f>
        <v>0</v>
      </c>
      <c r="H356" s="0" t="s">
        <v>121</v>
      </c>
      <c r="I356" s="0" t="s">
        <v>122</v>
      </c>
      <c r="J356" s="0" t="s">
        <v>168</v>
      </c>
      <c r="K356" s="0" t="s">
        <v>687</v>
      </c>
    </row>
    <row r="357" customFormat="false" ht="15" hidden="false" customHeight="false" outlineLevel="0" collapsed="false">
      <c r="A357" s="0" t="s">
        <v>1020</v>
      </c>
      <c r="B357" s="0" t="s">
        <v>169</v>
      </c>
      <c r="C357" s="0" t="s">
        <v>13</v>
      </c>
      <c r="D357" s="0" t="s">
        <v>78</v>
      </c>
      <c r="E357" s="0" t="s">
        <v>170</v>
      </c>
      <c r="F357" s="0" t="s">
        <v>49</v>
      </c>
      <c r="G357" s="0" t="n">
        <f aca="false">HYPERLINK("http://clipc-services.ceda.ac.uk/dreq/u/57c2e414bde585cc60a7b2f980e1f870.html","web")</f>
        <v>0</v>
      </c>
      <c r="H357" s="0" t="s">
        <v>121</v>
      </c>
      <c r="I357" s="0" t="s">
        <v>122</v>
      </c>
      <c r="J357" s="0" t="s">
        <v>171</v>
      </c>
      <c r="K357" s="0" t="s">
        <v>687</v>
      </c>
    </row>
    <row r="358" customFormat="false" ht="15" hidden="false" customHeight="false" outlineLevel="0" collapsed="false">
      <c r="A358" s="0" t="s">
        <v>1020</v>
      </c>
      <c r="B358" s="0" t="s">
        <v>644</v>
      </c>
      <c r="C358" s="0" t="s">
        <v>13</v>
      </c>
      <c r="D358" s="0" t="s">
        <v>78</v>
      </c>
      <c r="E358" s="0" t="s">
        <v>645</v>
      </c>
      <c r="F358" s="0" t="s">
        <v>13</v>
      </c>
      <c r="G358" s="0" t="n">
        <f aca="false">HYPERLINK("http://clipc-services.ceda.ac.uk/dreq/u/6c3e8db1b45a6ae7e80ca5a265c0fd50.html","web")</f>
        <v>0</v>
      </c>
      <c r="H358" s="0" t="s">
        <v>121</v>
      </c>
      <c r="I358" s="0" t="s">
        <v>122</v>
      </c>
      <c r="J358" s="0" t="s">
        <v>646</v>
      </c>
      <c r="K358" s="0" t="s">
        <v>1037</v>
      </c>
    </row>
    <row r="359" customFormat="false" ht="15" hidden="false" customHeight="false" outlineLevel="0" collapsed="false">
      <c r="A359" s="0" t="s">
        <v>1020</v>
      </c>
      <c r="B359" s="0" t="s">
        <v>1038</v>
      </c>
      <c r="C359" s="0" t="s">
        <v>13</v>
      </c>
      <c r="D359" s="0" t="s">
        <v>78</v>
      </c>
      <c r="E359" s="0" t="s">
        <v>1039</v>
      </c>
      <c r="F359" s="0" t="s">
        <v>71</v>
      </c>
      <c r="G359" s="0" t="n">
        <f aca="false">HYPERLINK("http://clipc-services.ceda.ac.uk/dreq/u/b3267e6a8cd7e4a5401e7fbca2c4bf5a.html","web")</f>
        <v>0</v>
      </c>
      <c r="H359" s="0" t="s">
        <v>121</v>
      </c>
      <c r="I359" s="0" t="s">
        <v>122</v>
      </c>
      <c r="J359" s="0" t="s">
        <v>909</v>
      </c>
      <c r="K359" s="0" t="s">
        <v>687</v>
      </c>
    </row>
    <row r="360" customFormat="false" ht="15" hidden="false" customHeight="false" outlineLevel="0" collapsed="false">
      <c r="A360" s="0" t="s">
        <v>1020</v>
      </c>
      <c r="B360" s="0" t="s">
        <v>1040</v>
      </c>
      <c r="C360" s="0" t="s">
        <v>13</v>
      </c>
      <c r="D360" s="0" t="s">
        <v>78</v>
      </c>
      <c r="E360" s="0" t="s">
        <v>1041</v>
      </c>
      <c r="F360" s="0" t="s">
        <v>71</v>
      </c>
      <c r="G360" s="0" t="n">
        <f aca="false">HYPERLINK("http://clipc-services.ceda.ac.uk/dreq/u/be3bec2766baa15a7d57b8c2689fdf3d.html","web")</f>
        <v>0</v>
      </c>
      <c r="H360" s="0" t="s">
        <v>1042</v>
      </c>
      <c r="I360" s="0" t="s">
        <v>122</v>
      </c>
      <c r="J360" s="0" t="s">
        <v>1043</v>
      </c>
      <c r="K360" s="0" t="s">
        <v>1044</v>
      </c>
    </row>
    <row r="361" customFormat="false" ht="15" hidden="false" customHeight="false" outlineLevel="0" collapsed="false">
      <c r="A361" s="0" t="s">
        <v>1020</v>
      </c>
      <c r="B361" s="0" t="s">
        <v>1045</v>
      </c>
      <c r="C361" s="0" t="s">
        <v>13</v>
      </c>
      <c r="D361" s="0" t="s">
        <v>78</v>
      </c>
      <c r="E361" s="0" t="s">
        <v>1046</v>
      </c>
      <c r="F361" s="0" t="s">
        <v>71</v>
      </c>
      <c r="G361" s="0" t="n">
        <f aca="false">HYPERLINK("http://clipc-services.ceda.ac.uk/dreq/u/b78f432cc8fbadf21b9a1fcf07d781a7.html","web")</f>
        <v>0</v>
      </c>
      <c r="H361" s="0" t="s">
        <v>121</v>
      </c>
      <c r="I361" s="0" t="s">
        <v>122</v>
      </c>
      <c r="J361" s="0" t="s">
        <v>1047</v>
      </c>
      <c r="K361" s="0" t="s">
        <v>894</v>
      </c>
    </row>
    <row r="362" customFormat="false" ht="15" hidden="false" customHeight="false" outlineLevel="0" collapsed="false">
      <c r="A362" s="0" t="s">
        <v>1020</v>
      </c>
      <c r="B362" s="0" t="s">
        <v>1048</v>
      </c>
      <c r="C362" s="0" t="s">
        <v>13</v>
      </c>
      <c r="D362" s="0" t="s">
        <v>78</v>
      </c>
      <c r="E362" s="0" t="s">
        <v>1049</v>
      </c>
      <c r="F362" s="0" t="s">
        <v>71</v>
      </c>
      <c r="G362" s="0" t="n">
        <f aca="false">HYPERLINK("http://clipc-services.ceda.ac.uk/dreq/u/f126552ec807a8280d6d43ed084f2fc9.html","web")</f>
        <v>0</v>
      </c>
      <c r="H362" s="0" t="s">
        <v>1050</v>
      </c>
      <c r="I362" s="0" t="s">
        <v>122</v>
      </c>
      <c r="J362" s="0" t="s">
        <v>1051</v>
      </c>
      <c r="K362" s="0" t="s">
        <v>894</v>
      </c>
    </row>
    <row r="363" customFormat="false" ht="15" hidden="false" customHeight="false" outlineLevel="0" collapsed="false">
      <c r="A363" s="0" t="s">
        <v>1020</v>
      </c>
      <c r="B363" s="0" t="s">
        <v>1052</v>
      </c>
      <c r="C363" s="0" t="s">
        <v>13</v>
      </c>
      <c r="D363" s="0" t="s">
        <v>78</v>
      </c>
      <c r="E363" s="0" t="s">
        <v>1053</v>
      </c>
      <c r="F363" s="0" t="s">
        <v>71</v>
      </c>
      <c r="G363" s="0" t="n">
        <f aca="false">HYPERLINK("http://clipc-services.ceda.ac.uk/dreq/u/337d362541c3e2a3f907abcaffa5c262.html","web")</f>
        <v>0</v>
      </c>
      <c r="H363" s="0" t="s">
        <v>121</v>
      </c>
      <c r="I363" s="0" t="s">
        <v>122</v>
      </c>
      <c r="J363" s="0" t="s">
        <v>1054</v>
      </c>
      <c r="K363" s="0" t="s">
        <v>1055</v>
      </c>
    </row>
    <row r="364" customFormat="false" ht="15" hidden="false" customHeight="false" outlineLevel="0" collapsed="false">
      <c r="A364" s="0" t="s">
        <v>1020</v>
      </c>
      <c r="B364" s="0" t="s">
        <v>1056</v>
      </c>
      <c r="C364" s="0" t="s">
        <v>13</v>
      </c>
      <c r="D364" s="0" t="s">
        <v>78</v>
      </c>
      <c r="E364" s="0" t="s">
        <v>1057</v>
      </c>
      <c r="F364" s="0" t="s">
        <v>71</v>
      </c>
      <c r="G364" s="0" t="n">
        <f aca="false">HYPERLINK("http://clipc-services.ceda.ac.uk/dreq/u/43cf738374ffa1253a603ea54447203f.html","web")</f>
        <v>0</v>
      </c>
      <c r="H364" s="0" t="s">
        <v>121</v>
      </c>
      <c r="I364" s="0" t="s">
        <v>122</v>
      </c>
      <c r="J364" s="0" t="s">
        <v>1058</v>
      </c>
      <c r="K364" s="0" t="s">
        <v>1059</v>
      </c>
    </row>
    <row r="365" customFormat="false" ht="15" hidden="false" customHeight="false" outlineLevel="0" collapsed="false">
      <c r="A365" s="0" t="s">
        <v>1020</v>
      </c>
      <c r="B365" s="0" t="s">
        <v>1060</v>
      </c>
      <c r="C365" s="0" t="s">
        <v>13</v>
      </c>
      <c r="D365" s="0" t="s">
        <v>78</v>
      </c>
      <c r="E365" s="0" t="s">
        <v>1061</v>
      </c>
      <c r="F365" s="0" t="s">
        <v>71</v>
      </c>
      <c r="G365" s="0" t="n">
        <f aca="false">HYPERLINK("http://clipc-services.ceda.ac.uk/dreq/u/45f5477848196383f1ac8039e0dcfcab.html","web")</f>
        <v>0</v>
      </c>
      <c r="H365" s="0" t="s">
        <v>121</v>
      </c>
      <c r="I365" s="0" t="s">
        <v>122</v>
      </c>
      <c r="J365" s="0" t="s">
        <v>1062</v>
      </c>
      <c r="K365" s="0" t="s">
        <v>1059</v>
      </c>
    </row>
    <row r="366" customFormat="false" ht="15" hidden="false" customHeight="false" outlineLevel="0" collapsed="false">
      <c r="A366" s="0" t="s">
        <v>1020</v>
      </c>
      <c r="B366" s="0" t="s">
        <v>1063</v>
      </c>
      <c r="C366" s="0" t="s">
        <v>118</v>
      </c>
      <c r="D366" s="0" t="s">
        <v>78</v>
      </c>
      <c r="E366" s="0" t="s">
        <v>1064</v>
      </c>
      <c r="F366" s="0" t="s">
        <v>49</v>
      </c>
      <c r="G366" s="0" t="n">
        <f aca="false">HYPERLINK("http://clipc-services.ceda.ac.uk/dreq/u/50e31118c282faf3bfc90b25909433c1.html","web")</f>
        <v>0</v>
      </c>
      <c r="H366" s="0" t="s">
        <v>121</v>
      </c>
      <c r="I366" s="0" t="s">
        <v>122</v>
      </c>
      <c r="J366" s="0" t="s">
        <v>1065</v>
      </c>
      <c r="K366" s="0" t="s">
        <v>1066</v>
      </c>
    </row>
    <row r="367" customFormat="false" ht="15" hidden="false" customHeight="false" outlineLevel="0" collapsed="false">
      <c r="A367" s="0" t="s">
        <v>1020</v>
      </c>
      <c r="B367" s="0" t="s">
        <v>1067</v>
      </c>
      <c r="C367" s="0" t="s">
        <v>118</v>
      </c>
      <c r="D367" s="0" t="s">
        <v>78</v>
      </c>
      <c r="E367" s="0" t="s">
        <v>1068</v>
      </c>
      <c r="F367" s="0" t="s">
        <v>49</v>
      </c>
      <c r="G367" s="0" t="n">
        <f aca="false">HYPERLINK("http://clipc-services.ceda.ac.uk/dreq/u/e897309433f283b8bf1a4c60dc310edd.html","web")</f>
        <v>0</v>
      </c>
      <c r="H367" s="0" t="s">
        <v>121</v>
      </c>
      <c r="I367" s="0" t="s">
        <v>122</v>
      </c>
      <c r="J367" s="0" t="s">
        <v>1069</v>
      </c>
      <c r="K367" s="0" t="s">
        <v>1066</v>
      </c>
    </row>
    <row r="368" customFormat="false" ht="15" hidden="false" customHeight="false" outlineLevel="0" collapsed="false">
      <c r="A368" s="0" t="s">
        <v>1020</v>
      </c>
      <c r="B368" s="0" t="s">
        <v>1070</v>
      </c>
      <c r="C368" s="0" t="s">
        <v>118</v>
      </c>
      <c r="D368" s="0" t="s">
        <v>78</v>
      </c>
      <c r="E368" s="0" t="s">
        <v>787</v>
      </c>
      <c r="F368" s="0" t="s">
        <v>49</v>
      </c>
      <c r="G368" s="0" t="n">
        <f aca="false">HYPERLINK("http://clipc-services.ceda.ac.uk/dreq/u/d6623215ad4c16c43b649e0c17ebad7e.html","web")</f>
        <v>0</v>
      </c>
      <c r="H368" s="0" t="s">
        <v>1071</v>
      </c>
      <c r="I368" s="0" t="s">
        <v>122</v>
      </c>
      <c r="J368" s="0" t="s">
        <v>1072</v>
      </c>
      <c r="K368" s="0" t="s">
        <v>894</v>
      </c>
    </row>
    <row r="369" customFormat="false" ht="15" hidden="false" customHeight="false" outlineLevel="0" collapsed="false">
      <c r="A369" s="0" t="s">
        <v>1020</v>
      </c>
      <c r="B369" s="0" t="s">
        <v>1073</v>
      </c>
      <c r="C369" s="0" t="s">
        <v>118</v>
      </c>
      <c r="D369" s="0" t="s">
        <v>78</v>
      </c>
      <c r="E369" s="0" t="s">
        <v>790</v>
      </c>
      <c r="F369" s="0" t="s">
        <v>49</v>
      </c>
      <c r="G369" s="0" t="n">
        <f aca="false">HYPERLINK("http://clipc-services.ceda.ac.uk/dreq/u/edffed802a10e341650e8d25ed05581f.html","web")</f>
        <v>0</v>
      </c>
      <c r="H369" s="0" t="s">
        <v>121</v>
      </c>
      <c r="I369" s="0" t="s">
        <v>122</v>
      </c>
      <c r="J369" s="0" t="s">
        <v>1074</v>
      </c>
      <c r="K369" s="0" t="s">
        <v>894</v>
      </c>
    </row>
    <row r="370" customFormat="false" ht="15" hidden="false" customHeight="false" outlineLevel="0" collapsed="false">
      <c r="A370" s="0" t="s">
        <v>1020</v>
      </c>
      <c r="B370" s="0" t="s">
        <v>1075</v>
      </c>
      <c r="C370" s="0" t="s">
        <v>118</v>
      </c>
      <c r="D370" s="0" t="s">
        <v>78</v>
      </c>
      <c r="E370" s="0" t="s">
        <v>793</v>
      </c>
      <c r="F370" s="0" t="s">
        <v>49</v>
      </c>
      <c r="G370" s="0" t="n">
        <f aca="false">HYPERLINK("http://clipc-services.ceda.ac.uk/dreq/u/226e0454adb91fa1d508255d66ed8daf.html","web")</f>
        <v>0</v>
      </c>
      <c r="H370" s="0" t="s">
        <v>121</v>
      </c>
      <c r="I370" s="0" t="s">
        <v>122</v>
      </c>
      <c r="J370" s="0" t="s">
        <v>1076</v>
      </c>
      <c r="K370" s="0" t="s">
        <v>894</v>
      </c>
    </row>
    <row r="371" customFormat="false" ht="15" hidden="false" customHeight="false" outlineLevel="0" collapsed="false">
      <c r="A371" s="0" t="s">
        <v>1020</v>
      </c>
      <c r="B371" s="0" t="s">
        <v>1077</v>
      </c>
      <c r="C371" s="0" t="s">
        <v>118</v>
      </c>
      <c r="D371" s="0" t="s">
        <v>78</v>
      </c>
      <c r="E371" s="0" t="s">
        <v>1078</v>
      </c>
      <c r="F371" s="0" t="s">
        <v>49</v>
      </c>
      <c r="G371" s="0" t="n">
        <f aca="false">HYPERLINK("http://clipc-services.ceda.ac.uk/dreq/u/e072c35c161c93f2320579511ed1849f.html","web")</f>
        <v>0</v>
      </c>
      <c r="H371" s="0" t="s">
        <v>121</v>
      </c>
      <c r="I371" s="0" t="s">
        <v>122</v>
      </c>
      <c r="J371" s="0" t="s">
        <v>1079</v>
      </c>
      <c r="K371" s="0" t="s">
        <v>894</v>
      </c>
    </row>
    <row r="372" customFormat="false" ht="15" hidden="false" customHeight="false" outlineLevel="0" collapsed="false">
      <c r="A372" s="0" t="s">
        <v>1020</v>
      </c>
      <c r="B372" s="0" t="s">
        <v>1080</v>
      </c>
      <c r="C372" s="0" t="s">
        <v>118</v>
      </c>
      <c r="D372" s="0" t="s">
        <v>78</v>
      </c>
      <c r="E372" s="0" t="s">
        <v>1081</v>
      </c>
      <c r="F372" s="0" t="s">
        <v>49</v>
      </c>
      <c r="G372" s="0" t="n">
        <f aca="false">HYPERLINK("http://clipc-services.ceda.ac.uk/dreq/u/da701000818e31103a9b7d9eedee14a2.html","web")</f>
        <v>0</v>
      </c>
      <c r="H372" s="0" t="s">
        <v>121</v>
      </c>
      <c r="I372" s="0" t="s">
        <v>122</v>
      </c>
      <c r="J372" s="0" t="s">
        <v>1082</v>
      </c>
      <c r="K372" s="0" t="s">
        <v>894</v>
      </c>
    </row>
    <row r="373" customFormat="false" ht="15" hidden="false" customHeight="false" outlineLevel="0" collapsed="false">
      <c r="A373" s="0" t="s">
        <v>1020</v>
      </c>
      <c r="B373" s="0" t="s">
        <v>1083</v>
      </c>
      <c r="C373" s="0" t="s">
        <v>118</v>
      </c>
      <c r="D373" s="0" t="s">
        <v>78</v>
      </c>
      <c r="E373" s="0" t="s">
        <v>1084</v>
      </c>
      <c r="F373" s="0" t="s">
        <v>49</v>
      </c>
      <c r="G373" s="0" t="n">
        <f aca="false">HYPERLINK("http://clipc-services.ceda.ac.uk/dreq/u/369a3a9e55ca8e6729a62a79bf701e5d.html","web")</f>
        <v>0</v>
      </c>
      <c r="H373" s="0" t="s">
        <v>121</v>
      </c>
      <c r="I373" s="0" t="s">
        <v>122</v>
      </c>
      <c r="J373" s="0" t="s">
        <v>1085</v>
      </c>
      <c r="K373" s="0" t="s">
        <v>894</v>
      </c>
    </row>
    <row r="374" customFormat="false" ht="15" hidden="false" customHeight="false" outlineLevel="0" collapsed="false">
      <c r="A374" s="0" t="s">
        <v>1020</v>
      </c>
      <c r="B374" s="0" t="s">
        <v>1086</v>
      </c>
      <c r="C374" s="0" t="s">
        <v>118</v>
      </c>
      <c r="D374" s="0" t="s">
        <v>1087</v>
      </c>
      <c r="E374" s="0" t="s">
        <v>1088</v>
      </c>
      <c r="F374" s="0" t="s">
        <v>16</v>
      </c>
      <c r="G374" s="0" t="n">
        <f aca="false">HYPERLINK("http://clipc-services.ceda.ac.uk/dreq/u/f3710647d155ec76d2c4cdfa866be579.html","web")</f>
        <v>0</v>
      </c>
      <c r="H374" s="0" t="s">
        <v>121</v>
      </c>
      <c r="I374" s="0" t="s">
        <v>122</v>
      </c>
      <c r="J374" s="0" t="s">
        <v>1089</v>
      </c>
      <c r="K374" s="0" t="s">
        <v>1044</v>
      </c>
    </row>
    <row r="375" customFormat="false" ht="15" hidden="false" customHeight="false" outlineLevel="0" collapsed="false">
      <c r="A375" s="0" t="s">
        <v>1020</v>
      </c>
      <c r="B375" s="0" t="s">
        <v>1090</v>
      </c>
      <c r="C375" s="0" t="s">
        <v>118</v>
      </c>
      <c r="D375" s="0" t="s">
        <v>78</v>
      </c>
      <c r="E375" s="0" t="s">
        <v>1091</v>
      </c>
      <c r="F375" s="0" t="s">
        <v>71</v>
      </c>
      <c r="G375" s="0" t="n">
        <f aca="false">HYPERLINK("http://clipc-services.ceda.ac.uk/dreq/u/f7237f04672f809d49922d1b995f281f.html","web")</f>
        <v>0</v>
      </c>
      <c r="H375" s="0" t="s">
        <v>1092</v>
      </c>
      <c r="I375" s="0" t="s">
        <v>122</v>
      </c>
      <c r="J375" s="0" t="s">
        <v>906</v>
      </c>
      <c r="K375" s="0" t="s">
        <v>894</v>
      </c>
    </row>
    <row r="376" customFormat="false" ht="15" hidden="false" customHeight="false" outlineLevel="0" collapsed="false">
      <c r="A376" s="0" t="s">
        <v>1020</v>
      </c>
      <c r="B376" s="0" t="s">
        <v>1093</v>
      </c>
      <c r="C376" s="0" t="s">
        <v>118</v>
      </c>
      <c r="D376" s="0" t="s">
        <v>78</v>
      </c>
      <c r="E376" s="0" t="s">
        <v>1094</v>
      </c>
      <c r="F376" s="0" t="s">
        <v>71</v>
      </c>
      <c r="G376" s="0" t="n">
        <f aca="false">HYPERLINK("http://clipc-services.ceda.ac.uk/dreq/u/640213ff812312e3ac8bf134f483ed0d.html","web")</f>
        <v>0</v>
      </c>
      <c r="H376" s="0" t="s">
        <v>1095</v>
      </c>
      <c r="I376" s="0" t="s">
        <v>122</v>
      </c>
      <c r="J376" s="0" t="s">
        <v>906</v>
      </c>
      <c r="K376" s="0" t="s">
        <v>894</v>
      </c>
    </row>
    <row r="377" customFormat="false" ht="13.8" hidden="false" customHeight="false" outlineLevel="0" collapsed="false"/>
    <row r="378" customFormat="false" ht="13.8" hidden="false" customHeight="false" outlineLevel="0" collapsed="false"/>
    <row r="379" customFormat="false" ht="13.8" hidden="false" customHeight="false" outlineLevel="0" collapsed="false">
      <c r="A379" s="0" t="s">
        <v>643</v>
      </c>
      <c r="B379" s="0" t="s">
        <v>682</v>
      </c>
      <c r="C379" s="0" t="s">
        <v>13</v>
      </c>
      <c r="D379" s="0" t="s">
        <v>78</v>
      </c>
      <c r="E379" s="0" t="s">
        <v>683</v>
      </c>
      <c r="F379" s="0" t="s">
        <v>71</v>
      </c>
      <c r="G379" s="0" t="str">
        <f aca="false">HYPERLINK("http://clipc-services.ceda.ac.uk/dreq/u/5917e2ba-9e49-11e5-803c-0d0b866b59f3.html","web")</f>
        <v>web</v>
      </c>
      <c r="H379" s="0" t="s">
        <v>684</v>
      </c>
      <c r="I379" s="0" t="s">
        <v>347</v>
      </c>
      <c r="J379" s="0" t="s">
        <v>685</v>
      </c>
      <c r="K379" s="0" t="s">
        <v>27</v>
      </c>
    </row>
    <row r="380" customFormat="false" ht="13.8" hidden="false" customHeight="false" outlineLevel="0" collapsed="false">
      <c r="A380" s="0" t="s">
        <v>643</v>
      </c>
      <c r="B380" s="0" t="s">
        <v>1096</v>
      </c>
      <c r="C380" s="0" t="s">
        <v>13</v>
      </c>
      <c r="D380" s="0" t="s">
        <v>78</v>
      </c>
      <c r="E380" s="0" t="s">
        <v>1097</v>
      </c>
      <c r="F380" s="0" t="s">
        <v>71</v>
      </c>
      <c r="G380" s="0" t="str">
        <f aca="false">HYPERLINK("http://clipc-services.ceda.ac.uk/dreq/u/590f0bf4-9e49-11e5-803c-0d0b866b59f3.html","web")</f>
        <v>web</v>
      </c>
      <c r="H380" s="0" t="s">
        <v>1098</v>
      </c>
      <c r="I380" s="0" t="s">
        <v>122</v>
      </c>
      <c r="K380" s="0" t="s">
        <v>27</v>
      </c>
    </row>
    <row r="381" customFormat="false" ht="13.8" hidden="false" customHeight="false" outlineLevel="0" collapsed="false">
      <c r="A381" s="0" t="s">
        <v>643</v>
      </c>
      <c r="B381" s="0" t="s">
        <v>1029</v>
      </c>
      <c r="C381" s="0" t="s">
        <v>13</v>
      </c>
      <c r="D381" s="0" t="s">
        <v>78</v>
      </c>
      <c r="E381" s="0" t="s">
        <v>1030</v>
      </c>
      <c r="F381" s="0" t="s">
        <v>71</v>
      </c>
      <c r="G381" s="0" t="str">
        <f aca="false">HYPERLINK("http://clipc-services.ceda.ac.uk/dreq/u/19e117c2298a016c96c496ee22f39976.html","web")</f>
        <v>web</v>
      </c>
      <c r="H381" s="0" t="s">
        <v>1031</v>
      </c>
      <c r="I381" s="0" t="s">
        <v>122</v>
      </c>
      <c r="J381" s="0" t="s">
        <v>1032</v>
      </c>
      <c r="K381" s="0" t="s">
        <v>27</v>
      </c>
    </row>
    <row r="382" customFormat="false" ht="13.8" hidden="false" customHeight="false" outlineLevel="0" collapsed="false">
      <c r="A382" s="0" t="s">
        <v>643</v>
      </c>
      <c r="B382" s="0" t="s">
        <v>950</v>
      </c>
      <c r="C382" s="0" t="s">
        <v>13</v>
      </c>
      <c r="D382" s="0" t="s">
        <v>78</v>
      </c>
      <c r="E382" s="0" t="s">
        <v>951</v>
      </c>
      <c r="F382" s="0" t="s">
        <v>71</v>
      </c>
      <c r="G382" s="0" t="str">
        <f aca="false">HYPERLINK("http://clipc-services.ceda.ac.uk/dreq/u/2ca539fe3d21e4555ac39018c99b357d.html","web")</f>
        <v>web</v>
      </c>
      <c r="H382" s="0" t="s">
        <v>952</v>
      </c>
      <c r="I382" s="0" t="s">
        <v>122</v>
      </c>
      <c r="J382" s="0" t="s">
        <v>953</v>
      </c>
      <c r="K382" s="0" t="s">
        <v>27</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191</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2018-08-27T09:04:06Z</dcterms:created>
  <dc:creator/>
  <dc:description/>
  <dc:language>en-US</dc:language>
  <cp:lastModifiedBy/>
  <dcterms:modified xsi:type="dcterms:W3CDTF">2018-08-27T14:33:01Z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