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<sst xmlns="http://schemas.openxmlformats.org/spreadsheetml/2006/main" count="4769" uniqueCount="1560">
  <si>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</si>
  <si>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</si>
  <si>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</si>
  <si>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</si>
  <si>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</si>
  <si>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</si>
  <si>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</si>
  <si>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</si>
  <si>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</si>
  <si>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</si>
  <si>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</si>
  <si>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</si>
  <si>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</si>
  <si>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</si>
  <si>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</si>
  <si>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</si>
  <si>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</si>
  <si>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</si>
  <si>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</si>
  <si>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</si>
  <si>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</si>
  <si>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</si>
  <si>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</si>
  <si>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</si>
  <si>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</si>
  <si>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</si>
  <si>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</si>
  <si>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</si>
  <si>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</si>
  <si>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</si>
  <si>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</si>
  <si>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</si>
  <si>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</si>
  <si>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</si>
  <si>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</si>
  <si>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</si>
  <si>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</si>
  <si>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sfdsi</t>
  </si>
  <si>
    <t>longitude latitude time</t>
  </si>
  <si>
    <t>Downward Sea Ice Basal Salt Flux</t>
  </si>
  <si>
    <t>kg m-2 s-1</t>
  </si>
  <si>
    <t>Identified in the shaconemo (r274) ocean ping file: saltflx</t>
  </si>
  <si>
    <t>This field is physical, and it arises since sea ice has a nonzero salt content, so it exchanges salt with the liquid ocean upon melting and freezing.</t>
  </si>
  <si>
    <t>C4MIP,CMIP,FAFMIP,GMMIP,GeoMIP,HighResMIP,LS3MIP,RFMIP,SIMIP</t>
  </si>
  <si>
    <t xml:space="preserve"> P1 (kg m-2 s-1) downward_sea_ice_basal_salt_flux : This field is physical, and it arises since sea ice has a nonzero salt content, so it exchanges salt with the liquid ocean upon melting and freezing. </t>
  </si>
  <si>
    <t>siage</t>
  </si>
  <si>
    <t>Age of Sea Ice</t>
  </si>
  <si>
    <t>s</t>
  </si>
  <si>
    <t>Identified in the shaconemo (r274) seaIce ping file: iceage</t>
  </si>
  <si>
    <t>Age of sea ice</t>
  </si>
  <si>
    <t>C4MIP,CMIP,FAFMIP,GMMIP,GeoMIP,HighResMIP,LS3MIP,PMIP,RFMIP,SIMIP,VIACSAB</t>
  </si>
  <si>
    <t>seaIce</t>
  </si>
  <si>
    <t xml:space="preserve"> P1 (s) age_of_sea_ice : Age of sea ice </t>
  </si>
  <si>
    <t>siareaacrossline</t>
  </si>
  <si>
    <t>siline time</t>
  </si>
  <si>
    <t>Sea-Ice Area Flux Through Straits</t>
  </si>
  <si>
    <t>m2 s-1</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</si>
  <si>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</si>
  <si>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</si>
  <si>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</si>
  <si>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</si>
  <si>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time</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</si>
  <si>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</si>
  <si>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</si>
  <si>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</si>
  <si>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</si>
  <si>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</si>
  <si>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</si>
  <si>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</si>
  <si>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</si>
  <si>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</si>
  <si>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</si>
  <si>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</si>
  <si>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</si>
  <si>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</si>
  <si>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</si>
  <si>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</si>
  <si>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</si>
  <si>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</si>
  <si>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siconc</t>
  </si>
  <si>
    <t>longitude latitude time typesi</t>
  </si>
  <si>
    <t>Sea-ice Area Percentage (Ocean Grid)</t>
  </si>
  <si>
    <t>%</t>
  </si>
  <si>
    <t>Identified in the shaconemo (r274) seaIce ping file: iceconc_pct</t>
  </si>
  <si>
    <t>Area fraction of grid cell covered by sea ice</t>
  </si>
  <si>
    <t>C4MIP,CDRMIP,CFMIP,CMIP,CORDEX,DAMIP,DCPP,FAFMIP,GMMIP,GeoMIP,HighResMIP,LS3MIP,PAMIP,PMIP,RFMIP,SIMIP,VIACSAB</t>
  </si>
  <si>
    <t xml:space="preserve"> P1 (%) sea_ice_area_fraction : Area fraction of grid cell covered by sea ice </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</si>
  <si>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</si>
  <si>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</si>
  <si>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</si>
  <si>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</si>
  <si>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</si>
  <si>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</si>
  <si>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</si>
  <si>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</si>
  <si>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</si>
  <si>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</si>
  <si>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</si>
  <si>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</si>
  <si>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</si>
  <si>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</si>
  <si>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</si>
  <si>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</si>
  <si>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</si>
  <si>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</si>
  <si>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</si>
  <si>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</si>
  <si>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</si>
  <si>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</si>
  <si>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</si>
  <si>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</si>
  <si>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</si>
  <si>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</si>
  <si>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</si>
  <si>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</si>
  <si>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</si>
  <si>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</si>
  <si>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</si>
  <si>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</si>
  <si>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</si>
  <si>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</si>
  <si>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</si>
  <si>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</si>
  <si>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</si>
  <si>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</si>
  <si>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</si>
  <si>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</si>
  <si>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</si>
  <si>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</si>
  <si>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</si>
  <si>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</si>
  <si>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</si>
  <si>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</si>
  <si>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</si>
  <si>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</si>
  <si>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</si>
  <si>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</si>
  <si>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</si>
  <si>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</si>
  <si>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</si>
  <si>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</si>
  <si>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</si>
  <si>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</si>
  <si>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</si>
  <si>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</si>
  <si>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</si>
  <si>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</si>
  <si>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</si>
  <si>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</si>
  <si>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</si>
  <si>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</si>
  <si>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</si>
  <si>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</si>
  <si>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</si>
  <si>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</si>
  <si>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</si>
  <si>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</si>
  <si>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</si>
  <si>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</si>
  <si>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</si>
  <si>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</si>
  <si>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</si>
  <si>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</si>
  <si>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</si>
  <si>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</si>
  <si>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m</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</si>
  <si>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</si>
  <si>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</si>
  <si>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</si>
  <si>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</si>
  <si>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</si>
  <si>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W m-2</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</si>
  <si>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</si>
  <si>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</si>
  <si>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</si>
  <si>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</si>
  <si>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</si>
  <si>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</si>
  <si>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</si>
  <si>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</si>
  <si>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</si>
  <si>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</si>
  <si>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</si>
  <si>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</si>
  <si>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</si>
  <si>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</si>
  <si>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</si>
  <si>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</si>
  <si>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</si>
  <si>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</si>
  <si>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</si>
  <si>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</si>
  <si>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</si>
  <si>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</si>
  <si>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</si>
  <si>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</si>
  <si>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</si>
  <si>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</si>
  <si>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</si>
  <si>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</si>
  <si>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</si>
  <si>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3</t>
  </si>
  <si>
    <t>Coriolis Force Term in Force Balance (X-Component)</t>
  </si>
  <si>
    <t>N m-2</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</si>
  <si>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</si>
  <si>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</si>
  <si>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</si>
  <si>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</si>
  <si>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</si>
  <si>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</si>
  <si>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</si>
  <si>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</si>
  <si>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</si>
  <si>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</si>
  <si>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</si>
  <si>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</si>
  <si>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</si>
  <si>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</si>
  <si>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</si>
  <si>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</si>
  <si>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</si>
  <si>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</si>
  <si>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</si>
  <si>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</si>
  <si>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</si>
  <si>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</si>
  <si>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</si>
  <si>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</si>
  <si>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</si>
  <si>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</si>
  <si>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</si>
  <si>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</si>
  <si>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</si>
  <si>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</si>
  <si>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</si>
  <si>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</si>
  <si>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</si>
  <si>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</si>
  <si>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</si>
  <si>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</si>
  <si>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</si>
  <si>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</si>
  <si>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Area fraction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</si>
  <si>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</si>
  <si>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</si>
  <si>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</si>
  <si>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</si>
  <si>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</si>
  <si>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</si>
  <si>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</si>
  <si>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</si>
  <si>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</si>
  <si>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</si>
  <si>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</si>
  <si>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</si>
  <si>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</si>
  <si>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</si>
  <si>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</si>
  <si>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</si>
  <si>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</si>
  <si>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</si>
  <si>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</si>
  <si>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</si>
  <si>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</si>
  <si>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</si>
  <si>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</si>
  <si>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</si>
  <si>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</si>
  <si>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</si>
  <si>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</si>
  <si>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</si>
  <si>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</si>
  <si>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</si>
  <si>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</si>
  <si>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</si>
  <si>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</si>
  <si>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</si>
  <si>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</si>
  <si>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</si>
  <si>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</si>
  <si>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</si>
  <si>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</si>
  <si>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</si>
  <si>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</si>
  <si>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</si>
  <si>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</si>
  <si>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</si>
  <si>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</si>
  <si>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</si>
  <si>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</si>
  <si>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</si>
  <si>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</si>
  <si>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</si>
  <si>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</si>
  <si>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</si>
  <si>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</si>
  <si>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</si>
  <si>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sispeed</t>
  </si>
  <si>
    <t>Sea-Ice Speed</t>
  </si>
  <si>
    <t>m s-1</t>
  </si>
  <si>
    <t>Identified in the shaconemo (r274) seaIce ping file: icevel_mv</t>
  </si>
  <si>
    <t>Speed of ice (i.e. mean absolute velocity) to account for back-and-forth movement of the ice</t>
  </si>
  <si>
    <t>C4MIP,CMIP,DAMIP,FAFMIP,GMMIP,GeoMIP,HighResMIP,LS3MIP,RFMIP,SIMIP</t>
  </si>
  <si>
    <t xml:space="preserve"> P1 (m s-1) sea_ice_speed : Speed of ice (i.e. mean absolute velocity) to account for back-and-forth movement of the ice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</si>
  <si>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</si>
  <si>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</si>
  <si>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</si>
  <si>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</si>
  <si>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</si>
  <si>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</si>
  <si>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</si>
  <si>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</si>
  <si>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</si>
  <si>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</si>
  <si>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</si>
  <si>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</si>
  <si>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</si>
  <si>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</si>
  <si>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</si>
  <si>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</si>
  <si>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</si>
  <si>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</si>
  <si>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</si>
  <si>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</si>
  <si>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</si>
  <si>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</si>
  <si>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</si>
  <si>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</si>
  <si>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</si>
  <si>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</si>
  <si>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</si>
  <si>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</si>
  <si>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</si>
  <si>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</si>
  <si>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</si>
  <si>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</si>
  <si>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</si>
  <si>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K</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</si>
  <si>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</si>
  <si>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</si>
  <si>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</si>
  <si>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</si>
  <si>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</si>
  <si>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</si>
  <si>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</si>
  <si>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</si>
  <si>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</si>
  <si>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sitemptop</t>
  </si>
  <si>
    <t>Surface Temperature of Sea Ice</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</si>
  <si>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</si>
  <si>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</si>
  <si>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</si>
  <si>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</si>
  <si>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</si>
  <si>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</si>
  <si>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</si>
  <si>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</si>
  <si>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</si>
  <si>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</si>
  <si>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</si>
  <si>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</si>
  <si>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</si>
  <si>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</si>
  <si>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</si>
  <si>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</si>
  <si>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</si>
  <si>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</si>
  <si>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</si>
  <si>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</si>
  <si>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</si>
  <si>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</si>
  <si>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</si>
  <si>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</si>
  <si>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</si>
  <si>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</si>
  <si>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</si>
  <si>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</si>
  <si>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</si>
  <si>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</si>
  <si>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</si>
  <si>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</si>
  <si>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</si>
  <si>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</si>
  <si>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</si>
  <si>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</si>
  <si>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</si>
  <si>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</si>
  <si>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</si>
  <si>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</si>
  <si>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</si>
  <si>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</si>
  <si>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</si>
  <si>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</si>
  <si>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</si>
  <si>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</si>
  <si>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</si>
  <si>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</si>
  <si>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</si>
  <si>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</si>
  <si>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</si>
  <si>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</si>
  <si>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</si>
  <si>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</si>
  <si>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</si>
  <si>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</si>
  <si>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</si>
  <si>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</si>
  <si>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</si>
  <si>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</si>
  <si>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</si>
  <si>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</si>
  <si>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</si>
  <si>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</si>
  <si>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</si>
  <si>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</si>
  <si>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</si>
  <si>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</si>
  <si>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</si>
  <si>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</si>
  <si>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</si>
  <si>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</si>
  <si>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</si>
  <si>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</si>
  <si>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</si>
  <si>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</si>
  <si>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</si>
  <si>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</si>
  <si>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</si>
  <si>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</si>
  <si>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</si>
  <si>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</si>
  <si>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mol m-3</t>
  </si>
  <si>
    <t>Identified in the shaconemo (r274) ocnBgchem ping file: BFe_E3T</t>
  </si>
  <si>
    <t>Sum of particulate organic iron component concentrations</t>
  </si>
  <si>
    <t>AerChemMIP,C4MIP,GMMIP,GeoMIP,OMIP</t>
  </si>
  <si>
    <t>ocnBgchem</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</si>
  <si>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</si>
  <si>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</si>
  <si>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</si>
  <si>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</si>
  <si>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</si>
  <si>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</si>
  <si>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</si>
  <si>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</si>
  <si>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</si>
  <si>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</si>
  <si>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</si>
  <si>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</si>
  <si>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</si>
  <si>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</si>
  <si>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</si>
  <si>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</si>
  <si>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</si>
  <si>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</si>
  <si>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</si>
  <si>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</si>
  <si>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</si>
  <si>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</si>
  <si>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</si>
  <si>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</si>
  <si>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</si>
  <si>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</si>
  <si>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</si>
  <si>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</si>
  <si>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</si>
  <si>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</si>
  <si>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</si>
  <si>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</si>
  <si>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</si>
  <si>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</si>
  <si>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</si>
  <si>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</si>
  <si>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</si>
  <si>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</si>
  <si>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</si>
  <si>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</si>
  <si>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</si>
  <si>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</si>
  <si>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</si>
  <si>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</si>
  <si>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</si>
  <si>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</si>
  <si>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</si>
  <si>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</si>
  <si>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</si>
  <si>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</si>
  <si>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</si>
  <si>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</si>
  <si>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kg m-3</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</si>
  <si>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</si>
  <si>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</si>
  <si>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</si>
  <si>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</si>
  <si>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</si>
  <si>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</si>
  <si>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</si>
  <si>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</si>
  <si>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</si>
  <si>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</si>
  <si>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</si>
  <si>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</si>
  <si>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</si>
  <si>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</si>
  <si>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</si>
  <si>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</si>
  <si>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</si>
  <si>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</si>
  <si>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</si>
  <si>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Identified in the shaconemo (r274) ocnBgchem ping file: NCHLSFC_E3T</t>
  </si>
  <si>
    <t>chlorophyll from additional phytoplankton component concentrations alone</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</si>
  <si>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</si>
  <si>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</si>
  <si>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</si>
  <si>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</si>
  <si>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</si>
  <si>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</si>
  <si>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</si>
  <si>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</si>
  <si>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</si>
  <si>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</si>
  <si>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</si>
  <si>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</si>
  <si>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</si>
  <si>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</si>
  <si>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</si>
  <si>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</si>
  <si>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</si>
  <si>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</si>
  <si>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</si>
  <si>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</si>
  <si>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</si>
  <si>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</si>
  <si>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</si>
  <si>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</si>
  <si>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</si>
  <si>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</si>
  <si>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</si>
  <si>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</si>
  <si>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</si>
  <si>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</si>
  <si>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</si>
  <si>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</si>
  <si>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</si>
  <si>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</si>
  <si>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</si>
  <si>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</si>
  <si>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</si>
  <si>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</si>
  <si>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</si>
  <si>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</si>
  <si>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</si>
  <si>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</si>
  <si>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</si>
  <si>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</si>
  <si>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</si>
  <si>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</si>
  <si>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</si>
  <si>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</si>
  <si>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</si>
  <si>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</si>
  <si>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dissicnatos</t>
  </si>
  <si>
    <t>Surface Natural Dissolved Inorganic Carbon Concentration</t>
  </si>
  <si>
    <t>Identified in the shaconemo (r274) ocnBgchem ping file: DIC</t>
  </si>
  <si>
    <t>Dissolved inorganic carbon (CO3+HCO3+H2CO3) concentration at preindustrial atmospheric xCO2</t>
  </si>
  <si>
    <t xml:space="preserve"> P1 (mol m-3) mole_concentration_of_dissolved_inorganic_carbon_natural_analogue_in_sea_water : Dissolved inorganic carbon (CO3+HCO3+H2CO3) concentration at preindustrial atmospheric xCO2 </t>
  </si>
  <si>
    <t>dissicos</t>
  </si>
  <si>
    <t>Surface Dissolved Inorganic Carbon Concentration</t>
  </si>
  <si>
    <t>Identified in the shaconemo (r274) ocnBgchem ping file: DICSFC_E3T</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</si>
  <si>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</si>
  <si>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</si>
  <si>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</si>
  <si>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</si>
  <si>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</si>
  <si>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</si>
  <si>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</si>
  <si>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</si>
  <si>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</si>
  <si>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</si>
  <si>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</si>
  <si>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</si>
  <si>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</si>
  <si>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</si>
  <si>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</si>
  <si>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</si>
  <si>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</si>
  <si>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</si>
  <si>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</si>
  <si>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</si>
  <si>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</si>
  <si>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</si>
  <si>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</si>
  <si>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</si>
  <si>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</si>
  <si>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</si>
  <si>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</si>
  <si>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</si>
  <si>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</si>
  <si>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</si>
  <si>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</si>
  <si>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</si>
  <si>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</si>
  <si>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</si>
  <si>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</si>
  <si>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</si>
  <si>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</si>
  <si>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</si>
  <si>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</si>
  <si>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</si>
  <si>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</si>
  <si>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</si>
  <si>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</si>
  <si>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</si>
  <si>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</si>
  <si>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</si>
  <si>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</si>
  <si>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</si>
  <si>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</si>
  <si>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</si>
  <si>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</si>
  <si>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</si>
  <si>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</si>
  <si>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</si>
  <si>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</si>
  <si>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</si>
  <si>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</si>
  <si>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</si>
  <si>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</si>
  <si>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</si>
  <si>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</si>
  <si>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</si>
  <si>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</si>
  <si>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</si>
  <si>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</si>
  <si>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</si>
  <si>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</si>
  <si>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</si>
  <si>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</si>
  <si>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</si>
  <si>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</si>
  <si>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</si>
  <si>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</si>
  <si>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</si>
  <si>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</si>
  <si>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</si>
  <si>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</si>
  <si>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</si>
  <si>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</si>
  <si>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</si>
  <si>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</si>
  <si>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</si>
  <si>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</si>
  <si>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</si>
  <si>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</si>
  <si>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</si>
  <si>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</si>
  <si>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</si>
  <si>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</si>
  <si>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</si>
  <si>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</si>
  <si>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</si>
  <si>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</si>
  <si>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</si>
  <si>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</si>
  <si>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</si>
  <si>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</si>
  <si>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</si>
  <si>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</si>
  <si>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</si>
  <si>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Flux of Total CO2</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</si>
  <si>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</si>
  <si>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</si>
  <si>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</si>
  <si>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</si>
  <si>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</si>
  <si>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</si>
  <si>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</si>
  <si>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</si>
  <si>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</si>
  <si>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</si>
  <si>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</si>
  <si>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</si>
  <si>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</si>
  <si>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</si>
  <si>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</si>
  <si>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</si>
  <si>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</si>
  <si>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</si>
  <si>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</si>
  <si>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</si>
  <si>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</si>
  <si>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</si>
  <si>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</si>
  <si>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</si>
  <si>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</si>
  <si>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</si>
  <si>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</si>
  <si>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</si>
  <si>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</si>
  <si>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</si>
  <si>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</si>
  <si>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</si>
  <si>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</si>
  <si>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</si>
  <si>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</si>
  <si>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</si>
  <si>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</si>
  <si>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</si>
  <si>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</si>
  <si>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</si>
  <si>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</si>
  <si>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</si>
  <si>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</si>
  <si>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</si>
  <si>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</si>
  <si>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</si>
  <si>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</si>
  <si>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</si>
  <si>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</si>
  <si>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</si>
  <si>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</si>
  <si>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</si>
  <si>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</si>
  <si>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</si>
  <si>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</si>
  <si>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</si>
  <si>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</si>
  <si>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</si>
  <si>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</si>
  <si>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</si>
  <si>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</si>
  <si>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</si>
  <si>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</si>
  <si>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</si>
  <si>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</si>
  <si>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</si>
  <si>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</si>
  <si>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</si>
  <si>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</si>
  <si>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</si>
  <si>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</si>
  <si>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</si>
  <si>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</si>
  <si>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</si>
  <si>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</si>
  <si>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</si>
  <si>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</si>
  <si>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</si>
  <si>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</si>
  <si>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</si>
  <si>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</si>
  <si>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</si>
  <si>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</si>
  <si>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</si>
  <si>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</si>
  <si>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</si>
  <si>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</si>
  <si>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</si>
  <si>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</si>
  <si>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</si>
  <si>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</si>
  <si>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</si>
  <si>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</si>
  <si>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</si>
  <si>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</si>
  <si>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</si>
  <si>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</si>
  <si>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</si>
  <si>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</si>
  <si>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</si>
  <si>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</si>
  <si>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</si>
  <si>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</si>
  <si>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</si>
  <si>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</si>
  <si>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</si>
  <si>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</si>
  <si>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</si>
  <si>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</si>
  <si>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</si>
  <si>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</si>
  <si>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</si>
  <si>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</si>
  <si>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</si>
  <si>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</si>
  <si>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</si>
  <si>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</si>
  <si>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</si>
  <si>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</si>
  <si>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</si>
  <si>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</si>
  <si>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</si>
  <si>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</si>
  <si>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</si>
  <si>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</si>
  <si>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</si>
  <si>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Upward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</si>
  <si>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</si>
  <si>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</si>
  <si>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</si>
  <si>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</si>
  <si>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</si>
  <si>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</si>
  <si>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</si>
  <si>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</si>
  <si>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</si>
  <si>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</si>
  <si>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</si>
  <si>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</si>
  <si>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</si>
  <si>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</si>
  <si>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</si>
  <si>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</si>
  <si>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</si>
  <si>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</si>
  <si>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</si>
  <si>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</si>
  <si>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</si>
  <si>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</si>
  <si>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</si>
  <si>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</si>
  <si>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</si>
  <si>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</si>
  <si>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</si>
  <si>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</si>
  <si>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</si>
  <si>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</si>
  <si>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</si>
  <si>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</si>
  <si>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</si>
  <si>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</si>
  <si>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</si>
  <si>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</si>
  <si>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</si>
  <si>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</si>
  <si>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</si>
  <si>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</si>
  <si>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</si>
  <si>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</si>
  <si>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</si>
  <si>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</si>
  <si>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</si>
  <si>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</si>
  <si>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</si>
  <si>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</si>
  <si>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</si>
  <si>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</si>
  <si>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</si>
  <si>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</si>
  <si>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</si>
  <si>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</si>
  <si>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</si>
  <si>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</si>
  <si>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</si>
  <si>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</si>
  <si>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</si>
  <si>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</si>
  <si>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</si>
  <si>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</si>
  <si>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</si>
  <si>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</si>
  <si>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</si>
  <si>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</si>
  <si>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</si>
  <si>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</si>
  <si>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</si>
  <si>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</si>
  <si>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</si>
  <si>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</si>
  <si>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</si>
  <si>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</si>
  <si>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</si>
  <si>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</si>
  <si>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</si>
  <si>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</si>
  <si>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</si>
  <si>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</si>
  <si>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</si>
  <si>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</si>
  <si>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</si>
  <si>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</si>
  <si>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</si>
  <si>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</si>
  <si>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</si>
  <si>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</si>
  <si>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</si>
  <si>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</si>
  <si>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</si>
  <si>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</si>
  <si>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</si>
  <si>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</si>
  <si>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</si>
  <si>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</si>
  <si>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</si>
  <si>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</si>
  <si>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</si>
  <si>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</si>
  <si>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</si>
  <si>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</si>
  <si>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</si>
  <si>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</si>
  <si>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</si>
  <si>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</si>
  <si>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</si>
  <si>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</si>
  <si>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</si>
  <si>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</si>
  <si>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</si>
  <si>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</si>
  <si>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</si>
  <si>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</si>
  <si>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</si>
  <si>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</si>
  <si>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</si>
  <si>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</si>
  <si>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</si>
  <si>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</si>
  <si>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</si>
  <si>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</si>
  <si>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</si>
  <si>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</si>
  <si>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</si>
  <si>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</si>
  <si>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</si>
  <si>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</si>
  <si>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</si>
  <si>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</si>
  <si>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</si>
  <si>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</si>
  <si>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</si>
  <si>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</si>
  <si>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</si>
  <si>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</si>
  <si>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</si>
  <si>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m2</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</si>
  <si>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</si>
  <si>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</si>
  <si>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</si>
  <si>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</si>
  <si>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</si>
  <si>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</si>
  <si>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</si>
  <si>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</si>
  <si>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</si>
  <si>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</si>
  <si>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</si>
  <si>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</si>
  <si>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</si>
  <si>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</si>
  <si>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</si>
  <si>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</si>
  <si>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</si>
  <si>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</si>
  <si>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</si>
  <si>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</si>
  <si>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</si>
  <si>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</si>
  <si>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</si>
  <si>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</si>
  <si>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</si>
  <si>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</si>
  <si>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</si>
  <si>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</si>
  <si>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</si>
  <si>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</si>
  <si>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</si>
  <si>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</si>
  <si>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</si>
  <si>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</si>
  <si>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</si>
  <si>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</si>
  <si>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</si>
  <si>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</si>
  <si>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</si>
  <si>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</si>
  <si>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</si>
  <si>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</si>
  <si>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</si>
  <si>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</si>
  <si>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</si>
  <si>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</si>
  <si>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</si>
  <si>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</si>
  <si>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</si>
  <si>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</si>
  <si>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</si>
  <si>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</si>
  <si>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</si>
  <si>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</si>
  <si>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</si>
  <si>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</si>
  <si>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</si>
  <si>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</si>
  <si>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</si>
  <si>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</si>
  <si>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</si>
  <si>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</si>
  <si>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</si>
  <si>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</si>
  <si>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</si>
  <si>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</si>
  <si>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</si>
  <si>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</si>
  <si>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</si>
  <si>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</si>
  <si>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</si>
  <si>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phycos</t>
  </si>
  <si>
    <t>Sea Surface Phytoplankton Carbon Concentration</t>
  </si>
  <si>
    <t>Identified in the shaconemo (r274) ocnBgchem ping file: PHYSFC_E3T</t>
  </si>
  <si>
    <t>sum of phytoplankton organic carbon component concentrations at the sea surface</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</si>
  <si>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</si>
  <si>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</si>
  <si>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</si>
  <si>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</si>
  <si>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</si>
  <si>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</si>
  <si>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</si>
  <si>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</si>
  <si>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</si>
  <si>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</si>
  <si>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</si>
  <si>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</si>
  <si>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</si>
  <si>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</si>
  <si>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</si>
  <si>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</si>
  <si>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</si>
  <si>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</si>
  <si>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</si>
  <si>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</si>
  <si>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</si>
  <si>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</si>
  <si>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</si>
  <si>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</si>
  <si>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</si>
  <si>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</si>
  <si>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</si>
  <si>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</si>
  <si>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</si>
  <si>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</si>
  <si>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</si>
  <si>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</si>
  <si>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</si>
  <si>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</si>
  <si>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</si>
  <si>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</si>
  <si>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</si>
  <si>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</si>
  <si>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</si>
  <si>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</si>
  <si>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</si>
  <si>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</si>
  <si>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</si>
  <si>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</si>
  <si>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</si>
  <si>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</si>
  <si>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</si>
  <si>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</si>
  <si>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</si>
  <si>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</si>
  <si>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</si>
  <si>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</si>
  <si>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</si>
  <si>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</si>
  <si>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</si>
  <si>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</si>
  <si>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</si>
  <si>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</si>
  <si>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</si>
  <si>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</si>
  <si>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</si>
  <si>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</si>
  <si>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</si>
  <si>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</si>
  <si>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</si>
  <si>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</si>
  <si>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</si>
  <si>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</si>
  <si>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</si>
  <si>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</si>
  <si>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</si>
  <si>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</si>
  <si>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</si>
  <si>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</si>
  <si>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</si>
  <si>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</si>
  <si>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</si>
  <si>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</si>
  <si>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</si>
  <si>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</si>
  <si>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</si>
  <si>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</si>
  <si>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</si>
  <si>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</si>
  <si>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</si>
  <si>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</si>
  <si>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</si>
  <si>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</si>
  <si>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</si>
  <si>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</si>
  <si>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</si>
  <si>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</si>
  <si>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</si>
  <si>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</si>
  <si>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</si>
  <si>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</si>
  <si>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</si>
  <si>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</si>
  <si>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</si>
  <si>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</si>
  <si>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</si>
  <si>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</si>
  <si>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</si>
  <si>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</si>
  <si>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</si>
  <si>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</si>
  <si>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</si>
  <si>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</si>
  <si>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</si>
  <si>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</si>
  <si>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</si>
  <si>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</si>
  <si>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</si>
  <si>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</si>
  <si>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</si>
  <si>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</si>
  <si>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</si>
  <si>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</si>
  <si>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</si>
  <si>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</si>
  <si>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</si>
  <si>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</si>
  <si>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</si>
  <si>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</si>
  <si>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talknatos</t>
  </si>
  <si>
    <t>Surface Natural Total Alkalinity</t>
  </si>
  <si>
    <t>Identified in the shaconemo (r274) ocnBgchem ping file: Alkalini</t>
  </si>
  <si>
    <t>total alkalinity equivalent concentration (including carbonate, borate, phosphorus, silicon, and nitrogen components) at preindustrial atmospheric xCO2</t>
  </si>
  <si>
    <t xml:space="preserve"> P1 (mol m-3) sea_water_alkalinity_natural_analogue_expressed_as_mole_equivalent : total alkalinity equivalent concentration (including carbonate, borate, phosphorus, silicon, and nitrogen components) at preindustrial atmospheric xCO2 </t>
  </si>
  <si>
    <t>talkos</t>
  </si>
  <si>
    <t>Surface Total Alkalinity</t>
  </si>
  <si>
    <t>Identified in the shaconemo (r274) ocnBgchem ping file: AlkaliniSFC_E3T</t>
  </si>
  <si>
    <t>total alkalinity equivalent concentration (including carbonate, borate, phosphorus, silicon, and nitrogen components)</t>
  </si>
  <si>
    <t>tauuo</t>
  </si>
  <si>
    <t>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</si>
  <si>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</si>
  <si>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</si>
  <si>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</si>
  <si>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</si>
  <si>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</si>
  <si>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</si>
  <si>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</si>
  <si>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</si>
  <si>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</si>
  <si>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</si>
  <si>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</si>
  <si>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</si>
  <si>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</si>
  <si>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</si>
  <si>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</si>
  <si>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</si>
  <si>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</si>
  <si>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</si>
  <si>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</si>
  <si>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</si>
  <si>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</si>
  <si>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</si>
  <si>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</si>
  <si>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</si>
  <si>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</si>
  <si>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</si>
  <si>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</si>
  <si>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</si>
  <si>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</si>
  <si>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</si>
  <si>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</si>
  <si>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</si>
  <si>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</si>
  <si>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</si>
  <si>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</si>
  <si>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</si>
  <si>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</si>
  <si>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</si>
  <si>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 xml:space="preserve"> P1 (degC2) square_of_sea_surface_temperature : square of temperature of liquid ocean, averaged over the day.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</si>
  <si>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</si>
  <si>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</si>
  <si>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</si>
  <si>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</si>
  <si>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</si>
  <si>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</si>
  <si>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</si>
  <si>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</si>
  <si>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</si>
  <si>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</si>
  <si>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</si>
  <si>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</si>
  <si>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</si>
  <si>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</si>
  <si>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</si>
  <si>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</si>
  <si>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</si>
  <si>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</si>
  <si>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</si>
  <si>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</si>
  <si>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</si>
  <si>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</si>
  <si>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</si>
  <si>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</si>
  <si>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</si>
  <si>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</si>
  <si>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</si>
  <si>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</si>
  <si>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</si>
  <si>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</si>
  <si>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</si>
  <si>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Positive flux implies correction adds water to ocean.</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</si>
  <si>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</si>
  <si>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</si>
  <si>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</si>
  <si>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</si>
  <si>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of the next two variables in this table.</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</si>
  <si>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</si>
  <si>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</si>
  <si>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</si>
  <si>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</si>
  <si>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</si>
  <si>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</si>
  <si>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</si>
  <si>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</si>
  <si>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</si>
  <si>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</si>
  <si>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</si>
  <si>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</si>
  <si>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</si>
  <si>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</si>
  <si>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</si>
  <si>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</si>
  <si>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</si>
  <si>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</si>
  <si>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</si>
  <si>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</si>
  <si>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</si>
  <si>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</si>
  <si>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</si>
  <si>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</si>
  <si>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</si>
  <si>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</si>
  <si>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</si>
  <si>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</si>
  <si>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</si>
  <si>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</si>
  <si>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</si>
  <si>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</si>
  <si>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</si>
  <si>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</si>
  <si>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</si>
  <si>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</si>
  <si>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</si>
  <si>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</si>
  <si>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</si>
  <si>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</si>
  <si>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</si>
  <si>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</si>
  <si>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</si>
  <si>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</si>
  <si>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</si>
  <si>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</si>
  <si>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</si>
  <si>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</si>
  <si>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</si>
  <si>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</si>
  <si>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</si>
  <si>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</si>
  <si>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</si>
  <si>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</si>
  <si>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</si>
  <si>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</si>
  <si>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</si>
  <si>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</si>
  <si>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</si>
  <si>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</si>
  <si>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</si>
  <si>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</si>
  <si>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</si>
  <si>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</si>
  <si>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</si>
  <si>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</si>
  <si>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</si>
  <si>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</si>
  <si>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</si>
  <si>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</si>
  <si>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SIday</t>
  </si>
  <si>
    <t>CFMIP,CMIP,CORDEX,DAMIP,DCPP,HighResMIP,LS3MIP,PAMIP,SIMIP,VolMIP</t>
  </si>
  <si>
    <t>SIMIP</t>
  </si>
  <si>
    <t>DCPP,PAMIP,SIMIP</t>
  </si>
  <si>
    <t>CFMIP,CMIP,DAMIP,HighResMIP,LS3MIP,SIMIP,VolMIP</t>
  </si>
  <si>
    <t>CFMIP,CMIP,DAMIP,HighResMIP,SIMIP,VolMIP</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</si>
  <si>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</si>
  <si>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</si>
  <si>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</si>
  <si>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</si>
  <si>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</si>
  <si>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</si>
  <si>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</si>
  <si>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</si>
  <si>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</si>
  <si>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</si>
  <si>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</si>
  <si>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</si>
  <si>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</si>
  <si>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</si>
  <si>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</si>
  <si>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</si>
  <si>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</si>
  <si>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</si>
  <si>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</si>
  <si>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</si>
  <si>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</si>
  <si>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</si>
  <si>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</si>
  <si>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</si>
  <si>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</si>
  <si>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</si>
  <si>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</si>
  <si>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</si>
  <si>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</si>
  <si>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</si>
  <si>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</si>
  <si>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</si>
  <si>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</si>
  <si>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</si>
  <si>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</si>
  <si>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</si>
  <si>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</si>
  <si>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</si>
  <si>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</si>
  <si>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</si>
  <si>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</si>
  <si>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</si>
  <si>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</si>
  <si>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</si>
  <si>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</si>
  <si>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</si>
  <si>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</si>
  <si>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</si>
  <si>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</si>
  <si>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</si>
  <si>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</si>
  <si>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</si>
  <si>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</si>
  <si>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</si>
  <si>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</si>
  <si>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</si>
  <si>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</si>
  <si>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</si>
  <si>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</si>
  <si>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</si>
  <si>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</si>
  <si>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</si>
  <si>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</si>
  <si>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</si>
  <si>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</si>
  <si>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</si>
  <si>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</si>
  <si>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</si>
  <si>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</si>
  <si>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</si>
  <si>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</si>
  <si>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</si>
  <si>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</si>
  <si>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</si>
  <si>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</si>
  <si>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</si>
  <si>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</si>
  <si>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</si>
  <si>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</si>
  <si>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</si>
  <si>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</si>
  <si>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</si>
  <si>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</si>
  <si>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</si>
  <si>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</si>
  <si>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</si>
  <si>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</si>
  <si>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</si>
  <si>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</si>
  <si>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</si>
  <si>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</si>
  <si>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</si>
  <si>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</si>
  <si>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</si>
  <si>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</si>
  <si>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</si>
  <si>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</si>
  <si>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</si>
  <si>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</si>
  <si>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</si>
  <si>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</si>
  <si>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</si>
  <si>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</si>
  <si>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</si>
  <si>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</si>
  <si>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</si>
  <si>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</si>
  <si>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</si>
  <si>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</si>
  <si>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</si>
  <si>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</si>
  <si>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</si>
  <si>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</si>
  <si>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</si>
  <si>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</si>
  <si>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</si>
  <si>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</si>
  <si>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</si>
  <si>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</si>
  <si>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</si>
  <si>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</si>
  <si>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</si>
  <si>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</si>
  <si>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</si>
  <si>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</si>
  <si>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</si>
  <si>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</si>
  <si>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</si>
  <si>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</si>
  <si>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</si>
  <si>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</si>
  <si>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</si>
  <si>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</si>
  <si>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</si>
  <si>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</si>
  <si>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</si>
  <si>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</si>
  <si>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</si>
  <si>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</si>
  <si>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</si>
  <si>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</si>
  <si>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</si>
  <si>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</si>
  <si>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</si>
  <si>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</si>
  <si>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</si>
  <si>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</si>
  <si>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</si>
  <si>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</si>
  <si>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</si>
  <si>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</si>
  <si>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</si>
  <si>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</si>
  <si>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</si>
  <si>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</si>
  <si>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</si>
  <si>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</si>
  <si>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</si>
  <si>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</si>
  <si>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</si>
  <si>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DCPP,PAMIP</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</si>
  <si>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</si>
  <si>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</si>
  <si>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</si>
  <si>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</si>
  <si>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</si>
  <si>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</si>
  <si>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</si>
  <si>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</si>
  <si>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</si>
  <si>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</si>
  <si>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</si>
  <si>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</si>
  <si>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</si>
  <si>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Oday</t>
  </si>
  <si>
    <t>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</si>
  <si>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</si>
  <si>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</si>
  <si>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</si>
  <si>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</si>
  <si>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</si>
  <si>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</si>
  <si>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C4MIP,OMIP</t>
  </si>
  <si>
    <t>CFMIP,CMIP,CORDEX,DAMIP,GMMIP,HighResMIP,OMIP,VolMIP</t>
  </si>
  <si>
    <t>CFMIP,CMIP,DAMIP,GMMIP,HighResMIP,OMIP,VolMIP</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</si>
  <si>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</si>
  <si>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</si>
  <si>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</si>
  <si>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</si>
  <si>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</si>
  <si>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</si>
  <si>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</si>
  <si>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</si>
  <si>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</si>
  <si>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</si>
  <si>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</si>
  <si>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</si>
  <si>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</si>
  <si>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</si>
  <si>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</si>
  <si>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</si>
  <si>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</si>
  <si>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</si>
  <si>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</si>
  <si>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</si>
  <si>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</si>
  <si>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</si>
  <si>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</si>
  <si>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</si>
  <si>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</si>
  <si>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</si>
  <si>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</si>
  <si>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</si>
  <si>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</si>
  <si>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</si>
  <si>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</si>
  <si>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</si>
  <si>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</si>
  <si>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</si>
  <si>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</si>
  <si>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</si>
  <si>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</si>
  <si>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</si>
  <si>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</si>
  <si>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</si>
  <si>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</si>
  <si>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</si>
  <si>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</si>
  <si>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</si>
  <si>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</si>
  <si>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</si>
  <si>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</si>
  <si>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</si>
  <si>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</si>
  <si>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</si>
  <si>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Ofx</t>
  </si>
  <si>
    <t>areacello</t>
  </si>
  <si>
    <t>longitude latitude</t>
  </si>
  <si>
    <t>Grid-Cell Area for Ocean Variables</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</si>
  <si>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</si>
  <si>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</si>
  <si>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</si>
  <si>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</si>
  <si>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</si>
  <si>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</si>
  <si>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</si>
  <si>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</si>
  <si>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</si>
  <si>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</si>
  <si>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</si>
  <si>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</si>
  <si>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</si>
  <si>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</si>
  <si>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CMIP,DCPP,OMIP,PAMIP,PMIP</t>
  </si>
  <si>
    <t>longitude latitude olevel</t>
  </si>
  <si>
    <t>CMIP,OMIP</t>
  </si>
  <si>
    <t>sftof</t>
  </si>
  <si>
    <t>longitude latitude typesea</t>
  </si>
  <si>
    <t>Sea Area Percentage</t>
  </si>
  <si>
    <t>Identified in the shaconemo (r274) ocean ping file: iceconc_pct</t>
  </si>
  <si>
    <t>This is the area fraction at the ocean surface.</t>
  </si>
  <si>
    <t xml:space="preserve"> P1 (%) sea_area_fraction : This is the area fraction at the ocean surface. **** NEMO-RD: variable already provided in ping_seaIce under name siconc - we decide to keep it here as well </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</si>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</sst>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1"/>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16</v>
      </c>
      <c r="D7" t="s">
        <v>38</v>
      </c>
      <c r="E7" t="s">
        <v>39</v>
      </c>
      <c r="F7" t="s">
        <v>40</v>
      </c>
      <c r="G7">
        <f>HYPERLINK("http://clipc-services.ceda.ac.uk/dreq/u/8d0958ad5a4eabc97fc1896e847b00fe.html","web")</f>
        <v>0</v>
      </c>
      <c r="H7" t="s">
        <v>41</v>
      </c>
      <c r="I7" t="s">
        <v>21</v>
      </c>
      <c r="J7" t="s">
        <v>42</v>
      </c>
      <c r="K7" t="s">
        <v>43</v>
      </c>
      <c r="L7" t="s">
        <v>24</v>
      </c>
      <c r="M7" t="s">
        <v>40</v>
      </c>
      <c r="N7" t="s">
        <v>44</v>
      </c>
    </row>
    <row r="8" spans="1:14">
      <c r="A8" t="s">
        <v>36</v>
      </c>
      <c r="B8" t="s">
        <v>45</v>
      </c>
      <c r="C8" t="s">
        <v>16</v>
      </c>
      <c r="D8" t="s">
        <v>38</v>
      </c>
      <c r="E8" t="s">
        <v>46</v>
      </c>
      <c r="F8" t="s">
        <v>47</v>
      </c>
      <c r="G8">
        <f>HYPERLINK("http://clipc-services.ceda.ac.uk/dreq/u/5917369e-9e49-11e5-803c-0d0b866b59f3.html","web")</f>
        <v>0</v>
      </c>
      <c r="H8" t="s">
        <v>48</v>
      </c>
      <c r="I8" t="s">
        <v>21</v>
      </c>
      <c r="J8" t="s">
        <v>49</v>
      </c>
      <c r="K8" t="s">
        <v>50</v>
      </c>
      <c r="L8" t="s">
        <v>51</v>
      </c>
      <c r="M8" t="s">
        <v>47</v>
      </c>
      <c r="N8" t="s">
        <v>52</v>
      </c>
    </row>
    <row r="9" spans="1:14">
      <c r="A9" t="s">
        <v>36</v>
      </c>
      <c r="B9" t="s">
        <v>53</v>
      </c>
      <c r="C9" t="s">
        <v>16</v>
      </c>
      <c r="D9" t="s">
        <v>54</v>
      </c>
      <c r="E9" t="s">
        <v>55</v>
      </c>
      <c r="F9" t="s">
        <v>56</v>
      </c>
      <c r="G9">
        <f>HYPERLINK("http://clipc-services.ceda.ac.uk/dreq/u/73097b4c-7a68-11e6-8db2-ac72891c3257.html","web")</f>
        <v>0</v>
      </c>
      <c r="H9" t="s">
        <v>57</v>
      </c>
      <c r="I9" t="s">
        <v>21</v>
      </c>
      <c r="J9" t="s">
        <v>58</v>
      </c>
      <c r="K9" t="s">
        <v>43</v>
      </c>
      <c r="L9" t="s">
        <v>51</v>
      </c>
      <c r="M9" t="s">
        <v>56</v>
      </c>
      <c r="N9" t="s">
        <v>59</v>
      </c>
    </row>
    <row r="10" spans="1:14">
      <c r="A10" t="s">
        <v>36</v>
      </c>
      <c r="B10" t="s">
        <v>60</v>
      </c>
      <c r="C10" t="s">
        <v>16</v>
      </c>
      <c r="D10" t="s">
        <v>61</v>
      </c>
      <c r="E10" t="s">
        <v>62</v>
      </c>
      <c r="F10" t="s">
        <v>63</v>
      </c>
      <c r="G10">
        <f>HYPERLINK("http://clipc-services.ceda.ac.uk/dreq/u/59139a70-9e49-11e5-803c-0d0b866b59f3.html","web")</f>
        <v>0</v>
      </c>
      <c r="H10" t="s">
        <v>64</v>
      </c>
      <c r="I10" t="s">
        <v>21</v>
      </c>
      <c r="J10" t="s">
        <v>65</v>
      </c>
      <c r="K10" t="s">
        <v>43</v>
      </c>
      <c r="L10" t="s">
        <v>51</v>
      </c>
      <c r="M10" t="s">
        <v>63</v>
      </c>
      <c r="N10" t="s">
        <v>66</v>
      </c>
    </row>
    <row r="11" spans="1:14">
      <c r="A11" t="s">
        <v>36</v>
      </c>
      <c r="B11" t="s">
        <v>67</v>
      </c>
      <c r="C11" t="s">
        <v>16</v>
      </c>
      <c r="D11" t="s">
        <v>61</v>
      </c>
      <c r="E11" t="s">
        <v>68</v>
      </c>
      <c r="F11" t="s">
        <v>63</v>
      </c>
      <c r="G11">
        <f>HYPERLINK("http://clipc-services.ceda.ac.uk/dreq/u/59139548-9e49-11e5-803c-0d0b866b59f3.html","web")</f>
        <v>0</v>
      </c>
      <c r="H11" t="s">
        <v>69</v>
      </c>
      <c r="I11" t="s">
        <v>21</v>
      </c>
      <c r="J11" t="s">
        <v>70</v>
      </c>
      <c r="K11" t="s">
        <v>43</v>
      </c>
      <c r="L11" t="s">
        <v>51</v>
      </c>
      <c r="M11" t="s">
        <v>63</v>
      </c>
      <c r="N11" t="s">
        <v>71</v>
      </c>
    </row>
    <row r="12" spans="1:14">
      <c r="A12" t="s">
        <v>36</v>
      </c>
      <c r="B12" t="s">
        <v>72</v>
      </c>
      <c r="C12" t="s">
        <v>16</v>
      </c>
      <c r="D12" t="s">
        <v>38</v>
      </c>
      <c r="E12" t="s">
        <v>73</v>
      </c>
      <c r="F12" t="s">
        <v>74</v>
      </c>
      <c r="G12">
        <f>HYPERLINK("http://clipc-services.ceda.ac.uk/dreq/u/590e9390-9e49-11e5-803c-0d0b866b59f3.html","web")</f>
        <v>0</v>
      </c>
      <c r="H12" t="s">
        <v>75</v>
      </c>
      <c r="I12" t="s">
        <v>21</v>
      </c>
      <c r="J12" t="s">
        <v>76</v>
      </c>
      <c r="K12" t="s">
        <v>77</v>
      </c>
      <c r="L12" t="s">
        <v>51</v>
      </c>
      <c r="M12" t="s">
        <v>74</v>
      </c>
      <c r="N12" t="s">
        <v>78</v>
      </c>
    </row>
    <row r="13" spans="1:14">
      <c r="A13" t="s">
        <v>36</v>
      </c>
      <c r="B13" t="s">
        <v>79</v>
      </c>
      <c r="C13" t="s">
        <v>28</v>
      </c>
      <c r="D13" t="s">
        <v>80</v>
      </c>
      <c r="E13" t="s">
        <v>81</v>
      </c>
      <c r="F13" t="s">
        <v>82</v>
      </c>
      <c r="G13">
        <f>HYPERLINK("http://clipc-services.ceda.ac.uk/dreq/u/150ada98-357c-11e7-8257-5404a60d96b5.html","web")</f>
        <v>0</v>
      </c>
      <c r="H13" t="s">
        <v>83</v>
      </c>
      <c r="I13" t="s">
        <v>21</v>
      </c>
      <c r="J13" t="s">
        <v>84</v>
      </c>
      <c r="K13" t="s">
        <v>85</v>
      </c>
      <c r="L13" t="s">
        <v>51</v>
      </c>
      <c r="M13" t="s">
        <v>82</v>
      </c>
      <c r="N13" t="s">
        <v>86</v>
      </c>
    </row>
    <row r="14" spans="1:14">
      <c r="A14" t="s">
        <v>36</v>
      </c>
      <c r="B14" t="s">
        <v>87</v>
      </c>
      <c r="C14" t="s">
        <v>16</v>
      </c>
      <c r="D14" t="s">
        <v>38</v>
      </c>
      <c r="E14" t="s">
        <v>88</v>
      </c>
      <c r="F14" t="s">
        <v>89</v>
      </c>
      <c r="G14">
        <f>HYPERLINK("http://clipc-services.ceda.ac.uk/dreq/u/590ee584-9e49-11e5-803c-0d0b866b59f3.html","web")</f>
        <v>0</v>
      </c>
      <c r="H14" t="s">
        <v>90</v>
      </c>
      <c r="I14" t="s">
        <v>21</v>
      </c>
      <c r="J14" t="s">
        <v>91</v>
      </c>
      <c r="K14" t="s">
        <v>43</v>
      </c>
      <c r="L14" t="s">
        <v>51</v>
      </c>
      <c r="M14" t="s">
        <v>89</v>
      </c>
      <c r="N14" t="s">
        <v>92</v>
      </c>
    </row>
    <row r="15" spans="1:14">
      <c r="A15" t="s">
        <v>36</v>
      </c>
      <c r="B15" t="s">
        <v>93</v>
      </c>
      <c r="C15" t="s">
        <v>16</v>
      </c>
      <c r="D15" t="s">
        <v>38</v>
      </c>
      <c r="E15" t="s">
        <v>94</v>
      </c>
      <c r="F15" t="s">
        <v>89</v>
      </c>
      <c r="G15">
        <f>HYPERLINK("http://clipc-services.ceda.ac.uk/dreq/u/590dc60e-9e49-11e5-803c-0d0b866b59f3.html","web")</f>
        <v>0</v>
      </c>
      <c r="H15" t="s">
        <v>95</v>
      </c>
      <c r="I15" t="s">
        <v>21</v>
      </c>
      <c r="J15" t="s">
        <v>96</v>
      </c>
      <c r="K15" t="s">
        <v>43</v>
      </c>
      <c r="L15" t="s">
        <v>51</v>
      </c>
      <c r="M15" t="s">
        <v>89</v>
      </c>
      <c r="N15" t="s">
        <v>97</v>
      </c>
    </row>
    <row r="16" spans="1:14">
      <c r="A16" t="s">
        <v>36</v>
      </c>
      <c r="B16" t="s">
        <v>98</v>
      </c>
      <c r="C16" t="s">
        <v>16</v>
      </c>
      <c r="D16" t="s">
        <v>29</v>
      </c>
      <c r="E16" t="s">
        <v>99</v>
      </c>
      <c r="F16" t="s">
        <v>89</v>
      </c>
      <c r="G16">
        <f>HYPERLINK("http://clipc-services.ceda.ac.uk/dreq/u/590d7924-9e49-11e5-803c-0d0b866b59f3.html","web")</f>
        <v>0</v>
      </c>
      <c r="H16" t="s">
        <v>100</v>
      </c>
      <c r="I16" t="s">
        <v>21</v>
      </c>
      <c r="J16" t="s">
        <v>101</v>
      </c>
      <c r="K16" t="s">
        <v>77</v>
      </c>
      <c r="L16" t="s">
        <v>51</v>
      </c>
      <c r="M16" t="s">
        <v>89</v>
      </c>
      <c r="N16" t="s">
        <v>102</v>
      </c>
    </row>
    <row r="17" spans="1:14">
      <c r="A17" t="s">
        <v>36</v>
      </c>
      <c r="B17" t="s">
        <v>103</v>
      </c>
      <c r="C17" t="s">
        <v>16</v>
      </c>
      <c r="D17" t="s">
        <v>38</v>
      </c>
      <c r="E17" t="s">
        <v>104</v>
      </c>
      <c r="F17" t="s">
        <v>40</v>
      </c>
      <c r="G17">
        <f>HYPERLINK("http://clipc-services.ceda.ac.uk/dreq/u/591357b8-9e49-11e5-803c-0d0b866b59f3.html","web")</f>
        <v>0</v>
      </c>
      <c r="H17" t="s">
        <v>105</v>
      </c>
      <c r="I17" t="s">
        <v>21</v>
      </c>
      <c r="J17" t="s">
        <v>106</v>
      </c>
      <c r="K17" t="s">
        <v>43</v>
      </c>
      <c r="L17" t="s">
        <v>51</v>
      </c>
      <c r="M17" t="s">
        <v>40</v>
      </c>
      <c r="N17" t="s">
        <v>107</v>
      </c>
    </row>
    <row r="18" spans="1:14">
      <c r="A18" t="s">
        <v>36</v>
      </c>
      <c r="B18" t="s">
        <v>108</v>
      </c>
      <c r="C18" t="s">
        <v>16</v>
      </c>
      <c r="D18" t="s">
        <v>38</v>
      </c>
      <c r="E18" t="s">
        <v>109</v>
      </c>
      <c r="F18" t="s">
        <v>40</v>
      </c>
      <c r="G18">
        <f>HYPERLINK("http://clipc-services.ceda.ac.uk/dreq/u/59146180-9e49-11e5-803c-0d0b866b59f3.html","web")</f>
        <v>0</v>
      </c>
      <c r="H18" t="s">
        <v>110</v>
      </c>
      <c r="I18" t="s">
        <v>21</v>
      </c>
      <c r="J18" t="s">
        <v>111</v>
      </c>
      <c r="K18" t="s">
        <v>112</v>
      </c>
      <c r="L18" t="s">
        <v>51</v>
      </c>
      <c r="M18" t="s">
        <v>40</v>
      </c>
      <c r="N18" t="s">
        <v>113</v>
      </c>
    </row>
    <row r="19" spans="1:14">
      <c r="A19" t="s">
        <v>36</v>
      </c>
      <c r="B19" t="s">
        <v>114</v>
      </c>
      <c r="C19" t="s">
        <v>16</v>
      </c>
      <c r="D19" t="s">
        <v>38</v>
      </c>
      <c r="E19" t="s">
        <v>115</v>
      </c>
      <c r="F19" t="s">
        <v>40</v>
      </c>
      <c r="G19">
        <f>HYPERLINK("http://clipc-services.ceda.ac.uk/dreq/u/590db4ac-9e49-11e5-803c-0d0b866b59f3.html","web")</f>
        <v>0</v>
      </c>
      <c r="H19" t="s">
        <v>116</v>
      </c>
      <c r="I19" t="s">
        <v>21</v>
      </c>
      <c r="J19" t="s">
        <v>117</v>
      </c>
      <c r="K19" t="s">
        <v>77</v>
      </c>
      <c r="L19" t="s">
        <v>51</v>
      </c>
      <c r="M19" t="s">
        <v>40</v>
      </c>
      <c r="N19" t="s">
        <v>118</v>
      </c>
    </row>
    <row r="20" spans="1:14">
      <c r="A20" t="s">
        <v>36</v>
      </c>
      <c r="B20" t="s">
        <v>119</v>
      </c>
      <c r="C20" t="s">
        <v>16</v>
      </c>
      <c r="D20" t="s">
        <v>38</v>
      </c>
      <c r="E20" t="s">
        <v>120</v>
      </c>
      <c r="F20" t="s">
        <v>40</v>
      </c>
      <c r="G20">
        <f>HYPERLINK("http://clipc-services.ceda.ac.uk/dreq/u/59149c7c-9e49-11e5-803c-0d0b866b59f3.html","web")</f>
        <v>0</v>
      </c>
      <c r="H20" t="s">
        <v>121</v>
      </c>
      <c r="I20" t="s">
        <v>21</v>
      </c>
      <c r="J20" t="s">
        <v>122</v>
      </c>
      <c r="K20" t="s">
        <v>77</v>
      </c>
      <c r="L20" t="s">
        <v>51</v>
      </c>
      <c r="M20" t="s">
        <v>40</v>
      </c>
      <c r="N20" t="s">
        <v>123</v>
      </c>
    </row>
    <row r="21" spans="1:14">
      <c r="A21" t="s">
        <v>36</v>
      </c>
      <c r="B21" t="s">
        <v>124</v>
      </c>
      <c r="C21" t="s">
        <v>16</v>
      </c>
      <c r="D21" t="s">
        <v>38</v>
      </c>
      <c r="E21" t="s">
        <v>125</v>
      </c>
      <c r="F21" t="s">
        <v>40</v>
      </c>
      <c r="G21">
        <f>HYPERLINK("http://clipc-services.ceda.ac.uk/dreq/u/5917ea6c-9e49-11e5-803c-0d0b866b59f3.html","web")</f>
        <v>0</v>
      </c>
      <c r="H21" t="s">
        <v>126</v>
      </c>
      <c r="I21" t="s">
        <v>21</v>
      </c>
      <c r="J21" t="s">
        <v>127</v>
      </c>
      <c r="K21" t="s">
        <v>50</v>
      </c>
      <c r="L21" t="s">
        <v>51</v>
      </c>
      <c r="M21" t="s">
        <v>40</v>
      </c>
      <c r="N21" t="s">
        <v>128</v>
      </c>
    </row>
    <row r="22" spans="1:14">
      <c r="A22" t="s">
        <v>36</v>
      </c>
      <c r="B22" t="s">
        <v>129</v>
      </c>
      <c r="C22" t="s">
        <v>16</v>
      </c>
      <c r="D22" t="s">
        <v>38</v>
      </c>
      <c r="E22" t="s">
        <v>130</v>
      </c>
      <c r="F22" t="s">
        <v>40</v>
      </c>
      <c r="G22">
        <f>HYPERLINK("http://clipc-services.ceda.ac.uk/dreq/u/59179aee-9e49-11e5-803c-0d0b866b59f3.html","web")</f>
        <v>0</v>
      </c>
      <c r="H22" t="s">
        <v>131</v>
      </c>
      <c r="I22" t="s">
        <v>21</v>
      </c>
      <c r="J22" t="s">
        <v>132</v>
      </c>
      <c r="K22" t="s">
        <v>50</v>
      </c>
      <c r="L22" t="s">
        <v>51</v>
      </c>
      <c r="M22" t="s">
        <v>40</v>
      </c>
      <c r="N22" t="s">
        <v>133</v>
      </c>
    </row>
    <row r="23" spans="1:14">
      <c r="A23" t="s">
        <v>36</v>
      </c>
      <c r="B23" t="s">
        <v>134</v>
      </c>
      <c r="C23" t="s">
        <v>16</v>
      </c>
      <c r="D23" t="s">
        <v>38</v>
      </c>
      <c r="E23" t="s">
        <v>135</v>
      </c>
      <c r="F23" t="s">
        <v>40</v>
      </c>
      <c r="G23">
        <f>HYPERLINK("http://clipc-services.ceda.ac.uk/dreq/u/590d3518-9e49-11e5-803c-0d0b866b59f3.html","web")</f>
        <v>0</v>
      </c>
      <c r="H23" t="s">
        <v>136</v>
      </c>
      <c r="I23" t="s">
        <v>21</v>
      </c>
      <c r="J23" t="s">
        <v>137</v>
      </c>
      <c r="K23" t="s">
        <v>77</v>
      </c>
      <c r="L23" t="s">
        <v>51</v>
      </c>
      <c r="M23" t="s">
        <v>40</v>
      </c>
      <c r="N23" t="s">
        <v>138</v>
      </c>
    </row>
    <row r="24" spans="1:14">
      <c r="A24" t="s">
        <v>36</v>
      </c>
      <c r="B24" t="s">
        <v>139</v>
      </c>
      <c r="C24" t="s">
        <v>16</v>
      </c>
      <c r="D24" t="s">
        <v>38</v>
      </c>
      <c r="E24" t="s">
        <v>140</v>
      </c>
      <c r="F24" t="s">
        <v>40</v>
      </c>
      <c r="G24">
        <f>HYPERLINK("http://clipc-services.ceda.ac.uk/dreq/u/590d95d0-9e49-11e5-803c-0d0b866b59f3.html","web")</f>
        <v>0</v>
      </c>
      <c r="H24" t="s">
        <v>141</v>
      </c>
      <c r="I24" t="s">
        <v>21</v>
      </c>
      <c r="J24" t="s">
        <v>142</v>
      </c>
      <c r="K24" t="s">
        <v>43</v>
      </c>
      <c r="L24" t="s">
        <v>51</v>
      </c>
      <c r="M24" t="s">
        <v>40</v>
      </c>
      <c r="N24" t="s">
        <v>143</v>
      </c>
    </row>
    <row r="25" spans="1:14">
      <c r="A25" t="s">
        <v>36</v>
      </c>
      <c r="B25" t="s">
        <v>144</v>
      </c>
      <c r="C25" t="s">
        <v>16</v>
      </c>
      <c r="D25" t="s">
        <v>38</v>
      </c>
      <c r="E25" t="s">
        <v>145</v>
      </c>
      <c r="F25" t="s">
        <v>19</v>
      </c>
      <c r="G25">
        <f>HYPERLINK("http://clipc-services.ceda.ac.uk/dreq/u/59172e42-9e49-11e5-803c-0d0b866b59f3.html","web")</f>
        <v>0</v>
      </c>
      <c r="H25" t="s">
        <v>146</v>
      </c>
      <c r="I25" t="s">
        <v>21</v>
      </c>
      <c r="J25" t="s">
        <v>147</v>
      </c>
      <c r="K25" t="s">
        <v>77</v>
      </c>
      <c r="L25" t="s">
        <v>51</v>
      </c>
      <c r="M25" t="s">
        <v>19</v>
      </c>
      <c r="N25" t="s">
        <v>148</v>
      </c>
    </row>
    <row r="26" spans="1:14">
      <c r="A26" t="s">
        <v>36</v>
      </c>
      <c r="B26" t="s">
        <v>149</v>
      </c>
      <c r="C26" t="s">
        <v>16</v>
      </c>
      <c r="D26" t="s">
        <v>38</v>
      </c>
      <c r="E26" t="s">
        <v>150</v>
      </c>
      <c r="F26" t="s">
        <v>19</v>
      </c>
      <c r="G26">
        <f>HYPERLINK("http://clipc-services.ceda.ac.uk/dreq/u/59172bcc-9e49-11e5-803c-0d0b866b59f3.html","web")</f>
        <v>0</v>
      </c>
      <c r="H26" t="s">
        <v>151</v>
      </c>
      <c r="I26" t="s">
        <v>21</v>
      </c>
      <c r="J26" t="s">
        <v>147</v>
      </c>
      <c r="K26" t="s">
        <v>77</v>
      </c>
      <c r="L26" t="s">
        <v>51</v>
      </c>
      <c r="M26" t="s">
        <v>19</v>
      </c>
      <c r="N26" t="s">
        <v>152</v>
      </c>
    </row>
    <row r="27" spans="1:14">
      <c r="A27" t="s">
        <v>36</v>
      </c>
      <c r="B27" t="s">
        <v>153</v>
      </c>
      <c r="C27" t="s">
        <v>16</v>
      </c>
      <c r="D27" t="s">
        <v>61</v>
      </c>
      <c r="E27" t="s">
        <v>154</v>
      </c>
      <c r="F27" t="s">
        <v>63</v>
      </c>
      <c r="G27">
        <f>HYPERLINK("http://clipc-services.ceda.ac.uk/dreq/u/5917b45c-9e49-11e5-803c-0d0b866b59f3.html","web")</f>
        <v>0</v>
      </c>
      <c r="H27" t="s">
        <v>155</v>
      </c>
      <c r="I27" t="s">
        <v>21</v>
      </c>
      <c r="J27" t="s">
        <v>156</v>
      </c>
      <c r="K27" t="s">
        <v>43</v>
      </c>
      <c r="L27" t="s">
        <v>51</v>
      </c>
      <c r="M27" t="s">
        <v>63</v>
      </c>
      <c r="N27" t="s">
        <v>157</v>
      </c>
    </row>
    <row r="28" spans="1:14">
      <c r="A28" t="s">
        <v>36</v>
      </c>
      <c r="B28" t="s">
        <v>158</v>
      </c>
      <c r="C28" t="s">
        <v>16</v>
      </c>
      <c r="D28" t="s">
        <v>61</v>
      </c>
      <c r="E28" t="s">
        <v>159</v>
      </c>
      <c r="F28" t="s">
        <v>63</v>
      </c>
      <c r="G28">
        <f>HYPERLINK("http://clipc-services.ceda.ac.uk/dreq/u/590e9ed0-9e49-11e5-803c-0d0b866b59f3.html","web")</f>
        <v>0</v>
      </c>
      <c r="H28" t="s">
        <v>160</v>
      </c>
      <c r="I28" t="s">
        <v>21</v>
      </c>
      <c r="J28" t="s">
        <v>161</v>
      </c>
      <c r="K28" t="s">
        <v>43</v>
      </c>
      <c r="L28" t="s">
        <v>51</v>
      </c>
      <c r="M28" t="s">
        <v>63</v>
      </c>
      <c r="N28" t="s">
        <v>162</v>
      </c>
    </row>
    <row r="29" spans="1:14">
      <c r="A29" t="s">
        <v>36</v>
      </c>
      <c r="B29" t="s">
        <v>163</v>
      </c>
      <c r="C29" t="s">
        <v>16</v>
      </c>
      <c r="D29" t="s">
        <v>38</v>
      </c>
      <c r="E29" t="s">
        <v>164</v>
      </c>
      <c r="F29" t="s">
        <v>165</v>
      </c>
      <c r="G29">
        <f>HYPERLINK("http://clipc-services.ceda.ac.uk/dreq/u/590dac64-9e49-11e5-803c-0d0b866b59f3.html","web")</f>
        <v>0</v>
      </c>
      <c r="H29" t="s">
        <v>166</v>
      </c>
      <c r="I29" t="s">
        <v>21</v>
      </c>
      <c r="J29" t="s">
        <v>167</v>
      </c>
      <c r="K29" t="s">
        <v>43</v>
      </c>
      <c r="L29" t="s">
        <v>51</v>
      </c>
      <c r="M29" t="s">
        <v>165</v>
      </c>
      <c r="N29" t="s">
        <v>168</v>
      </c>
    </row>
    <row r="30" spans="1:14">
      <c r="A30" t="s">
        <v>36</v>
      </c>
      <c r="B30" t="s">
        <v>169</v>
      </c>
      <c r="C30" t="s">
        <v>16</v>
      </c>
      <c r="D30" t="s">
        <v>38</v>
      </c>
      <c r="E30" t="s">
        <v>170</v>
      </c>
      <c r="F30" t="s">
        <v>171</v>
      </c>
      <c r="G30">
        <f>HYPERLINK("http://clipc-services.ceda.ac.uk/dreq/u/5917ba9c-9e49-11e5-803c-0d0b866b59f3.html","web")</f>
        <v>0</v>
      </c>
      <c r="H30" t="s">
        <v>172</v>
      </c>
      <c r="I30" t="s">
        <v>21</v>
      </c>
      <c r="J30" t="s">
        <v>173</v>
      </c>
      <c r="K30" t="s">
        <v>43</v>
      </c>
      <c r="L30" t="s">
        <v>51</v>
      </c>
      <c r="M30" t="s">
        <v>171</v>
      </c>
      <c r="N30" t="s">
        <v>174</v>
      </c>
    </row>
    <row r="31" spans="1:14">
      <c r="A31" t="s">
        <v>36</v>
      </c>
      <c r="B31" t="s">
        <v>175</v>
      </c>
      <c r="C31" t="s">
        <v>16</v>
      </c>
      <c r="D31" t="s">
        <v>38</v>
      </c>
      <c r="E31" t="s">
        <v>176</v>
      </c>
      <c r="F31" t="s">
        <v>171</v>
      </c>
      <c r="G31">
        <f>HYPERLINK("http://clipc-services.ceda.ac.uk/dreq/u/590ecbda-9e49-11e5-803c-0d0b866b59f3.html","web")</f>
        <v>0</v>
      </c>
      <c r="H31" t="s">
        <v>177</v>
      </c>
      <c r="I31" t="s">
        <v>21</v>
      </c>
      <c r="J31" t="s">
        <v>178</v>
      </c>
      <c r="K31" t="s">
        <v>43</v>
      </c>
      <c r="L31" t="s">
        <v>51</v>
      </c>
      <c r="M31" t="s">
        <v>171</v>
      </c>
      <c r="N31" t="s">
        <v>179</v>
      </c>
    </row>
    <row r="32" spans="1:14">
      <c r="A32" t="s">
        <v>36</v>
      </c>
      <c r="B32" t="s">
        <v>180</v>
      </c>
      <c r="C32" t="s">
        <v>16</v>
      </c>
      <c r="D32" t="s">
        <v>38</v>
      </c>
      <c r="E32" t="s">
        <v>181</v>
      </c>
      <c r="F32" t="s">
        <v>40</v>
      </c>
      <c r="G32">
        <f>HYPERLINK("http://clipc-services.ceda.ac.uk/dreq/u/590dce42-9e49-11e5-803c-0d0b866b59f3.html","web")</f>
        <v>0</v>
      </c>
      <c r="H32" t="s">
        <v>182</v>
      </c>
      <c r="I32" t="s">
        <v>21</v>
      </c>
      <c r="J32" t="s">
        <v>183</v>
      </c>
      <c r="K32" t="s">
        <v>43</v>
      </c>
      <c r="L32" t="s">
        <v>51</v>
      </c>
      <c r="M32" t="s">
        <v>40</v>
      </c>
      <c r="N32" t="s">
        <v>184</v>
      </c>
    </row>
    <row r="33" spans="1:14">
      <c r="A33" t="s">
        <v>36</v>
      </c>
      <c r="B33" t="s">
        <v>185</v>
      </c>
      <c r="C33" t="s">
        <v>16</v>
      </c>
      <c r="D33" t="s">
        <v>38</v>
      </c>
      <c r="E33" t="s">
        <v>186</v>
      </c>
      <c r="F33" t="s">
        <v>40</v>
      </c>
      <c r="G33">
        <f>HYPERLINK("http://clipc-services.ceda.ac.uk/dreq/u/0353bea4-dca0-11e5-81c9-5404a60d96b5.html","web")</f>
        <v>0</v>
      </c>
      <c r="H33" t="s">
        <v>187</v>
      </c>
      <c r="I33" t="s">
        <v>21</v>
      </c>
      <c r="J33" t="s">
        <v>188</v>
      </c>
      <c r="K33" t="s">
        <v>43</v>
      </c>
      <c r="L33" t="s">
        <v>51</v>
      </c>
      <c r="M33" t="s">
        <v>40</v>
      </c>
      <c r="N33" t="s">
        <v>189</v>
      </c>
    </row>
    <row r="34" spans="1:14">
      <c r="A34" t="s">
        <v>36</v>
      </c>
      <c r="B34" t="s">
        <v>190</v>
      </c>
      <c r="C34" t="s">
        <v>16</v>
      </c>
      <c r="D34" t="s">
        <v>38</v>
      </c>
      <c r="E34" t="s">
        <v>191</v>
      </c>
      <c r="F34" t="s">
        <v>171</v>
      </c>
      <c r="G34">
        <f>HYPERLINK("http://clipc-services.ceda.ac.uk/dreq/u/590ef524-9e49-11e5-803c-0d0b866b59f3.html","web")</f>
        <v>0</v>
      </c>
      <c r="H34" t="s">
        <v>192</v>
      </c>
      <c r="I34" t="s">
        <v>21</v>
      </c>
      <c r="J34" t="s">
        <v>193</v>
      </c>
      <c r="K34" t="s">
        <v>43</v>
      </c>
      <c r="L34" t="s">
        <v>51</v>
      </c>
      <c r="M34" t="s">
        <v>171</v>
      </c>
      <c r="N34" t="s">
        <v>194</v>
      </c>
    </row>
    <row r="35" spans="1:14">
      <c r="A35" t="s">
        <v>36</v>
      </c>
      <c r="B35" t="s">
        <v>195</v>
      </c>
      <c r="C35" t="s">
        <v>16</v>
      </c>
      <c r="D35" t="s">
        <v>38</v>
      </c>
      <c r="E35" t="s">
        <v>196</v>
      </c>
      <c r="F35" t="s">
        <v>171</v>
      </c>
      <c r="G35">
        <f>HYPERLINK("http://clipc-services.ceda.ac.uk/dreq/u/590f2f8a-9e49-11e5-803c-0d0b866b59f3.html","web")</f>
        <v>0</v>
      </c>
      <c r="H35" t="s">
        <v>197</v>
      </c>
      <c r="I35" t="s">
        <v>21</v>
      </c>
      <c r="J35" t="s">
        <v>198</v>
      </c>
      <c r="K35" t="s">
        <v>50</v>
      </c>
      <c r="L35" t="s">
        <v>51</v>
      </c>
      <c r="M35" t="s">
        <v>171</v>
      </c>
      <c r="N35" t="s">
        <v>199</v>
      </c>
    </row>
    <row r="36" spans="1:14">
      <c r="A36" t="s">
        <v>36</v>
      </c>
      <c r="B36" t="s">
        <v>200</v>
      </c>
      <c r="C36" t="s">
        <v>201</v>
      </c>
      <c r="D36" t="s">
        <v>38</v>
      </c>
      <c r="E36" t="s">
        <v>202</v>
      </c>
      <c r="F36" t="s">
        <v>203</v>
      </c>
      <c r="G36">
        <f>HYPERLINK("http://clipc-services.ceda.ac.uk/dreq/u/590e3ee0-9e49-11e5-803c-0d0b866b59f3.html","web")</f>
        <v>0</v>
      </c>
      <c r="H36" t="s">
        <v>204</v>
      </c>
      <c r="I36" t="s">
        <v>21</v>
      </c>
      <c r="J36" t="s">
        <v>205</v>
      </c>
      <c r="K36" t="s">
        <v>43</v>
      </c>
      <c r="L36" t="s">
        <v>51</v>
      </c>
      <c r="M36" t="s">
        <v>203</v>
      </c>
      <c r="N36" t="s">
        <v>206</v>
      </c>
    </row>
    <row r="37" spans="1:14">
      <c r="A37" t="s">
        <v>36</v>
      </c>
      <c r="B37" t="s">
        <v>207</v>
      </c>
      <c r="C37" t="s">
        <v>201</v>
      </c>
      <c r="D37" t="s">
        <v>38</v>
      </c>
      <c r="E37" t="s">
        <v>208</v>
      </c>
      <c r="F37" t="s">
        <v>203</v>
      </c>
      <c r="G37">
        <f>HYPERLINK("http://clipc-services.ceda.ac.uk/dreq/u/590d4fc6-9e49-11e5-803c-0d0b866b59f3.html","web")</f>
        <v>0</v>
      </c>
      <c r="H37" t="s">
        <v>209</v>
      </c>
      <c r="I37" t="s">
        <v>21</v>
      </c>
      <c r="J37" t="s">
        <v>210</v>
      </c>
      <c r="K37" t="s">
        <v>43</v>
      </c>
      <c r="L37" t="s">
        <v>51</v>
      </c>
      <c r="M37" t="s">
        <v>203</v>
      </c>
      <c r="N37" t="s">
        <v>211</v>
      </c>
    </row>
    <row r="38" spans="1:14">
      <c r="A38" t="s">
        <v>36</v>
      </c>
      <c r="B38" t="s">
        <v>212</v>
      </c>
      <c r="C38" t="s">
        <v>201</v>
      </c>
      <c r="D38" t="s">
        <v>38</v>
      </c>
      <c r="E38" t="s">
        <v>213</v>
      </c>
      <c r="F38" t="s">
        <v>203</v>
      </c>
      <c r="G38">
        <f>HYPERLINK("http://clipc-services.ceda.ac.uk/dreq/u/590df8a4-9e49-11e5-803c-0d0b866b59f3.html","web")</f>
        <v>0</v>
      </c>
      <c r="H38" t="s">
        <v>214</v>
      </c>
      <c r="I38" t="s">
        <v>21</v>
      </c>
      <c r="J38" t="s">
        <v>215</v>
      </c>
      <c r="K38" t="s">
        <v>43</v>
      </c>
      <c r="L38" t="s">
        <v>51</v>
      </c>
      <c r="M38" t="s">
        <v>203</v>
      </c>
      <c r="N38" t="s">
        <v>216</v>
      </c>
    </row>
    <row r="39" spans="1:14">
      <c r="A39" t="s">
        <v>36</v>
      </c>
      <c r="B39" t="s">
        <v>217</v>
      </c>
      <c r="C39" t="s">
        <v>201</v>
      </c>
      <c r="D39" t="s">
        <v>38</v>
      </c>
      <c r="E39" t="s">
        <v>218</v>
      </c>
      <c r="F39" t="s">
        <v>203</v>
      </c>
      <c r="G39">
        <f>HYPERLINK("http://clipc-services.ceda.ac.uk/dreq/u/590df5e8-9e49-11e5-803c-0d0b866b59f3.html","web")</f>
        <v>0</v>
      </c>
      <c r="H39" t="s">
        <v>219</v>
      </c>
      <c r="I39" t="s">
        <v>21</v>
      </c>
      <c r="J39" t="s">
        <v>220</v>
      </c>
      <c r="K39" t="s">
        <v>43</v>
      </c>
      <c r="L39" t="s">
        <v>51</v>
      </c>
      <c r="M39" t="s">
        <v>203</v>
      </c>
      <c r="N39" t="s">
        <v>221</v>
      </c>
    </row>
    <row r="40" spans="1:14">
      <c r="A40" t="s">
        <v>36</v>
      </c>
      <c r="B40" t="s">
        <v>222</v>
      </c>
      <c r="C40" t="s">
        <v>201</v>
      </c>
      <c r="D40" t="s">
        <v>38</v>
      </c>
      <c r="E40" t="s">
        <v>223</v>
      </c>
      <c r="F40" t="s">
        <v>203</v>
      </c>
      <c r="G40">
        <f>HYPERLINK("http://clipc-services.ceda.ac.uk/dreq/u/590ed33c-9e49-11e5-803c-0d0b866b59f3.html","web")</f>
        <v>0</v>
      </c>
      <c r="H40" t="s">
        <v>224</v>
      </c>
      <c r="I40" t="s">
        <v>21</v>
      </c>
      <c r="J40" t="s">
        <v>225</v>
      </c>
      <c r="K40" t="s">
        <v>43</v>
      </c>
      <c r="L40" t="s">
        <v>51</v>
      </c>
      <c r="M40" t="s">
        <v>203</v>
      </c>
      <c r="N40" t="s">
        <v>226</v>
      </c>
    </row>
    <row r="41" spans="1:14">
      <c r="A41" t="s">
        <v>36</v>
      </c>
      <c r="B41" t="s">
        <v>227</v>
      </c>
      <c r="C41" t="s">
        <v>201</v>
      </c>
      <c r="D41" t="s">
        <v>38</v>
      </c>
      <c r="E41" t="s">
        <v>228</v>
      </c>
      <c r="F41" t="s">
        <v>203</v>
      </c>
      <c r="G41">
        <f>HYPERLINK("http://clipc-services.ceda.ac.uk/dreq/u/590d7654-9e49-11e5-803c-0d0b866b59f3.html","web")</f>
        <v>0</v>
      </c>
      <c r="H41" t="s">
        <v>229</v>
      </c>
      <c r="I41" t="s">
        <v>21</v>
      </c>
      <c r="J41" t="s">
        <v>230</v>
      </c>
      <c r="K41" t="s">
        <v>43</v>
      </c>
      <c r="L41" t="s">
        <v>51</v>
      </c>
      <c r="M41" t="s">
        <v>203</v>
      </c>
      <c r="N41" t="s">
        <v>231</v>
      </c>
    </row>
    <row r="42" spans="1:14">
      <c r="A42" t="s">
        <v>36</v>
      </c>
      <c r="B42" t="s">
        <v>232</v>
      </c>
      <c r="C42" t="s">
        <v>16</v>
      </c>
      <c r="D42" t="s">
        <v>38</v>
      </c>
      <c r="E42" t="s">
        <v>233</v>
      </c>
      <c r="F42" t="s">
        <v>234</v>
      </c>
      <c r="G42">
        <f>HYPERLINK("http://clipc-services.ceda.ac.uk/dreq/u/590f9d30-9e49-11e5-803c-0d0b866b59f3.html","web")</f>
        <v>0</v>
      </c>
      <c r="H42" t="s">
        <v>235</v>
      </c>
      <c r="I42" t="s">
        <v>21</v>
      </c>
      <c r="J42" t="s">
        <v>236</v>
      </c>
      <c r="K42" t="s">
        <v>50</v>
      </c>
      <c r="L42" t="s">
        <v>51</v>
      </c>
      <c r="M42" t="s">
        <v>234</v>
      </c>
      <c r="N42" t="s">
        <v>237</v>
      </c>
    </row>
    <row r="43" spans="1:14">
      <c r="A43" t="s">
        <v>36</v>
      </c>
      <c r="B43" t="s">
        <v>238</v>
      </c>
      <c r="C43" t="s">
        <v>201</v>
      </c>
      <c r="D43" t="s">
        <v>239</v>
      </c>
      <c r="E43" t="s">
        <v>240</v>
      </c>
      <c r="F43" t="s">
        <v>82</v>
      </c>
      <c r="G43">
        <f>HYPERLINK("http://clipc-services.ceda.ac.uk/dreq/u/590d98b4-9e49-11e5-803c-0d0b866b59f3.html","web")</f>
        <v>0</v>
      </c>
      <c r="H43" t="s">
        <v>241</v>
      </c>
      <c r="I43" t="s">
        <v>21</v>
      </c>
      <c r="J43" t="s">
        <v>242</v>
      </c>
      <c r="K43" t="s">
        <v>43</v>
      </c>
      <c r="L43" t="s">
        <v>51</v>
      </c>
      <c r="M43" t="s">
        <v>82</v>
      </c>
      <c r="N43" t="s">
        <v>243</v>
      </c>
    </row>
    <row r="44" spans="1:14">
      <c r="A44" t="s">
        <v>36</v>
      </c>
      <c r="B44" t="s">
        <v>244</v>
      </c>
      <c r="C44" t="s">
        <v>201</v>
      </c>
      <c r="D44" t="s">
        <v>239</v>
      </c>
      <c r="E44" t="s">
        <v>245</v>
      </c>
      <c r="F44" t="s">
        <v>165</v>
      </c>
      <c r="G44">
        <f>HYPERLINK("http://clipc-services.ceda.ac.uk/dreq/u/590dfdc2-9e49-11e5-803c-0d0b866b59f3.html","web")</f>
        <v>0</v>
      </c>
      <c r="H44" t="s">
        <v>246</v>
      </c>
      <c r="I44" t="s">
        <v>21</v>
      </c>
      <c r="J44" t="s">
        <v>247</v>
      </c>
      <c r="K44" t="s">
        <v>43</v>
      </c>
      <c r="L44" t="s">
        <v>51</v>
      </c>
      <c r="M44" t="s">
        <v>165</v>
      </c>
      <c r="N44" t="s">
        <v>248</v>
      </c>
    </row>
    <row r="45" spans="1:14">
      <c r="A45" t="s">
        <v>36</v>
      </c>
      <c r="B45" t="s">
        <v>249</v>
      </c>
      <c r="C45" t="s">
        <v>201</v>
      </c>
      <c r="D45" t="s">
        <v>239</v>
      </c>
      <c r="E45" t="s">
        <v>250</v>
      </c>
      <c r="F45" t="s">
        <v>165</v>
      </c>
      <c r="G45">
        <f>HYPERLINK("http://clipc-services.ceda.ac.uk/dreq/u/59133288-9e49-11e5-803c-0d0b866b59f3.html","web")</f>
        <v>0</v>
      </c>
      <c r="H45" t="s">
        <v>251</v>
      </c>
      <c r="I45" t="s">
        <v>21</v>
      </c>
      <c r="J45" t="s">
        <v>252</v>
      </c>
      <c r="K45" t="s">
        <v>43</v>
      </c>
      <c r="L45" t="s">
        <v>51</v>
      </c>
      <c r="M45" t="s">
        <v>165</v>
      </c>
      <c r="N45" t="s">
        <v>253</v>
      </c>
    </row>
    <row r="46" spans="1:14">
      <c r="A46" t="s">
        <v>36</v>
      </c>
      <c r="B46" t="s">
        <v>254</v>
      </c>
      <c r="C46" t="s">
        <v>28</v>
      </c>
      <c r="D46" t="s">
        <v>38</v>
      </c>
      <c r="E46" t="s">
        <v>255</v>
      </c>
      <c r="F46" t="s">
        <v>256</v>
      </c>
      <c r="G46">
        <f>HYPERLINK("http://clipc-services.ceda.ac.uk/dreq/u/5917184e-9e49-11e5-803c-0d0b866b59f3.html","web")</f>
        <v>0</v>
      </c>
      <c r="H46" t="s">
        <v>257</v>
      </c>
      <c r="I46" t="s">
        <v>21</v>
      </c>
      <c r="J46" t="s">
        <v>258</v>
      </c>
      <c r="K46" t="s">
        <v>259</v>
      </c>
      <c r="L46" t="s">
        <v>51</v>
      </c>
      <c r="M46" t="s">
        <v>256</v>
      </c>
      <c r="N46" t="s">
        <v>260</v>
      </c>
    </row>
    <row r="47" spans="1:14">
      <c r="A47" t="s">
        <v>36</v>
      </c>
      <c r="B47" t="s">
        <v>261</v>
      </c>
      <c r="C47" t="s">
        <v>16</v>
      </c>
      <c r="D47" t="s">
        <v>54</v>
      </c>
      <c r="E47" t="s">
        <v>262</v>
      </c>
      <c r="F47" t="s">
        <v>19</v>
      </c>
      <c r="G47">
        <f>HYPERLINK("http://clipc-services.ceda.ac.uk/dreq/u/7309e7f8-7a68-11e6-8db2-ac72891c3257.html","web")</f>
        <v>0</v>
      </c>
      <c r="H47" t="s">
        <v>263</v>
      </c>
      <c r="I47" t="s">
        <v>21</v>
      </c>
      <c r="J47" t="s">
        <v>58</v>
      </c>
      <c r="K47" t="s">
        <v>50</v>
      </c>
      <c r="L47" t="s">
        <v>51</v>
      </c>
      <c r="M47" t="s">
        <v>19</v>
      </c>
      <c r="N47" t="s">
        <v>264</v>
      </c>
    </row>
    <row r="48" spans="1:14">
      <c r="A48" t="s">
        <v>36</v>
      </c>
      <c r="B48" t="s">
        <v>265</v>
      </c>
      <c r="C48" t="s">
        <v>201</v>
      </c>
      <c r="D48" t="s">
        <v>38</v>
      </c>
      <c r="E48" t="s">
        <v>266</v>
      </c>
      <c r="F48">
        <v>0.001</v>
      </c>
      <c r="G48">
        <f>HYPERLINK("http://clipc-services.ceda.ac.uk/dreq/u/5913e674-9e49-11e5-803c-0d0b866b59f3.html","web")</f>
        <v>0</v>
      </c>
      <c r="H48" t="s">
        <v>267</v>
      </c>
      <c r="I48" t="s">
        <v>21</v>
      </c>
      <c r="J48" t="s">
        <v>268</v>
      </c>
      <c r="K48" t="s">
        <v>112</v>
      </c>
      <c r="L48" t="s">
        <v>51</v>
      </c>
      <c r="M48">
        <v>0.001</v>
      </c>
      <c r="N48" t="s">
        <v>269</v>
      </c>
    </row>
    <row r="49" spans="1:14">
      <c r="A49" t="s">
        <v>36</v>
      </c>
      <c r="B49" t="s">
        <v>270</v>
      </c>
      <c r="C49" t="s">
        <v>201</v>
      </c>
      <c r="D49" t="s">
        <v>38</v>
      </c>
      <c r="E49" t="s">
        <v>271</v>
      </c>
      <c r="F49" t="s">
        <v>256</v>
      </c>
      <c r="G49">
        <f>HYPERLINK("http://clipc-services.ceda.ac.uk/dreq/u/590c7920-9e49-11e5-803c-0d0b866b59f3.html","web")</f>
        <v>0</v>
      </c>
      <c r="H49" t="s">
        <v>272</v>
      </c>
      <c r="I49" t="s">
        <v>21</v>
      </c>
      <c r="J49" t="s">
        <v>273</v>
      </c>
      <c r="K49" t="s">
        <v>43</v>
      </c>
      <c r="L49" t="s">
        <v>51</v>
      </c>
      <c r="M49" t="s">
        <v>256</v>
      </c>
      <c r="N49" t="s">
        <v>274</v>
      </c>
    </row>
    <row r="50" spans="1:14">
      <c r="A50" t="s">
        <v>36</v>
      </c>
      <c r="B50" t="s">
        <v>275</v>
      </c>
      <c r="C50" t="s">
        <v>16</v>
      </c>
      <c r="D50" t="s">
        <v>29</v>
      </c>
      <c r="E50" t="s">
        <v>276</v>
      </c>
      <c r="F50" t="s">
        <v>89</v>
      </c>
      <c r="G50">
        <f>HYPERLINK("http://clipc-services.ceda.ac.uk/dreq/u/590d70b4-9e49-11e5-803c-0d0b866b59f3.html","web")</f>
        <v>0</v>
      </c>
      <c r="H50" t="s">
        <v>277</v>
      </c>
      <c r="I50" t="s">
        <v>21</v>
      </c>
      <c r="J50" t="s">
        <v>278</v>
      </c>
      <c r="K50" t="s">
        <v>43</v>
      </c>
      <c r="L50" t="s">
        <v>51</v>
      </c>
      <c r="M50" t="s">
        <v>89</v>
      </c>
      <c r="N50" t="s">
        <v>279</v>
      </c>
    </row>
    <row r="51" spans="1:14">
      <c r="A51" t="s">
        <v>36</v>
      </c>
      <c r="B51" t="s">
        <v>280</v>
      </c>
      <c r="C51" t="s">
        <v>16</v>
      </c>
      <c r="D51" t="s">
        <v>38</v>
      </c>
      <c r="E51" t="s">
        <v>281</v>
      </c>
      <c r="F51" t="s">
        <v>234</v>
      </c>
      <c r="G51">
        <f>HYPERLINK("http://clipc-services.ceda.ac.uk/dreq/u/5912f890-9e49-11e5-803c-0d0b866b59f3.html","web")</f>
        <v>0</v>
      </c>
      <c r="H51" t="s">
        <v>282</v>
      </c>
      <c r="I51" t="s">
        <v>21</v>
      </c>
      <c r="J51" t="s">
        <v>283</v>
      </c>
      <c r="K51" t="s">
        <v>43</v>
      </c>
      <c r="L51" t="s">
        <v>51</v>
      </c>
      <c r="M51" t="s">
        <v>234</v>
      </c>
      <c r="N51" t="s">
        <v>284</v>
      </c>
    </row>
    <row r="52" spans="1:14">
      <c r="A52" t="s">
        <v>36</v>
      </c>
      <c r="B52" t="s">
        <v>285</v>
      </c>
      <c r="C52" t="s">
        <v>28</v>
      </c>
      <c r="D52" t="s">
        <v>38</v>
      </c>
      <c r="E52" t="s">
        <v>286</v>
      </c>
      <c r="F52" t="s">
        <v>256</v>
      </c>
      <c r="G52">
        <f>HYPERLINK("http://clipc-services.ceda.ac.uk/dreq/u/5914a6b8-9e49-11e5-803c-0d0b866b59f3.html","web")</f>
        <v>0</v>
      </c>
      <c r="H52" t="s">
        <v>287</v>
      </c>
      <c r="I52" t="s">
        <v>21</v>
      </c>
      <c r="J52" t="s">
        <v>288</v>
      </c>
      <c r="K52" t="s">
        <v>289</v>
      </c>
      <c r="L52" t="s">
        <v>51</v>
      </c>
      <c r="M52" t="s">
        <v>256</v>
      </c>
      <c r="N52" t="s">
        <v>290</v>
      </c>
    </row>
    <row r="53" spans="1:14">
      <c r="A53" t="s">
        <v>36</v>
      </c>
      <c r="B53" t="s">
        <v>291</v>
      </c>
      <c r="C53" t="s">
        <v>28</v>
      </c>
      <c r="D53" t="s">
        <v>38</v>
      </c>
      <c r="E53" t="s">
        <v>292</v>
      </c>
      <c r="F53" t="s">
        <v>165</v>
      </c>
      <c r="G53">
        <f>HYPERLINK("http://clipc-services.ceda.ac.uk/dreq/u/5913c266-9e49-11e5-803c-0d0b866b59f3.html","web")</f>
        <v>0</v>
      </c>
      <c r="H53" t="s">
        <v>293</v>
      </c>
      <c r="I53" t="s">
        <v>21</v>
      </c>
      <c r="J53" t="s">
        <v>294</v>
      </c>
      <c r="K53" t="s">
        <v>295</v>
      </c>
      <c r="L53" t="s">
        <v>51</v>
      </c>
      <c r="M53" t="s">
        <v>165</v>
      </c>
      <c r="N53" t="s">
        <v>296</v>
      </c>
    </row>
    <row r="54" spans="1:14">
      <c r="A54" t="s">
        <v>36</v>
      </c>
      <c r="B54" t="s">
        <v>297</v>
      </c>
      <c r="C54" t="s">
        <v>28</v>
      </c>
      <c r="D54" t="s">
        <v>38</v>
      </c>
      <c r="E54" t="s">
        <v>298</v>
      </c>
      <c r="F54" t="s">
        <v>299</v>
      </c>
      <c r="G54">
        <f>HYPERLINK("http://clipc-services.ceda.ac.uk/dreq/u/590f4f2e-9e49-11e5-803c-0d0b866b59f3.html","web")</f>
        <v>0</v>
      </c>
      <c r="H54" t="s">
        <v>300</v>
      </c>
      <c r="I54" t="s">
        <v>21</v>
      </c>
      <c r="J54" t="s">
        <v>301</v>
      </c>
      <c r="K54" t="s">
        <v>302</v>
      </c>
      <c r="L54" t="s">
        <v>51</v>
      </c>
      <c r="M54" t="s">
        <v>299</v>
      </c>
      <c r="N54" t="s">
        <v>303</v>
      </c>
    </row>
    <row r="55" spans="1:14">
      <c r="A55" t="s">
        <v>36</v>
      </c>
      <c r="B55" t="s">
        <v>304</v>
      </c>
      <c r="C55" t="s">
        <v>201</v>
      </c>
      <c r="D55" t="s">
        <v>29</v>
      </c>
      <c r="E55" t="s">
        <v>305</v>
      </c>
      <c r="F55" t="s">
        <v>74</v>
      </c>
      <c r="G55">
        <f>HYPERLINK("http://clipc-services.ceda.ac.uk/dreq/u/590ea16e-9e49-11e5-803c-0d0b866b59f3.html","web")</f>
        <v>0</v>
      </c>
      <c r="H55" t="s">
        <v>306</v>
      </c>
      <c r="I55" t="s">
        <v>21</v>
      </c>
      <c r="J55" t="s">
        <v>307</v>
      </c>
      <c r="K55" t="s">
        <v>43</v>
      </c>
      <c r="L55" t="s">
        <v>51</v>
      </c>
      <c r="M55" t="s">
        <v>74</v>
      </c>
      <c r="N55" t="s">
        <v>308</v>
      </c>
    </row>
    <row r="56" spans="1:14">
      <c r="A56" t="s">
        <v>36</v>
      </c>
      <c r="B56" t="s">
        <v>309</v>
      </c>
      <c r="C56" t="s">
        <v>201</v>
      </c>
      <c r="D56" t="s">
        <v>29</v>
      </c>
      <c r="E56" t="s">
        <v>310</v>
      </c>
      <c r="F56" t="s">
        <v>74</v>
      </c>
      <c r="G56">
        <f>HYPERLINK("http://clipc-services.ceda.ac.uk/dreq/u/590e4bd8-9e49-11e5-803c-0d0b866b59f3.html","web")</f>
        <v>0</v>
      </c>
      <c r="H56" t="s">
        <v>311</v>
      </c>
      <c r="I56" t="s">
        <v>21</v>
      </c>
      <c r="J56" t="s">
        <v>312</v>
      </c>
      <c r="K56" t="s">
        <v>43</v>
      </c>
      <c r="L56" t="s">
        <v>51</v>
      </c>
      <c r="M56" t="s">
        <v>74</v>
      </c>
      <c r="N56" t="s">
        <v>313</v>
      </c>
    </row>
    <row r="57" spans="1:14">
      <c r="A57" t="s">
        <v>36</v>
      </c>
      <c r="B57" t="s">
        <v>314</v>
      </c>
      <c r="C57" t="s">
        <v>16</v>
      </c>
      <c r="D57" t="s">
        <v>38</v>
      </c>
      <c r="E57" t="s">
        <v>315</v>
      </c>
      <c r="F57" t="s">
        <v>203</v>
      </c>
      <c r="G57">
        <f>HYPERLINK("http://clipc-services.ceda.ac.uk/dreq/u/5913f77c-9e49-11e5-803c-0d0b866b59f3.html","web")</f>
        <v>0</v>
      </c>
      <c r="H57" t="s">
        <v>316</v>
      </c>
      <c r="I57" t="s">
        <v>21</v>
      </c>
      <c r="J57" t="s">
        <v>317</v>
      </c>
      <c r="K57" t="s">
        <v>318</v>
      </c>
      <c r="L57" t="s">
        <v>51</v>
      </c>
      <c r="M57" t="s">
        <v>203</v>
      </c>
      <c r="N57" t="s">
        <v>319</v>
      </c>
    </row>
    <row r="58" spans="1:14">
      <c r="A58" t="s">
        <v>36</v>
      </c>
      <c r="B58" t="s">
        <v>320</v>
      </c>
      <c r="C58" t="s">
        <v>16</v>
      </c>
      <c r="D58" t="s">
        <v>38</v>
      </c>
      <c r="E58" t="s">
        <v>321</v>
      </c>
      <c r="F58" t="s">
        <v>203</v>
      </c>
      <c r="G58">
        <f>HYPERLINK("http://clipc-services.ceda.ac.uk/dreq/u/590d2848-9e49-11e5-803c-0d0b866b59f3.html","web")</f>
        <v>0</v>
      </c>
      <c r="H58" t="s">
        <v>322</v>
      </c>
      <c r="I58" t="s">
        <v>21</v>
      </c>
      <c r="J58" t="s">
        <v>323</v>
      </c>
      <c r="K58" t="s">
        <v>43</v>
      </c>
      <c r="L58" t="s">
        <v>51</v>
      </c>
      <c r="M58" t="s">
        <v>203</v>
      </c>
      <c r="N58" t="s">
        <v>324</v>
      </c>
    </row>
    <row r="59" spans="1:14">
      <c r="A59" t="s">
        <v>36</v>
      </c>
      <c r="B59" t="s">
        <v>325</v>
      </c>
      <c r="C59" t="s">
        <v>16</v>
      </c>
      <c r="D59" t="s">
        <v>38</v>
      </c>
      <c r="E59" t="s">
        <v>326</v>
      </c>
      <c r="F59" t="s">
        <v>203</v>
      </c>
      <c r="G59">
        <f>HYPERLINK("http://clipc-services.ceda.ac.uk/dreq/u/591774d8-9e49-11e5-803c-0d0b866b59f3.html","web")</f>
        <v>0</v>
      </c>
      <c r="H59" t="s">
        <v>327</v>
      </c>
      <c r="I59" t="s">
        <v>21</v>
      </c>
      <c r="J59" t="s">
        <v>328</v>
      </c>
      <c r="K59" t="s">
        <v>318</v>
      </c>
      <c r="L59" t="s">
        <v>51</v>
      </c>
      <c r="M59" t="s">
        <v>203</v>
      </c>
      <c r="N59" t="s">
        <v>329</v>
      </c>
    </row>
    <row r="60" spans="1:14">
      <c r="A60" t="s">
        <v>36</v>
      </c>
      <c r="B60" t="s">
        <v>330</v>
      </c>
      <c r="C60" t="s">
        <v>16</v>
      </c>
      <c r="D60" t="s">
        <v>38</v>
      </c>
      <c r="E60" t="s">
        <v>331</v>
      </c>
      <c r="F60" t="s">
        <v>203</v>
      </c>
      <c r="G60">
        <f>HYPERLINK("http://clipc-services.ceda.ac.uk/dreq/u/59150da6-9e49-11e5-803c-0d0b866b59f3.html","web")</f>
        <v>0</v>
      </c>
      <c r="H60" t="s">
        <v>332</v>
      </c>
      <c r="I60" t="s">
        <v>21</v>
      </c>
      <c r="J60" t="s">
        <v>333</v>
      </c>
      <c r="K60" t="s">
        <v>43</v>
      </c>
      <c r="L60" t="s">
        <v>51</v>
      </c>
      <c r="M60" t="s">
        <v>203</v>
      </c>
      <c r="N60" t="s">
        <v>334</v>
      </c>
    </row>
    <row r="61" spans="1:14">
      <c r="A61" t="s">
        <v>36</v>
      </c>
      <c r="B61" t="s">
        <v>335</v>
      </c>
      <c r="C61" t="s">
        <v>16</v>
      </c>
      <c r="D61" t="s">
        <v>38</v>
      </c>
      <c r="E61" t="s">
        <v>336</v>
      </c>
      <c r="F61" t="s">
        <v>337</v>
      </c>
      <c r="G61">
        <f>HYPERLINK("http://clipc-services.ceda.ac.uk/dreq/u/5914d6d8-9e49-11e5-803c-0d0b866b59f3.html","web")</f>
        <v>0</v>
      </c>
      <c r="H61" t="s">
        <v>338</v>
      </c>
      <c r="I61" t="s">
        <v>21</v>
      </c>
      <c r="J61" t="s">
        <v>339</v>
      </c>
      <c r="K61" t="s">
        <v>43</v>
      </c>
      <c r="L61" t="s">
        <v>51</v>
      </c>
      <c r="M61" t="s">
        <v>337</v>
      </c>
      <c r="N61" t="s">
        <v>340</v>
      </c>
    </row>
    <row r="62" spans="1:14">
      <c r="A62" t="s">
        <v>36</v>
      </c>
      <c r="B62" t="s">
        <v>341</v>
      </c>
      <c r="C62" t="s">
        <v>16</v>
      </c>
      <c r="D62" t="s">
        <v>38</v>
      </c>
      <c r="E62" t="s">
        <v>342</v>
      </c>
      <c r="F62" t="s">
        <v>337</v>
      </c>
      <c r="G62">
        <f>HYPERLINK("http://clipc-services.ceda.ac.uk/dreq/u/590e34fe-9e49-11e5-803c-0d0b866b59f3.html","web")</f>
        <v>0</v>
      </c>
      <c r="H62" t="s">
        <v>343</v>
      </c>
      <c r="I62" t="s">
        <v>21</v>
      </c>
      <c r="J62" t="s">
        <v>344</v>
      </c>
      <c r="K62" t="s">
        <v>345</v>
      </c>
      <c r="L62" t="s">
        <v>51</v>
      </c>
      <c r="M62" t="s">
        <v>337</v>
      </c>
      <c r="N62" t="s">
        <v>346</v>
      </c>
    </row>
    <row r="63" spans="1:14">
      <c r="A63" t="s">
        <v>36</v>
      </c>
      <c r="B63" t="s">
        <v>347</v>
      </c>
      <c r="C63" t="s">
        <v>28</v>
      </c>
      <c r="D63" t="s">
        <v>38</v>
      </c>
      <c r="E63" t="s">
        <v>348</v>
      </c>
      <c r="F63" t="s">
        <v>337</v>
      </c>
      <c r="G63">
        <f>HYPERLINK("http://clipc-services.ceda.ac.uk/dreq/u/5914a456-9e49-11e5-803c-0d0b866b59f3.html","web")</f>
        <v>0</v>
      </c>
      <c r="H63" t="s">
        <v>349</v>
      </c>
      <c r="I63" t="s">
        <v>21</v>
      </c>
      <c r="J63" t="s">
        <v>350</v>
      </c>
      <c r="K63" t="s">
        <v>351</v>
      </c>
      <c r="L63" t="s">
        <v>51</v>
      </c>
      <c r="M63" t="s">
        <v>337</v>
      </c>
      <c r="N63" t="s">
        <v>352</v>
      </c>
    </row>
    <row r="64" spans="1:14">
      <c r="A64" t="s">
        <v>36</v>
      </c>
      <c r="B64" t="s">
        <v>353</v>
      </c>
      <c r="C64" t="s">
        <v>28</v>
      </c>
      <c r="D64" t="s">
        <v>38</v>
      </c>
      <c r="E64" t="s">
        <v>354</v>
      </c>
      <c r="F64" t="s">
        <v>165</v>
      </c>
      <c r="G64">
        <f>HYPERLINK("http://clipc-services.ceda.ac.uk/dreq/u/591321f8-9e49-11e5-803c-0d0b866b59f3.html","web")</f>
        <v>0</v>
      </c>
      <c r="H64" t="s">
        <v>355</v>
      </c>
      <c r="I64" t="s">
        <v>21</v>
      </c>
      <c r="J64" t="s">
        <v>356</v>
      </c>
      <c r="K64" t="s">
        <v>357</v>
      </c>
      <c r="L64" t="s">
        <v>51</v>
      </c>
      <c r="M64" t="s">
        <v>165</v>
      </c>
      <c r="N64" t="s">
        <v>358</v>
      </c>
    </row>
    <row r="65" spans="1:14">
      <c r="A65" t="s">
        <v>36</v>
      </c>
      <c r="B65" t="s">
        <v>359</v>
      </c>
      <c r="C65" t="s">
        <v>28</v>
      </c>
      <c r="D65" t="s">
        <v>38</v>
      </c>
      <c r="E65" t="s">
        <v>360</v>
      </c>
      <c r="F65">
        <v>1</v>
      </c>
      <c r="G65">
        <f>HYPERLINK("http://clipc-services.ceda.ac.uk/dreq/u/590e8b2a-9e49-11e5-803c-0d0b866b59f3.html","web")</f>
        <v>0</v>
      </c>
      <c r="H65" t="s">
        <v>361</v>
      </c>
      <c r="I65" t="s">
        <v>21</v>
      </c>
      <c r="J65" t="s">
        <v>362</v>
      </c>
      <c r="K65" t="s">
        <v>302</v>
      </c>
      <c r="L65" t="s">
        <v>51</v>
      </c>
      <c r="M65">
        <v>1</v>
      </c>
      <c r="N65" t="s">
        <v>363</v>
      </c>
    </row>
    <row r="66" spans="1:14">
      <c r="A66" t="s">
        <v>36</v>
      </c>
      <c r="B66" t="s">
        <v>364</v>
      </c>
      <c r="C66" t="s">
        <v>28</v>
      </c>
      <c r="D66" t="s">
        <v>38</v>
      </c>
      <c r="E66" t="s">
        <v>365</v>
      </c>
      <c r="F66" t="s">
        <v>299</v>
      </c>
      <c r="G66">
        <f>HYPERLINK("http://clipc-services.ceda.ac.uk/dreq/u/590e80c6-9e49-11e5-803c-0d0b866b59f3.html","web")</f>
        <v>0</v>
      </c>
      <c r="H66" t="s">
        <v>366</v>
      </c>
      <c r="I66" t="s">
        <v>21</v>
      </c>
      <c r="J66" t="s">
        <v>367</v>
      </c>
      <c r="K66" t="s">
        <v>368</v>
      </c>
      <c r="L66" t="s">
        <v>51</v>
      </c>
      <c r="M66" t="s">
        <v>299</v>
      </c>
      <c r="N66" t="s">
        <v>369</v>
      </c>
    </row>
    <row r="67" spans="1:14">
      <c r="A67" t="s">
        <v>36</v>
      </c>
      <c r="B67" t="s">
        <v>370</v>
      </c>
      <c r="C67" t="s">
        <v>28</v>
      </c>
      <c r="D67" t="s">
        <v>38</v>
      </c>
      <c r="E67" t="s">
        <v>371</v>
      </c>
      <c r="F67" t="s">
        <v>299</v>
      </c>
      <c r="G67">
        <f>HYPERLINK("http://clipc-services.ceda.ac.uk/dreq/u/59141748-9e49-11e5-803c-0d0b866b59f3.html","web")</f>
        <v>0</v>
      </c>
      <c r="H67" t="s">
        <v>372</v>
      </c>
      <c r="I67" t="s">
        <v>21</v>
      </c>
      <c r="J67" t="s">
        <v>373</v>
      </c>
      <c r="K67" t="s">
        <v>368</v>
      </c>
      <c r="L67" t="s">
        <v>51</v>
      </c>
      <c r="M67" t="s">
        <v>299</v>
      </c>
      <c r="N67" t="s">
        <v>374</v>
      </c>
    </row>
    <row r="68" spans="1:14">
      <c r="A68" t="s">
        <v>36</v>
      </c>
      <c r="B68" t="s">
        <v>375</v>
      </c>
      <c r="C68" t="s">
        <v>28</v>
      </c>
      <c r="D68" t="s">
        <v>38</v>
      </c>
      <c r="E68" t="s">
        <v>376</v>
      </c>
      <c r="F68" t="s">
        <v>165</v>
      </c>
      <c r="G68">
        <f>HYPERLINK("http://clipc-services.ceda.ac.uk/dreq/u/591801d2-9e49-11e5-803c-0d0b866b59f3.html","web")</f>
        <v>0</v>
      </c>
      <c r="H68" t="s">
        <v>377</v>
      </c>
      <c r="I68" t="s">
        <v>21</v>
      </c>
      <c r="J68" t="s">
        <v>378</v>
      </c>
      <c r="K68" t="s">
        <v>302</v>
      </c>
      <c r="L68" t="s">
        <v>51</v>
      </c>
      <c r="M68" t="s">
        <v>165</v>
      </c>
      <c r="N68" t="s">
        <v>379</v>
      </c>
    </row>
    <row r="69" spans="1:14">
      <c r="A69" t="s">
        <v>36</v>
      </c>
      <c r="B69" t="s">
        <v>380</v>
      </c>
      <c r="C69" t="s">
        <v>16</v>
      </c>
      <c r="D69" t="s">
        <v>61</v>
      </c>
      <c r="E69" t="s">
        <v>381</v>
      </c>
      <c r="F69" t="s">
        <v>382</v>
      </c>
      <c r="G69">
        <f>HYPERLINK("http://clipc-services.ceda.ac.uk/dreq/u/5913c9aa-9e49-11e5-803c-0d0b866b59f3.html","web")</f>
        <v>0</v>
      </c>
      <c r="H69" t="s">
        <v>383</v>
      </c>
      <c r="I69" t="s">
        <v>21</v>
      </c>
      <c r="J69" t="s">
        <v>384</v>
      </c>
      <c r="K69" t="s">
        <v>43</v>
      </c>
      <c r="L69" t="s">
        <v>51</v>
      </c>
      <c r="M69" t="s">
        <v>382</v>
      </c>
      <c r="N69" t="s">
        <v>385</v>
      </c>
    </row>
    <row r="70" spans="1:14">
      <c r="A70" t="s">
        <v>36</v>
      </c>
      <c r="B70" t="s">
        <v>386</v>
      </c>
      <c r="C70" t="s">
        <v>16</v>
      </c>
      <c r="D70" t="s">
        <v>61</v>
      </c>
      <c r="E70" t="s">
        <v>387</v>
      </c>
      <c r="F70" t="s">
        <v>382</v>
      </c>
      <c r="G70">
        <f>HYPERLINK("http://clipc-services.ceda.ac.uk/dreq/u/590ee2fa-9e49-11e5-803c-0d0b866b59f3.html","web")</f>
        <v>0</v>
      </c>
      <c r="H70" t="s">
        <v>388</v>
      </c>
      <c r="I70" t="s">
        <v>21</v>
      </c>
      <c r="J70" t="s">
        <v>389</v>
      </c>
      <c r="K70" t="s">
        <v>43</v>
      </c>
      <c r="L70" t="s">
        <v>51</v>
      </c>
      <c r="M70" t="s">
        <v>382</v>
      </c>
      <c r="N70" t="s">
        <v>390</v>
      </c>
    </row>
    <row r="71" spans="1:14">
      <c r="A71" t="s">
        <v>36</v>
      </c>
      <c r="B71" t="s">
        <v>391</v>
      </c>
      <c r="C71" t="s">
        <v>16</v>
      </c>
      <c r="D71" t="s">
        <v>38</v>
      </c>
      <c r="E71" t="s">
        <v>392</v>
      </c>
      <c r="F71" t="s">
        <v>40</v>
      </c>
      <c r="G71">
        <f>HYPERLINK("http://clipc-services.ceda.ac.uk/dreq/u/59139246-9e49-11e5-803c-0d0b866b59f3.html","web")</f>
        <v>0</v>
      </c>
      <c r="H71" t="s">
        <v>393</v>
      </c>
      <c r="I71" t="s">
        <v>21</v>
      </c>
      <c r="J71" t="s">
        <v>394</v>
      </c>
      <c r="K71" t="s">
        <v>43</v>
      </c>
      <c r="L71" t="s">
        <v>51</v>
      </c>
      <c r="M71" t="s">
        <v>40</v>
      </c>
      <c r="N71" t="s">
        <v>395</v>
      </c>
    </row>
    <row r="72" spans="1:14">
      <c r="A72" t="s">
        <v>36</v>
      </c>
      <c r="B72" t="s">
        <v>396</v>
      </c>
      <c r="C72" t="s">
        <v>16</v>
      </c>
      <c r="D72" t="s">
        <v>38</v>
      </c>
      <c r="E72" t="s">
        <v>397</v>
      </c>
      <c r="F72" t="s">
        <v>40</v>
      </c>
      <c r="G72">
        <f>HYPERLINK("http://clipc-services.ceda.ac.uk/dreq/u/590e1ef6-9e49-11e5-803c-0d0b866b59f3.html","web")</f>
        <v>0</v>
      </c>
      <c r="H72" t="s">
        <v>398</v>
      </c>
      <c r="I72" t="s">
        <v>21</v>
      </c>
      <c r="J72" t="s">
        <v>399</v>
      </c>
      <c r="K72" t="s">
        <v>50</v>
      </c>
      <c r="L72" t="s">
        <v>51</v>
      </c>
      <c r="M72" t="s">
        <v>40</v>
      </c>
      <c r="N72" t="s">
        <v>400</v>
      </c>
    </row>
    <row r="73" spans="1:14">
      <c r="A73" t="s">
        <v>36</v>
      </c>
      <c r="B73" t="s">
        <v>401</v>
      </c>
      <c r="C73" t="s">
        <v>16</v>
      </c>
      <c r="D73" t="s">
        <v>38</v>
      </c>
      <c r="E73" t="s">
        <v>402</v>
      </c>
      <c r="F73" t="s">
        <v>40</v>
      </c>
      <c r="G73">
        <f>HYPERLINK("http://clipc-services.ceda.ac.uk/dreq/u/5914c95e-9e49-11e5-803c-0d0b866b59f3.html","web")</f>
        <v>0</v>
      </c>
      <c r="H73" t="s">
        <v>403</v>
      </c>
      <c r="I73" t="s">
        <v>21</v>
      </c>
      <c r="J73" t="s">
        <v>404</v>
      </c>
      <c r="K73" t="s">
        <v>43</v>
      </c>
      <c r="L73" t="s">
        <v>51</v>
      </c>
      <c r="M73" t="s">
        <v>40</v>
      </c>
      <c r="N73" t="s">
        <v>405</v>
      </c>
    </row>
    <row r="74" spans="1:14">
      <c r="A74" t="s">
        <v>36</v>
      </c>
      <c r="B74" t="s">
        <v>406</v>
      </c>
      <c r="C74" t="s">
        <v>16</v>
      </c>
      <c r="D74" t="s">
        <v>38</v>
      </c>
      <c r="E74" t="s">
        <v>407</v>
      </c>
      <c r="F74" t="s">
        <v>40</v>
      </c>
      <c r="G74">
        <f>HYPERLINK("http://clipc-services.ceda.ac.uk/dreq/u/59142a3a-9e49-11e5-803c-0d0b866b59f3.html","web")</f>
        <v>0</v>
      </c>
      <c r="H74" t="s">
        <v>408</v>
      </c>
      <c r="I74" t="s">
        <v>21</v>
      </c>
      <c r="J74" t="s">
        <v>409</v>
      </c>
      <c r="K74" t="s">
        <v>112</v>
      </c>
      <c r="L74" t="s">
        <v>51</v>
      </c>
      <c r="M74" t="s">
        <v>40</v>
      </c>
      <c r="N74" t="s">
        <v>410</v>
      </c>
    </row>
    <row r="75" spans="1:14">
      <c r="A75" t="s">
        <v>36</v>
      </c>
      <c r="B75" t="s">
        <v>411</v>
      </c>
      <c r="C75" t="s">
        <v>16</v>
      </c>
      <c r="D75" t="s">
        <v>38</v>
      </c>
      <c r="E75" t="s">
        <v>412</v>
      </c>
      <c r="F75" t="s">
        <v>40</v>
      </c>
      <c r="G75">
        <f>HYPERLINK("http://clipc-services.ceda.ac.uk/dreq/u/590de2ce-9e49-11e5-803c-0d0b866b59f3.html","web")</f>
        <v>0</v>
      </c>
      <c r="H75" t="s">
        <v>413</v>
      </c>
      <c r="I75" t="s">
        <v>21</v>
      </c>
      <c r="J75" t="s">
        <v>414</v>
      </c>
      <c r="K75" t="s">
        <v>43</v>
      </c>
      <c r="L75" t="s">
        <v>51</v>
      </c>
      <c r="M75" t="s">
        <v>40</v>
      </c>
      <c r="N75" t="s">
        <v>415</v>
      </c>
    </row>
    <row r="76" spans="1:14">
      <c r="A76" t="s">
        <v>36</v>
      </c>
      <c r="B76" t="s">
        <v>416</v>
      </c>
      <c r="C76" t="s">
        <v>16</v>
      </c>
      <c r="D76" t="s">
        <v>54</v>
      </c>
      <c r="E76" t="s">
        <v>417</v>
      </c>
      <c r="F76" t="s">
        <v>19</v>
      </c>
      <c r="G76">
        <f>HYPERLINK("http://clipc-services.ceda.ac.uk/dreq/u/7309b2ce-7a68-11e6-8db2-ac72891c3257.html","web")</f>
        <v>0</v>
      </c>
      <c r="H76" t="s">
        <v>418</v>
      </c>
      <c r="I76" t="s">
        <v>21</v>
      </c>
      <c r="J76" t="s">
        <v>58</v>
      </c>
      <c r="K76" t="s">
        <v>43</v>
      </c>
      <c r="L76" t="s">
        <v>51</v>
      </c>
      <c r="M76" t="s">
        <v>19</v>
      </c>
      <c r="N76" t="s">
        <v>419</v>
      </c>
    </row>
    <row r="78" spans="1:14">
      <c r="A78" t="s">
        <v>420</v>
      </c>
      <c r="B78" t="s">
        <v>421</v>
      </c>
      <c r="C78" t="s">
        <v>28</v>
      </c>
      <c r="D78" t="s">
        <v>422</v>
      </c>
      <c r="E78" t="s">
        <v>423</v>
      </c>
      <c r="F78" t="s">
        <v>424</v>
      </c>
      <c r="G78">
        <f>HYPERLINK("http://clipc-services.ceda.ac.uk/dreq/u/1bb6dca6b08a4e887ded8a455ef04941.html","web")</f>
        <v>0</v>
      </c>
      <c r="H78" t="s">
        <v>425</v>
      </c>
      <c r="I78" t="s">
        <v>21</v>
      </c>
      <c r="J78" t="s">
        <v>426</v>
      </c>
      <c r="K78" t="s">
        <v>427</v>
      </c>
      <c r="L78" t="s">
        <v>24</v>
      </c>
      <c r="M78" t="s">
        <v>424</v>
      </c>
      <c r="N78" t="s">
        <v>428</v>
      </c>
    </row>
    <row r="79" spans="1:14">
      <c r="A79" t="s">
        <v>420</v>
      </c>
      <c r="B79" t="s">
        <v>429</v>
      </c>
      <c r="C79" t="s">
        <v>201</v>
      </c>
      <c r="D79" t="s">
        <v>422</v>
      </c>
      <c r="E79" t="s">
        <v>430</v>
      </c>
      <c r="F79" t="s">
        <v>431</v>
      </c>
      <c r="G79">
        <f>HYPERLINK("http://clipc-services.ceda.ac.uk/dreq/u/f108633dc7e1585498ceccc06bdfd263.html","web")</f>
        <v>0</v>
      </c>
      <c r="H79" t="s">
        <v>432</v>
      </c>
      <c r="I79" t="s">
        <v>21</v>
      </c>
      <c r="J79" t="s">
        <v>433</v>
      </c>
      <c r="K79" t="s">
        <v>434</v>
      </c>
      <c r="L79" t="s">
        <v>435</v>
      </c>
      <c r="M79" t="s">
        <v>431</v>
      </c>
      <c r="N79" t="s">
        <v>436</v>
      </c>
    </row>
    <row r="80" spans="1:14">
      <c r="A80" t="s">
        <v>420</v>
      </c>
      <c r="B80" t="s">
        <v>437</v>
      </c>
      <c r="C80" t="s">
        <v>16</v>
      </c>
      <c r="D80" t="s">
        <v>38</v>
      </c>
      <c r="E80" t="s">
        <v>438</v>
      </c>
      <c r="F80" t="s">
        <v>431</v>
      </c>
      <c r="G80">
        <f>HYPERLINK("http://clipc-services.ceda.ac.uk/dreq/u/c96e6d66-c5f0-11e6-ac20-5404a60d96b5.html","web")</f>
        <v>0</v>
      </c>
      <c r="H80" t="s">
        <v>439</v>
      </c>
      <c r="I80" t="s">
        <v>21</v>
      </c>
      <c r="J80" t="s">
        <v>440</v>
      </c>
      <c r="K80" t="s">
        <v>441</v>
      </c>
      <c r="L80" t="s">
        <v>435</v>
      </c>
      <c r="M80" t="s">
        <v>431</v>
      </c>
      <c r="N80" t="s">
        <v>436</v>
      </c>
    </row>
    <row r="81" spans="1:14">
      <c r="A81" t="s">
        <v>420</v>
      </c>
      <c r="B81" t="s">
        <v>442</v>
      </c>
      <c r="C81" t="s">
        <v>28</v>
      </c>
      <c r="D81" t="s">
        <v>422</v>
      </c>
      <c r="E81" t="s">
        <v>443</v>
      </c>
      <c r="F81" t="s">
        <v>31</v>
      </c>
      <c r="G81">
        <f>HYPERLINK("http://clipc-services.ceda.ac.uk/dreq/u/4bccb8dcdb0ffe97dc89475c91ed66cc.html","web")</f>
        <v>0</v>
      </c>
      <c r="H81" t="s">
        <v>444</v>
      </c>
      <c r="I81" t="s">
        <v>21</v>
      </c>
      <c r="J81" t="s">
        <v>445</v>
      </c>
      <c r="K81" t="s">
        <v>446</v>
      </c>
      <c r="L81" t="s">
        <v>24</v>
      </c>
      <c r="M81" t="s">
        <v>31</v>
      </c>
      <c r="N81" t="s">
        <v>447</v>
      </c>
    </row>
    <row r="82" spans="1:14">
      <c r="A82" t="s">
        <v>420</v>
      </c>
      <c r="B82" t="s">
        <v>448</v>
      </c>
      <c r="C82" t="s">
        <v>28</v>
      </c>
      <c r="D82" t="s">
        <v>61</v>
      </c>
      <c r="E82" t="s">
        <v>449</v>
      </c>
      <c r="F82" t="s">
        <v>31</v>
      </c>
      <c r="G82">
        <f>HYPERLINK("http://clipc-services.ceda.ac.uk/dreq/u/6901f6894f7382d628084809e7208c4b.html","web")</f>
        <v>0</v>
      </c>
      <c r="H82" t="s">
        <v>450</v>
      </c>
      <c r="I82" t="s">
        <v>21</v>
      </c>
      <c r="J82" t="s">
        <v>451</v>
      </c>
      <c r="K82" t="s">
        <v>452</v>
      </c>
      <c r="L82" t="s">
        <v>24</v>
      </c>
      <c r="M82" t="s">
        <v>31</v>
      </c>
      <c r="N82" t="s">
        <v>447</v>
      </c>
    </row>
    <row r="83" spans="1:14">
      <c r="A83" t="s">
        <v>420</v>
      </c>
      <c r="B83" t="s">
        <v>453</v>
      </c>
      <c r="C83" t="s">
        <v>201</v>
      </c>
      <c r="D83" t="s">
        <v>422</v>
      </c>
      <c r="E83" t="s">
        <v>454</v>
      </c>
      <c r="F83" t="s">
        <v>431</v>
      </c>
      <c r="G83">
        <f>HYPERLINK("http://clipc-services.ceda.ac.uk/dreq/u/dcd2298237af35be0ed71c92ee9e7e79.html","web")</f>
        <v>0</v>
      </c>
      <c r="H83" t="s">
        <v>455</v>
      </c>
      <c r="I83" t="s">
        <v>21</v>
      </c>
      <c r="J83" t="s">
        <v>456</v>
      </c>
      <c r="K83" t="s">
        <v>434</v>
      </c>
      <c r="L83" t="s">
        <v>435</v>
      </c>
      <c r="M83" t="s">
        <v>431</v>
      </c>
      <c r="N83" t="s">
        <v>457</v>
      </c>
    </row>
    <row r="84" spans="1:14">
      <c r="A84" t="s">
        <v>420</v>
      </c>
      <c r="B84" t="s">
        <v>458</v>
      </c>
      <c r="C84" t="s">
        <v>16</v>
      </c>
      <c r="D84" t="s">
        <v>38</v>
      </c>
      <c r="E84" t="s">
        <v>459</v>
      </c>
      <c r="F84" t="s">
        <v>431</v>
      </c>
      <c r="G84">
        <f>HYPERLINK("http://clipc-services.ceda.ac.uk/dreq/u/c96e7b08-c5f0-11e6-ac20-5404a60d96b5.html","web")</f>
        <v>0</v>
      </c>
      <c r="H84" t="s">
        <v>460</v>
      </c>
      <c r="I84" t="s">
        <v>21</v>
      </c>
      <c r="J84" t="s">
        <v>461</v>
      </c>
      <c r="K84" t="s">
        <v>441</v>
      </c>
      <c r="L84" t="s">
        <v>435</v>
      </c>
      <c r="M84" t="s">
        <v>431</v>
      </c>
      <c r="N84" t="s">
        <v>462</v>
      </c>
    </row>
    <row r="85" spans="1:14">
      <c r="A85" t="s">
        <v>420</v>
      </c>
      <c r="B85" t="s">
        <v>463</v>
      </c>
      <c r="C85" t="s">
        <v>16</v>
      </c>
      <c r="D85" t="s">
        <v>422</v>
      </c>
      <c r="E85" t="s">
        <v>464</v>
      </c>
      <c r="F85" t="s">
        <v>431</v>
      </c>
      <c r="G85">
        <f>HYPERLINK("http://clipc-services.ceda.ac.uk/dreq/u/c85ac4ad4664c34898cdb9af2418c45a.html","web")</f>
        <v>0</v>
      </c>
      <c r="H85" t="s">
        <v>465</v>
      </c>
      <c r="I85" t="s">
        <v>21</v>
      </c>
      <c r="J85" t="s">
        <v>466</v>
      </c>
      <c r="K85" t="s">
        <v>467</v>
      </c>
      <c r="L85" t="s">
        <v>435</v>
      </c>
      <c r="M85" t="s">
        <v>431</v>
      </c>
      <c r="N85" t="s">
        <v>468</v>
      </c>
    </row>
    <row r="86" spans="1:14">
      <c r="A86" t="s">
        <v>420</v>
      </c>
      <c r="B86" t="s">
        <v>469</v>
      </c>
      <c r="C86" t="s">
        <v>16</v>
      </c>
      <c r="D86" t="s">
        <v>38</v>
      </c>
      <c r="E86" t="s">
        <v>470</v>
      </c>
      <c r="F86" t="s">
        <v>431</v>
      </c>
      <c r="G86">
        <f>HYPERLINK("http://clipc-services.ceda.ac.uk/dreq/u/c96cc5b0-c5f0-11e6-ac20-5404a60d96b5.html","web")</f>
        <v>0</v>
      </c>
      <c r="H86" t="s">
        <v>471</v>
      </c>
      <c r="I86" t="s">
        <v>21</v>
      </c>
      <c r="J86" t="s">
        <v>472</v>
      </c>
      <c r="K86" t="s">
        <v>467</v>
      </c>
      <c r="L86" t="s">
        <v>435</v>
      </c>
      <c r="M86" t="s">
        <v>431</v>
      </c>
      <c r="N86" t="s">
        <v>473</v>
      </c>
    </row>
    <row r="87" spans="1:14">
      <c r="A87" t="s">
        <v>420</v>
      </c>
      <c r="B87" t="s">
        <v>474</v>
      </c>
      <c r="C87" t="s">
        <v>28</v>
      </c>
      <c r="D87" t="s">
        <v>422</v>
      </c>
      <c r="E87" t="s">
        <v>475</v>
      </c>
      <c r="F87" t="s">
        <v>431</v>
      </c>
      <c r="G87">
        <f>HYPERLINK("http://clipc-services.ceda.ac.uk/dreq/u/42625c97b8fe75124a345962c4430982.html","web")</f>
        <v>0</v>
      </c>
      <c r="H87" t="s">
        <v>476</v>
      </c>
      <c r="I87" t="s">
        <v>21</v>
      </c>
      <c r="J87" t="s">
        <v>477</v>
      </c>
      <c r="K87" t="s">
        <v>478</v>
      </c>
      <c r="L87" t="s">
        <v>24</v>
      </c>
      <c r="M87" t="s">
        <v>431</v>
      </c>
      <c r="N87" t="s">
        <v>479</v>
      </c>
    </row>
    <row r="88" spans="1:14">
      <c r="A88" t="s">
        <v>420</v>
      </c>
      <c r="B88" t="s">
        <v>480</v>
      </c>
      <c r="C88" t="s">
        <v>16</v>
      </c>
      <c r="D88" t="s">
        <v>422</v>
      </c>
      <c r="E88" t="s">
        <v>481</v>
      </c>
      <c r="F88" t="s">
        <v>431</v>
      </c>
      <c r="G88">
        <f>HYPERLINK("http://clipc-services.ceda.ac.uk/dreq/u/3ab8e10027d7014f18f9391890369235.html","web")</f>
        <v>0</v>
      </c>
      <c r="H88" t="s">
        <v>482</v>
      </c>
      <c r="I88" t="s">
        <v>21</v>
      </c>
      <c r="J88" t="s">
        <v>483</v>
      </c>
      <c r="K88" t="s">
        <v>484</v>
      </c>
      <c r="L88" t="s">
        <v>24</v>
      </c>
      <c r="M88" t="s">
        <v>431</v>
      </c>
      <c r="N88" t="s">
        <v>485</v>
      </c>
    </row>
    <row r="89" spans="1:14">
      <c r="A89" t="s">
        <v>420</v>
      </c>
      <c r="B89" t="s">
        <v>486</v>
      </c>
      <c r="C89" t="s">
        <v>16</v>
      </c>
      <c r="D89" t="s">
        <v>422</v>
      </c>
      <c r="E89" t="s">
        <v>487</v>
      </c>
      <c r="F89" t="s">
        <v>488</v>
      </c>
      <c r="G89">
        <f>HYPERLINK("http://clipc-services.ceda.ac.uk/dreq/u/ab60603d901dfa1c47f4d2fd7784f8ea.html","web")</f>
        <v>0</v>
      </c>
      <c r="H89" t="s">
        <v>489</v>
      </c>
      <c r="I89" t="s">
        <v>21</v>
      </c>
      <c r="J89" t="s">
        <v>490</v>
      </c>
      <c r="K89" t="s">
        <v>491</v>
      </c>
      <c r="L89" t="s">
        <v>435</v>
      </c>
      <c r="M89" t="s">
        <v>488</v>
      </c>
      <c r="N89" t="s">
        <v>492</v>
      </c>
    </row>
    <row r="90" spans="1:14">
      <c r="A90" t="s">
        <v>420</v>
      </c>
      <c r="B90" t="s">
        <v>493</v>
      </c>
      <c r="C90" t="s">
        <v>201</v>
      </c>
      <c r="D90" t="s">
        <v>422</v>
      </c>
      <c r="E90" t="s">
        <v>494</v>
      </c>
      <c r="F90" t="s">
        <v>488</v>
      </c>
      <c r="G90">
        <f>HYPERLINK("http://clipc-services.ceda.ac.uk/dreq/u/c947141b54f1ab48dba4a84cec99c5d3.html","web")</f>
        <v>0</v>
      </c>
      <c r="H90" t="s">
        <v>495</v>
      </c>
      <c r="I90" t="s">
        <v>21</v>
      </c>
      <c r="J90" t="s">
        <v>496</v>
      </c>
      <c r="K90" t="s">
        <v>434</v>
      </c>
      <c r="L90" t="s">
        <v>435</v>
      </c>
      <c r="M90" t="s">
        <v>488</v>
      </c>
      <c r="N90" t="s">
        <v>497</v>
      </c>
    </row>
    <row r="91" spans="1:14">
      <c r="A91" t="s">
        <v>420</v>
      </c>
      <c r="B91" t="s">
        <v>498</v>
      </c>
      <c r="C91" t="s">
        <v>16</v>
      </c>
      <c r="D91" t="s">
        <v>38</v>
      </c>
      <c r="E91" t="s">
        <v>499</v>
      </c>
      <c r="F91" t="s">
        <v>488</v>
      </c>
      <c r="G91">
        <f>HYPERLINK("http://clipc-services.ceda.ac.uk/dreq/u/c96e0c22-c5f0-11e6-ac20-5404a60d96b5.html","web")</f>
        <v>0</v>
      </c>
      <c r="H91" t="s">
        <v>500</v>
      </c>
      <c r="I91" t="s">
        <v>21</v>
      </c>
      <c r="J91" t="s">
        <v>501</v>
      </c>
      <c r="K91" t="s">
        <v>441</v>
      </c>
      <c r="L91" t="s">
        <v>435</v>
      </c>
      <c r="M91" t="s">
        <v>488</v>
      </c>
      <c r="N91" t="s">
        <v>497</v>
      </c>
    </row>
    <row r="92" spans="1:14">
      <c r="A92" t="s">
        <v>420</v>
      </c>
      <c r="B92" t="s">
        <v>502</v>
      </c>
      <c r="C92" t="s">
        <v>201</v>
      </c>
      <c r="D92" t="s">
        <v>422</v>
      </c>
      <c r="E92" t="s">
        <v>503</v>
      </c>
      <c r="F92" t="s">
        <v>488</v>
      </c>
      <c r="G92">
        <f>HYPERLINK("http://clipc-services.ceda.ac.uk/dreq/u/98fab6148c36b25a158062a11c0c5965.html","web")</f>
        <v>0</v>
      </c>
      <c r="H92" t="s">
        <v>489</v>
      </c>
      <c r="I92" t="s">
        <v>21</v>
      </c>
      <c r="J92" t="s">
        <v>504</v>
      </c>
      <c r="K92" t="s">
        <v>434</v>
      </c>
      <c r="L92" t="s">
        <v>435</v>
      </c>
      <c r="M92" t="s">
        <v>488</v>
      </c>
      <c r="N92" t="s">
        <v>505</v>
      </c>
    </row>
    <row r="93" spans="1:14">
      <c r="A93" t="s">
        <v>420</v>
      </c>
      <c r="B93" t="s">
        <v>506</v>
      </c>
      <c r="C93" t="s">
        <v>16</v>
      </c>
      <c r="D93" t="s">
        <v>38</v>
      </c>
      <c r="E93" t="s">
        <v>507</v>
      </c>
      <c r="F93" t="s">
        <v>488</v>
      </c>
      <c r="G93">
        <f>HYPERLINK("http://clipc-services.ceda.ac.uk/dreq/u/c96e439a-c5f0-11e6-ac20-5404a60d96b5.html","web")</f>
        <v>0</v>
      </c>
      <c r="H93" t="s">
        <v>508</v>
      </c>
      <c r="I93" t="s">
        <v>21</v>
      </c>
      <c r="J93" t="s">
        <v>509</v>
      </c>
      <c r="K93" t="s">
        <v>441</v>
      </c>
      <c r="L93" t="s">
        <v>435</v>
      </c>
      <c r="M93" t="s">
        <v>488</v>
      </c>
      <c r="N93" t="s">
        <v>505</v>
      </c>
    </row>
    <row r="94" spans="1:14">
      <c r="A94" t="s">
        <v>420</v>
      </c>
      <c r="B94" t="s">
        <v>510</v>
      </c>
      <c r="C94" t="s">
        <v>28</v>
      </c>
      <c r="D94" t="s">
        <v>38</v>
      </c>
      <c r="E94" t="s">
        <v>511</v>
      </c>
      <c r="F94" t="s">
        <v>488</v>
      </c>
      <c r="G94">
        <f>HYPERLINK("http://clipc-services.ceda.ac.uk/dreq/u/1c757370cf83e5619efc0de4d1241f47.html","web")</f>
        <v>0</v>
      </c>
      <c r="H94" t="s">
        <v>508</v>
      </c>
      <c r="I94" t="s">
        <v>21</v>
      </c>
      <c r="J94" t="s">
        <v>512</v>
      </c>
      <c r="K94" t="s">
        <v>513</v>
      </c>
      <c r="L94" t="s">
        <v>435</v>
      </c>
      <c r="M94" t="s">
        <v>488</v>
      </c>
      <c r="N94" t="s">
        <v>492</v>
      </c>
    </row>
    <row r="95" spans="1:14">
      <c r="A95" t="s">
        <v>420</v>
      </c>
      <c r="B95" t="s">
        <v>514</v>
      </c>
      <c r="C95" t="s">
        <v>16</v>
      </c>
      <c r="D95" t="s">
        <v>422</v>
      </c>
      <c r="E95" t="s">
        <v>515</v>
      </c>
      <c r="F95" t="s">
        <v>431</v>
      </c>
      <c r="G95">
        <f>HYPERLINK("http://clipc-services.ceda.ac.uk/dreq/u/9791ce56083fe450761a27a7dc158225.html","web")</f>
        <v>0</v>
      </c>
      <c r="H95" t="s">
        <v>516</v>
      </c>
      <c r="I95" t="s">
        <v>21</v>
      </c>
      <c r="J95" t="s">
        <v>517</v>
      </c>
      <c r="K95" t="s">
        <v>518</v>
      </c>
      <c r="L95" t="s">
        <v>435</v>
      </c>
      <c r="M95" t="s">
        <v>431</v>
      </c>
      <c r="N95" t="s">
        <v>519</v>
      </c>
    </row>
    <row r="96" spans="1:14">
      <c r="A96" t="s">
        <v>420</v>
      </c>
      <c r="B96" t="s">
        <v>520</v>
      </c>
      <c r="C96" t="s">
        <v>16</v>
      </c>
      <c r="D96" t="s">
        <v>38</v>
      </c>
      <c r="E96" t="s">
        <v>521</v>
      </c>
      <c r="F96" t="s">
        <v>431</v>
      </c>
      <c r="G96">
        <f>HYPERLINK("http://clipc-services.ceda.ac.uk/dreq/u/c96ecf22-c5f0-11e6-ac20-5404a60d96b5.html","web")</f>
        <v>0</v>
      </c>
      <c r="H96" t="s">
        <v>522</v>
      </c>
      <c r="I96" t="s">
        <v>21</v>
      </c>
      <c r="J96" t="s">
        <v>523</v>
      </c>
      <c r="K96" t="s">
        <v>467</v>
      </c>
      <c r="L96" t="s">
        <v>435</v>
      </c>
      <c r="M96" t="s">
        <v>431</v>
      </c>
      <c r="N96" t="s">
        <v>524</v>
      </c>
    </row>
    <row r="97" spans="1:14">
      <c r="A97" t="s">
        <v>420</v>
      </c>
      <c r="B97" t="s">
        <v>525</v>
      </c>
      <c r="C97" t="s">
        <v>16</v>
      </c>
      <c r="D97" t="s">
        <v>422</v>
      </c>
      <c r="E97" t="s">
        <v>526</v>
      </c>
      <c r="F97" t="s">
        <v>431</v>
      </c>
      <c r="G97">
        <f>HYPERLINK("http://clipc-services.ceda.ac.uk/dreq/u/28907f4f1855d3d22166c87b8e5300be.html","web")</f>
        <v>0</v>
      </c>
      <c r="H97" t="s">
        <v>527</v>
      </c>
      <c r="I97" t="s">
        <v>21</v>
      </c>
      <c r="J97" t="s">
        <v>528</v>
      </c>
      <c r="K97" t="s">
        <v>467</v>
      </c>
      <c r="L97" t="s">
        <v>435</v>
      </c>
      <c r="M97" t="s">
        <v>431</v>
      </c>
      <c r="N97" t="s">
        <v>529</v>
      </c>
    </row>
    <row r="98" spans="1:14">
      <c r="A98" t="s">
        <v>420</v>
      </c>
      <c r="B98" t="s">
        <v>530</v>
      </c>
      <c r="C98" t="s">
        <v>16</v>
      </c>
      <c r="D98" t="s">
        <v>38</v>
      </c>
      <c r="E98" t="s">
        <v>531</v>
      </c>
      <c r="F98" t="s">
        <v>431</v>
      </c>
      <c r="G98">
        <f>HYPERLINK("http://clipc-services.ceda.ac.uk/dreq/u/c96ef9ac-c5f0-11e6-ac20-5404a60d96b5.html","web")</f>
        <v>0</v>
      </c>
      <c r="H98" t="s">
        <v>532</v>
      </c>
      <c r="I98" t="s">
        <v>21</v>
      </c>
      <c r="J98" t="s">
        <v>533</v>
      </c>
      <c r="K98" t="s">
        <v>467</v>
      </c>
      <c r="L98" t="s">
        <v>435</v>
      </c>
      <c r="M98" t="s">
        <v>431</v>
      </c>
      <c r="N98" t="s">
        <v>534</v>
      </c>
    </row>
    <row r="99" spans="1:14">
      <c r="A99" t="s">
        <v>420</v>
      </c>
      <c r="B99" t="s">
        <v>535</v>
      </c>
      <c r="C99" t="s">
        <v>16</v>
      </c>
      <c r="D99" t="s">
        <v>422</v>
      </c>
      <c r="E99" t="s">
        <v>536</v>
      </c>
      <c r="F99" t="s">
        <v>431</v>
      </c>
      <c r="G99">
        <f>HYPERLINK("http://clipc-services.ceda.ac.uk/dreq/u/b0a9616ddee15d1f3740ce445bd82fb1.html","web")</f>
        <v>0</v>
      </c>
      <c r="H99" t="s">
        <v>537</v>
      </c>
      <c r="I99" t="s">
        <v>21</v>
      </c>
      <c r="J99" t="s">
        <v>538</v>
      </c>
      <c r="K99" t="s">
        <v>467</v>
      </c>
      <c r="L99" t="s">
        <v>435</v>
      </c>
      <c r="M99" t="s">
        <v>431</v>
      </c>
      <c r="N99" t="s">
        <v>539</v>
      </c>
    </row>
    <row r="100" spans="1:14">
      <c r="A100" t="s">
        <v>420</v>
      </c>
      <c r="B100" t="s">
        <v>540</v>
      </c>
      <c r="C100" t="s">
        <v>16</v>
      </c>
      <c r="D100" t="s">
        <v>38</v>
      </c>
      <c r="E100" t="s">
        <v>541</v>
      </c>
      <c r="F100" t="s">
        <v>431</v>
      </c>
      <c r="G100">
        <f>HYPERLINK("http://clipc-services.ceda.ac.uk/dreq/u/c96cb7e6-c5f0-11e6-ac20-5404a60d96b5.html","web")</f>
        <v>0</v>
      </c>
      <c r="H100" t="s">
        <v>542</v>
      </c>
      <c r="I100" t="s">
        <v>21</v>
      </c>
      <c r="J100" t="s">
        <v>543</v>
      </c>
      <c r="K100" t="s">
        <v>467</v>
      </c>
      <c r="L100" t="s">
        <v>435</v>
      </c>
      <c r="M100" t="s">
        <v>431</v>
      </c>
      <c r="N100" t="s">
        <v>544</v>
      </c>
    </row>
    <row r="101" spans="1:14">
      <c r="A101" t="s">
        <v>420</v>
      </c>
      <c r="B101" t="s">
        <v>545</v>
      </c>
      <c r="C101" t="s">
        <v>201</v>
      </c>
      <c r="D101" t="s">
        <v>422</v>
      </c>
      <c r="E101" t="s">
        <v>546</v>
      </c>
      <c r="F101" t="s">
        <v>431</v>
      </c>
      <c r="G101">
        <f>HYPERLINK("http://clipc-services.ceda.ac.uk/dreq/u/5250c73892803497448e18ba0310c423.html","web")</f>
        <v>0</v>
      </c>
      <c r="H101" t="s">
        <v>547</v>
      </c>
      <c r="I101" t="s">
        <v>21</v>
      </c>
      <c r="J101" t="s">
        <v>548</v>
      </c>
      <c r="K101" t="s">
        <v>491</v>
      </c>
      <c r="L101" t="s">
        <v>435</v>
      </c>
      <c r="M101" t="s">
        <v>431</v>
      </c>
      <c r="N101" t="s">
        <v>549</v>
      </c>
    </row>
    <row r="102" spans="1:14">
      <c r="A102" t="s">
        <v>420</v>
      </c>
      <c r="B102" t="s">
        <v>550</v>
      </c>
      <c r="C102" t="s">
        <v>16</v>
      </c>
      <c r="D102" t="s">
        <v>38</v>
      </c>
      <c r="E102" t="s">
        <v>551</v>
      </c>
      <c r="F102" t="s">
        <v>431</v>
      </c>
      <c r="G102">
        <f>HYPERLINK("http://clipc-services.ceda.ac.uk/dreq/u/c96de29c-c5f0-11e6-ac20-5404a60d96b5.html","web")</f>
        <v>0</v>
      </c>
      <c r="H102" t="s">
        <v>552</v>
      </c>
      <c r="I102" t="s">
        <v>21</v>
      </c>
      <c r="J102" t="s">
        <v>553</v>
      </c>
      <c r="K102" t="s">
        <v>513</v>
      </c>
      <c r="L102" t="s">
        <v>435</v>
      </c>
      <c r="M102" t="s">
        <v>431</v>
      </c>
      <c r="N102" t="s">
        <v>549</v>
      </c>
    </row>
    <row r="103" spans="1:14">
      <c r="A103" t="s">
        <v>420</v>
      </c>
      <c r="B103" t="s">
        <v>554</v>
      </c>
      <c r="C103" t="s">
        <v>16</v>
      </c>
      <c r="D103" t="s">
        <v>422</v>
      </c>
      <c r="E103" t="s">
        <v>555</v>
      </c>
      <c r="F103" t="s">
        <v>431</v>
      </c>
      <c r="G103">
        <f>HYPERLINK("http://clipc-services.ceda.ac.uk/dreq/u/13654e951d583dc7d02b5c23485e6eb5.html","web")</f>
        <v>0</v>
      </c>
      <c r="H103" t="s">
        <v>556</v>
      </c>
      <c r="I103" t="s">
        <v>21</v>
      </c>
      <c r="J103" t="s">
        <v>557</v>
      </c>
      <c r="K103" t="s">
        <v>558</v>
      </c>
      <c r="L103" t="s">
        <v>435</v>
      </c>
      <c r="M103" t="s">
        <v>431</v>
      </c>
      <c r="N103" t="s">
        <v>559</v>
      </c>
    </row>
    <row r="104" spans="1:14">
      <c r="A104" t="s">
        <v>420</v>
      </c>
      <c r="B104" t="s">
        <v>560</v>
      </c>
      <c r="C104" t="s">
        <v>16</v>
      </c>
      <c r="D104" t="s">
        <v>38</v>
      </c>
      <c r="E104" t="s">
        <v>561</v>
      </c>
      <c r="F104" t="s">
        <v>431</v>
      </c>
      <c r="G104">
        <f>HYPERLINK("http://clipc-services.ceda.ac.uk/dreq/u/c96c470c-c5f0-11e6-ac20-5404a60d96b5.html","web")</f>
        <v>0</v>
      </c>
      <c r="H104" t="s">
        <v>562</v>
      </c>
      <c r="I104" t="s">
        <v>21</v>
      </c>
      <c r="J104" t="s">
        <v>563</v>
      </c>
      <c r="K104" t="s">
        <v>467</v>
      </c>
      <c r="L104" t="s">
        <v>435</v>
      </c>
      <c r="M104" t="s">
        <v>431</v>
      </c>
      <c r="N104" t="s">
        <v>564</v>
      </c>
    </row>
    <row r="105" spans="1:14">
      <c r="A105" t="s">
        <v>420</v>
      </c>
      <c r="B105" t="s">
        <v>565</v>
      </c>
      <c r="C105" t="s">
        <v>28</v>
      </c>
      <c r="D105" t="s">
        <v>38</v>
      </c>
      <c r="E105" t="s">
        <v>566</v>
      </c>
      <c r="F105" t="s">
        <v>431</v>
      </c>
      <c r="G105">
        <f>HYPERLINK("http://clipc-services.ceda.ac.uk/dreq/u/c96c3794-c5f0-11e6-ac20-5404a60d96b5.html","web")</f>
        <v>0</v>
      </c>
      <c r="H105" t="s">
        <v>567</v>
      </c>
      <c r="I105" t="s">
        <v>21</v>
      </c>
      <c r="J105" t="s">
        <v>557</v>
      </c>
      <c r="K105" t="s">
        <v>467</v>
      </c>
      <c r="L105" t="s">
        <v>435</v>
      </c>
      <c r="M105" t="s">
        <v>431</v>
      </c>
      <c r="N105" t="s">
        <v>559</v>
      </c>
    </row>
    <row r="106" spans="1:14">
      <c r="A106" t="s">
        <v>420</v>
      </c>
      <c r="B106" t="s">
        <v>568</v>
      </c>
      <c r="C106" t="s">
        <v>16</v>
      </c>
      <c r="D106" t="s">
        <v>422</v>
      </c>
      <c r="E106" t="s">
        <v>569</v>
      </c>
      <c r="F106" t="s">
        <v>431</v>
      </c>
      <c r="G106">
        <f>HYPERLINK("http://clipc-services.ceda.ac.uk/dreq/u/b4ae9d56d038ff977f0db7f578841c5a.html","web")</f>
        <v>0</v>
      </c>
      <c r="H106" t="s">
        <v>570</v>
      </c>
      <c r="I106" t="s">
        <v>21</v>
      </c>
      <c r="J106" t="s">
        <v>571</v>
      </c>
      <c r="K106" t="s">
        <v>572</v>
      </c>
      <c r="L106" t="s">
        <v>435</v>
      </c>
      <c r="M106" t="s">
        <v>431</v>
      </c>
      <c r="N106" t="s">
        <v>573</v>
      </c>
    </row>
    <row r="107" spans="1:14">
      <c r="A107" t="s">
        <v>420</v>
      </c>
      <c r="B107" t="s">
        <v>574</v>
      </c>
      <c r="C107" t="s">
        <v>16</v>
      </c>
      <c r="D107" t="s">
        <v>38</v>
      </c>
      <c r="E107" t="s">
        <v>575</v>
      </c>
      <c r="F107" t="s">
        <v>431</v>
      </c>
      <c r="G107">
        <f>HYPERLINK("http://clipc-services.ceda.ac.uk/dreq/u/c96c8078-c5f0-11e6-ac20-5404a60d96b5.html","web")</f>
        <v>0</v>
      </c>
      <c r="H107" t="s">
        <v>576</v>
      </c>
      <c r="I107" t="s">
        <v>21</v>
      </c>
      <c r="J107" t="s">
        <v>571</v>
      </c>
      <c r="K107" t="s">
        <v>467</v>
      </c>
      <c r="L107" t="s">
        <v>435</v>
      </c>
      <c r="M107" t="s">
        <v>431</v>
      </c>
      <c r="N107" t="s">
        <v>577</v>
      </c>
    </row>
    <row r="108" spans="1:14">
      <c r="A108" t="s">
        <v>420</v>
      </c>
      <c r="B108" t="s">
        <v>578</v>
      </c>
      <c r="C108" t="s">
        <v>201</v>
      </c>
      <c r="D108" t="s">
        <v>579</v>
      </c>
      <c r="E108" t="s">
        <v>580</v>
      </c>
      <c r="F108" t="s">
        <v>581</v>
      </c>
      <c r="G108">
        <f>HYPERLINK("http://clipc-services.ceda.ac.uk/dreq/u/011e37046b327b256ca0e6b5f8722699.html","web")</f>
        <v>0</v>
      </c>
      <c r="H108" t="s">
        <v>582</v>
      </c>
      <c r="I108" t="s">
        <v>21</v>
      </c>
      <c r="J108" t="s">
        <v>583</v>
      </c>
      <c r="K108" t="s">
        <v>584</v>
      </c>
      <c r="L108" t="s">
        <v>435</v>
      </c>
      <c r="M108" t="s">
        <v>581</v>
      </c>
      <c r="N108" t="s">
        <v>585</v>
      </c>
    </row>
    <row r="109" spans="1:14">
      <c r="A109" t="s">
        <v>420</v>
      </c>
      <c r="B109" t="s">
        <v>586</v>
      </c>
      <c r="C109" t="s">
        <v>201</v>
      </c>
      <c r="D109" t="s">
        <v>579</v>
      </c>
      <c r="E109" t="s">
        <v>587</v>
      </c>
      <c r="F109" t="s">
        <v>581</v>
      </c>
      <c r="G109">
        <f>HYPERLINK("http://clipc-services.ceda.ac.uk/dreq/u/abe5993d07b8b52e770ed957b060f9ed.html","web")</f>
        <v>0</v>
      </c>
      <c r="H109" t="s">
        <v>588</v>
      </c>
      <c r="I109" t="s">
        <v>21</v>
      </c>
      <c r="J109" t="s">
        <v>589</v>
      </c>
      <c r="K109" t="s">
        <v>467</v>
      </c>
      <c r="L109" t="s">
        <v>435</v>
      </c>
      <c r="M109" t="s">
        <v>581</v>
      </c>
      <c r="N109" t="s">
        <v>590</v>
      </c>
    </row>
    <row r="110" spans="1:14">
      <c r="A110" t="s">
        <v>420</v>
      </c>
      <c r="B110" t="s">
        <v>591</v>
      </c>
      <c r="C110" t="s">
        <v>28</v>
      </c>
      <c r="D110" t="s">
        <v>592</v>
      </c>
      <c r="E110" t="s">
        <v>593</v>
      </c>
      <c r="F110" t="s">
        <v>594</v>
      </c>
      <c r="G110">
        <f>HYPERLINK("http://clipc-services.ceda.ac.uk/dreq/u/4500aac3ce5985eff562e6a170a88574.html","web")</f>
        <v>0</v>
      </c>
      <c r="H110" t="s">
        <v>595</v>
      </c>
      <c r="I110" t="s">
        <v>21</v>
      </c>
      <c r="J110" t="s">
        <v>596</v>
      </c>
      <c r="K110" t="s">
        <v>597</v>
      </c>
      <c r="L110" t="s">
        <v>435</v>
      </c>
      <c r="M110" t="s">
        <v>594</v>
      </c>
      <c r="N110" t="s">
        <v>598</v>
      </c>
    </row>
    <row r="111" spans="1:14">
      <c r="A111" t="s">
        <v>420</v>
      </c>
      <c r="B111" t="s">
        <v>599</v>
      </c>
      <c r="C111" t="s">
        <v>28</v>
      </c>
      <c r="D111" t="s">
        <v>592</v>
      </c>
      <c r="E111" t="s">
        <v>600</v>
      </c>
      <c r="F111" t="s">
        <v>594</v>
      </c>
      <c r="G111">
        <f>HYPERLINK("http://clipc-services.ceda.ac.uk/dreq/u/6308b546e0eb4e1962d36ba5b98904ee.html","web")</f>
        <v>0</v>
      </c>
      <c r="H111" t="s">
        <v>601</v>
      </c>
      <c r="I111" t="s">
        <v>21</v>
      </c>
      <c r="J111" t="s">
        <v>602</v>
      </c>
      <c r="K111" t="s">
        <v>603</v>
      </c>
      <c r="L111" t="s">
        <v>435</v>
      </c>
      <c r="M111" t="s">
        <v>594</v>
      </c>
      <c r="N111" t="s">
        <v>604</v>
      </c>
    </row>
    <row r="112" spans="1:14">
      <c r="A112" t="s">
        <v>420</v>
      </c>
      <c r="B112" t="s">
        <v>605</v>
      </c>
      <c r="C112" t="s">
        <v>201</v>
      </c>
      <c r="D112" t="s">
        <v>592</v>
      </c>
      <c r="E112" t="s">
        <v>606</v>
      </c>
      <c r="F112" t="s">
        <v>594</v>
      </c>
      <c r="G112">
        <f>HYPERLINK("http://clipc-services.ceda.ac.uk/dreq/u/5ad003b9cbc58ca2c9117bb2d144605f.html","web")</f>
        <v>0</v>
      </c>
      <c r="H112" t="s">
        <v>607</v>
      </c>
      <c r="I112" t="s">
        <v>21</v>
      </c>
      <c r="J112" t="s">
        <v>608</v>
      </c>
      <c r="K112" t="s">
        <v>441</v>
      </c>
      <c r="L112" t="s">
        <v>435</v>
      </c>
      <c r="M112" t="s">
        <v>594</v>
      </c>
      <c r="N112" t="s">
        <v>609</v>
      </c>
    </row>
    <row r="113" spans="1:14">
      <c r="A113" t="s">
        <v>420</v>
      </c>
      <c r="B113" t="s">
        <v>610</v>
      </c>
      <c r="C113" t="s">
        <v>201</v>
      </c>
      <c r="D113" t="s">
        <v>592</v>
      </c>
      <c r="E113" t="s">
        <v>611</v>
      </c>
      <c r="F113" t="s">
        <v>594</v>
      </c>
      <c r="G113">
        <f>HYPERLINK("http://clipc-services.ceda.ac.uk/dreq/u/f0260f7e851aaf39ac2349b365db89b5.html","web")</f>
        <v>0</v>
      </c>
      <c r="H113" t="s">
        <v>612</v>
      </c>
      <c r="I113" t="s">
        <v>21</v>
      </c>
      <c r="J113" t="s">
        <v>608</v>
      </c>
      <c r="K113" t="s">
        <v>613</v>
      </c>
      <c r="L113" t="s">
        <v>435</v>
      </c>
      <c r="M113" t="s">
        <v>594</v>
      </c>
      <c r="N113" t="s">
        <v>614</v>
      </c>
    </row>
    <row r="114" spans="1:14">
      <c r="A114" t="s">
        <v>420</v>
      </c>
      <c r="B114" t="s">
        <v>615</v>
      </c>
      <c r="C114" t="s">
        <v>16</v>
      </c>
      <c r="D114" t="s">
        <v>38</v>
      </c>
      <c r="E114" t="s">
        <v>616</v>
      </c>
      <c r="F114" t="s">
        <v>40</v>
      </c>
      <c r="G114">
        <f>HYPERLINK("http://clipc-services.ceda.ac.uk/dreq/u/70ecea904324e6f3b891276634412350.html","web")</f>
        <v>0</v>
      </c>
      <c r="H114" t="s">
        <v>617</v>
      </c>
      <c r="I114" t="s">
        <v>21</v>
      </c>
      <c r="J114" t="s">
        <v>618</v>
      </c>
      <c r="K114" t="s">
        <v>619</v>
      </c>
      <c r="L114" t="s">
        <v>24</v>
      </c>
      <c r="M114" t="s">
        <v>40</v>
      </c>
      <c r="N114" t="s">
        <v>620</v>
      </c>
    </row>
    <row r="115" spans="1:14">
      <c r="A115" t="s">
        <v>420</v>
      </c>
      <c r="B115" t="s">
        <v>621</v>
      </c>
      <c r="C115" t="s">
        <v>201</v>
      </c>
      <c r="D115" t="s">
        <v>422</v>
      </c>
      <c r="E115" t="s">
        <v>593</v>
      </c>
      <c r="F115" t="s">
        <v>594</v>
      </c>
      <c r="G115">
        <f>HYPERLINK("http://clipc-services.ceda.ac.uk/dreq/u/4f309d6b2d689c19254dccc24c66e32d.html","web")</f>
        <v>0</v>
      </c>
      <c r="H115" t="s">
        <v>622</v>
      </c>
      <c r="I115" t="s">
        <v>21</v>
      </c>
      <c r="J115" t="s">
        <v>623</v>
      </c>
      <c r="K115" t="s">
        <v>572</v>
      </c>
      <c r="L115" t="s">
        <v>435</v>
      </c>
      <c r="M115" t="s">
        <v>594</v>
      </c>
      <c r="N115" t="s">
        <v>624</v>
      </c>
    </row>
    <row r="116" spans="1:14">
      <c r="A116" t="s">
        <v>420</v>
      </c>
      <c r="B116" t="s">
        <v>625</v>
      </c>
      <c r="C116" t="s">
        <v>201</v>
      </c>
      <c r="D116" t="s">
        <v>626</v>
      </c>
      <c r="E116" t="s">
        <v>627</v>
      </c>
      <c r="F116" t="s">
        <v>594</v>
      </c>
      <c r="G116">
        <f>HYPERLINK("http://clipc-services.ceda.ac.uk/dreq/u/d66b7d75af3d1ed4e83b2f15a51ca731.html","web")</f>
        <v>0</v>
      </c>
      <c r="H116" t="s">
        <v>628</v>
      </c>
      <c r="I116" t="s">
        <v>21</v>
      </c>
      <c r="J116" t="s">
        <v>629</v>
      </c>
      <c r="K116" t="s">
        <v>467</v>
      </c>
      <c r="L116" t="s">
        <v>435</v>
      </c>
      <c r="M116" t="s">
        <v>594</v>
      </c>
      <c r="N116" t="s">
        <v>630</v>
      </c>
    </row>
    <row r="117" spans="1:14">
      <c r="A117" t="s">
        <v>420</v>
      </c>
      <c r="B117" t="s">
        <v>631</v>
      </c>
      <c r="C117" t="s">
        <v>201</v>
      </c>
      <c r="D117" t="s">
        <v>626</v>
      </c>
      <c r="E117" t="s">
        <v>632</v>
      </c>
      <c r="F117" t="s">
        <v>594</v>
      </c>
      <c r="G117">
        <f>HYPERLINK("http://clipc-services.ceda.ac.uk/dreq/u/0f19e65613afd83f8d9b888d2067ced4.html","web")</f>
        <v>0</v>
      </c>
      <c r="H117" t="s">
        <v>633</v>
      </c>
      <c r="I117" t="s">
        <v>21</v>
      </c>
      <c r="J117" t="s">
        <v>634</v>
      </c>
      <c r="K117" t="s">
        <v>441</v>
      </c>
      <c r="L117" t="s">
        <v>435</v>
      </c>
      <c r="M117" t="s">
        <v>594</v>
      </c>
      <c r="N117" t="s">
        <v>635</v>
      </c>
    </row>
    <row r="118" spans="1:14">
      <c r="A118" t="s">
        <v>420</v>
      </c>
      <c r="B118" t="s">
        <v>636</v>
      </c>
      <c r="C118" t="s">
        <v>201</v>
      </c>
      <c r="D118" t="s">
        <v>626</v>
      </c>
      <c r="E118" t="s">
        <v>637</v>
      </c>
      <c r="F118" t="s">
        <v>594</v>
      </c>
      <c r="G118">
        <f>HYPERLINK("http://clipc-services.ceda.ac.uk/dreq/u/52ebeea7464b9fc011a92f21e65d6a7a.html","web")</f>
        <v>0</v>
      </c>
      <c r="H118" t="s">
        <v>638</v>
      </c>
      <c r="I118" t="s">
        <v>21</v>
      </c>
      <c r="J118" t="s">
        <v>639</v>
      </c>
      <c r="K118" t="s">
        <v>467</v>
      </c>
      <c r="L118" t="s">
        <v>435</v>
      </c>
      <c r="M118" t="s">
        <v>594</v>
      </c>
      <c r="N118" t="s">
        <v>640</v>
      </c>
    </row>
    <row r="119" spans="1:14">
      <c r="A119" t="s">
        <v>420</v>
      </c>
      <c r="B119" t="s">
        <v>641</v>
      </c>
      <c r="C119" t="s">
        <v>201</v>
      </c>
      <c r="D119" t="s">
        <v>626</v>
      </c>
      <c r="E119" t="s">
        <v>642</v>
      </c>
      <c r="F119" t="s">
        <v>594</v>
      </c>
      <c r="G119">
        <f>HYPERLINK("http://clipc-services.ceda.ac.uk/dreq/u/6c19638a0652fcbc6c6ff8455c536445.html","web")</f>
        <v>0</v>
      </c>
      <c r="H119" t="s">
        <v>643</v>
      </c>
      <c r="I119" t="s">
        <v>21</v>
      </c>
      <c r="J119" t="s">
        <v>644</v>
      </c>
      <c r="K119" t="s">
        <v>467</v>
      </c>
      <c r="L119" t="s">
        <v>435</v>
      </c>
      <c r="M119" t="s">
        <v>594</v>
      </c>
      <c r="N119" t="s">
        <v>645</v>
      </c>
    </row>
    <row r="120" spans="1:14">
      <c r="A120" t="s">
        <v>420</v>
      </c>
      <c r="B120" t="s">
        <v>646</v>
      </c>
      <c r="C120" t="s">
        <v>201</v>
      </c>
      <c r="D120" t="s">
        <v>626</v>
      </c>
      <c r="E120" t="s">
        <v>647</v>
      </c>
      <c r="F120" t="s">
        <v>594</v>
      </c>
      <c r="G120">
        <f>HYPERLINK("http://clipc-services.ceda.ac.uk/dreq/u/2f046f30404d6cfcd5286a2a7f12d8fa.html","web")</f>
        <v>0</v>
      </c>
      <c r="H120" t="s">
        <v>648</v>
      </c>
      <c r="I120" t="s">
        <v>21</v>
      </c>
      <c r="J120" t="s">
        <v>649</v>
      </c>
      <c r="K120" t="s">
        <v>467</v>
      </c>
      <c r="L120" t="s">
        <v>435</v>
      </c>
      <c r="M120" t="s">
        <v>594</v>
      </c>
      <c r="N120" t="s">
        <v>650</v>
      </c>
    </row>
    <row r="121" spans="1:14">
      <c r="A121" t="s">
        <v>420</v>
      </c>
      <c r="B121" t="s">
        <v>651</v>
      </c>
      <c r="C121" t="s">
        <v>201</v>
      </c>
      <c r="D121" t="s">
        <v>626</v>
      </c>
      <c r="E121" t="s">
        <v>652</v>
      </c>
      <c r="F121" t="s">
        <v>594</v>
      </c>
      <c r="G121">
        <f>HYPERLINK("http://clipc-services.ceda.ac.uk/dreq/u/18060c6741a6b65c90435d19adfbbc98.html","web")</f>
        <v>0</v>
      </c>
      <c r="H121" t="s">
        <v>653</v>
      </c>
      <c r="I121" t="s">
        <v>21</v>
      </c>
      <c r="J121" t="s">
        <v>654</v>
      </c>
      <c r="K121" t="s">
        <v>467</v>
      </c>
      <c r="L121" t="s">
        <v>435</v>
      </c>
      <c r="M121" t="s">
        <v>594</v>
      </c>
      <c r="N121" t="s">
        <v>655</v>
      </c>
    </row>
    <row r="122" spans="1:14">
      <c r="A122" t="s">
        <v>420</v>
      </c>
      <c r="B122" t="s">
        <v>656</v>
      </c>
      <c r="C122" t="s">
        <v>16</v>
      </c>
      <c r="D122" t="s">
        <v>38</v>
      </c>
      <c r="E122" t="s">
        <v>657</v>
      </c>
      <c r="F122" t="s">
        <v>658</v>
      </c>
      <c r="G122">
        <f>HYPERLINK("http://clipc-services.ceda.ac.uk/dreq/u/0940cbee6105037e4b7aa5579004f124.html","web")</f>
        <v>0</v>
      </c>
      <c r="H122" t="s">
        <v>659</v>
      </c>
      <c r="I122" t="s">
        <v>21</v>
      </c>
      <c r="J122" t="s">
        <v>660</v>
      </c>
      <c r="K122" t="s">
        <v>452</v>
      </c>
      <c r="L122" t="s">
        <v>24</v>
      </c>
      <c r="M122" t="s">
        <v>658</v>
      </c>
      <c r="N122" t="s">
        <v>661</v>
      </c>
    </row>
    <row r="123" spans="1:14">
      <c r="A123" t="s">
        <v>420</v>
      </c>
      <c r="B123" t="s">
        <v>662</v>
      </c>
      <c r="C123" t="s">
        <v>28</v>
      </c>
      <c r="D123" t="s">
        <v>38</v>
      </c>
      <c r="E123" t="s">
        <v>663</v>
      </c>
      <c r="F123" t="s">
        <v>658</v>
      </c>
      <c r="G123">
        <f>HYPERLINK("http://clipc-services.ceda.ac.uk/dreq/u/e9e21426e4810d0bb2d3dddb24dbf4dc.html","web")</f>
        <v>0</v>
      </c>
      <c r="H123" t="s">
        <v>664</v>
      </c>
      <c r="I123" t="s">
        <v>21</v>
      </c>
      <c r="J123" t="s">
        <v>665</v>
      </c>
      <c r="K123" t="s">
        <v>484</v>
      </c>
      <c r="L123" t="s">
        <v>24</v>
      </c>
      <c r="M123" t="s">
        <v>658</v>
      </c>
      <c r="N123" t="s">
        <v>666</v>
      </c>
    </row>
    <row r="124" spans="1:14">
      <c r="A124" t="s">
        <v>420</v>
      </c>
      <c r="B124" t="s">
        <v>667</v>
      </c>
      <c r="C124" t="s">
        <v>28</v>
      </c>
      <c r="D124" t="s">
        <v>579</v>
      </c>
      <c r="E124" t="s">
        <v>668</v>
      </c>
      <c r="F124" t="s">
        <v>40</v>
      </c>
      <c r="G124">
        <f>HYPERLINK("http://clipc-services.ceda.ac.uk/dreq/u/f64c4ac230024801b1f140d806a00972.html","web")</f>
        <v>0</v>
      </c>
      <c r="H124" t="s">
        <v>669</v>
      </c>
      <c r="I124" t="s">
        <v>21</v>
      </c>
      <c r="J124" t="s">
        <v>670</v>
      </c>
      <c r="K124" t="s">
        <v>671</v>
      </c>
      <c r="L124" t="s">
        <v>435</v>
      </c>
      <c r="M124" t="s">
        <v>40</v>
      </c>
      <c r="N124" t="s">
        <v>672</v>
      </c>
    </row>
    <row r="125" spans="1:14">
      <c r="A125" t="s">
        <v>420</v>
      </c>
      <c r="B125" t="s">
        <v>673</v>
      </c>
      <c r="C125" t="s">
        <v>28</v>
      </c>
      <c r="D125" t="s">
        <v>579</v>
      </c>
      <c r="E125" t="s">
        <v>674</v>
      </c>
      <c r="F125" t="s">
        <v>594</v>
      </c>
      <c r="G125">
        <f>HYPERLINK("http://clipc-services.ceda.ac.uk/dreq/u/02e40424bc4b63c1ae535165def98421.html","web")</f>
        <v>0</v>
      </c>
      <c r="H125" t="s">
        <v>675</v>
      </c>
      <c r="I125" t="s">
        <v>21</v>
      </c>
      <c r="J125" t="s">
        <v>676</v>
      </c>
      <c r="K125" t="s">
        <v>677</v>
      </c>
      <c r="L125" t="s">
        <v>435</v>
      </c>
      <c r="M125" t="s">
        <v>594</v>
      </c>
      <c r="N125" t="s">
        <v>678</v>
      </c>
    </row>
    <row r="126" spans="1:14">
      <c r="A126" t="s">
        <v>420</v>
      </c>
      <c r="B126" t="s">
        <v>679</v>
      </c>
      <c r="C126" t="s">
        <v>16</v>
      </c>
      <c r="D126" t="s">
        <v>38</v>
      </c>
      <c r="E126" t="s">
        <v>680</v>
      </c>
      <c r="F126" t="s">
        <v>658</v>
      </c>
      <c r="G126">
        <f>HYPERLINK("http://clipc-services.ceda.ac.uk/dreq/u/4a62506a657921cdde7c173c0ae09b98.html","web")</f>
        <v>0</v>
      </c>
      <c r="H126" t="s">
        <v>681</v>
      </c>
      <c r="I126" t="s">
        <v>21</v>
      </c>
      <c r="J126" t="s">
        <v>682</v>
      </c>
      <c r="K126" t="s">
        <v>484</v>
      </c>
      <c r="L126" t="s">
        <v>24</v>
      </c>
      <c r="M126" t="s">
        <v>658</v>
      </c>
      <c r="N126" t="s">
        <v>683</v>
      </c>
    </row>
    <row r="127" spans="1:14">
      <c r="A127" t="s">
        <v>420</v>
      </c>
      <c r="B127" t="s">
        <v>684</v>
      </c>
      <c r="C127" t="s">
        <v>16</v>
      </c>
      <c r="D127" t="s">
        <v>38</v>
      </c>
      <c r="E127" t="s">
        <v>685</v>
      </c>
      <c r="F127" t="s">
        <v>40</v>
      </c>
      <c r="G127">
        <f>HYPERLINK("http://clipc-services.ceda.ac.uk/dreq/u/0638f32ebcc32d63faad121d5a83e3be.html","web")</f>
        <v>0</v>
      </c>
      <c r="H127" t="s">
        <v>686</v>
      </c>
      <c r="I127" t="s">
        <v>21</v>
      </c>
      <c r="J127" t="s">
        <v>687</v>
      </c>
      <c r="K127" t="s">
        <v>688</v>
      </c>
      <c r="L127" t="s">
        <v>24</v>
      </c>
      <c r="M127" t="s">
        <v>40</v>
      </c>
      <c r="N127" t="s">
        <v>689</v>
      </c>
    </row>
    <row r="128" spans="1:14">
      <c r="A128" t="s">
        <v>420</v>
      </c>
      <c r="B128" t="s">
        <v>690</v>
      </c>
      <c r="C128" t="s">
        <v>201</v>
      </c>
      <c r="D128" t="s">
        <v>38</v>
      </c>
      <c r="E128" t="s">
        <v>691</v>
      </c>
      <c r="F128" t="s">
        <v>594</v>
      </c>
      <c r="G128">
        <f>HYPERLINK("http://clipc-services.ceda.ac.uk/dreq/u/e799552047be54bf13ccbe494c73cc81.html","web")</f>
        <v>0</v>
      </c>
      <c r="H128" t="s">
        <v>692</v>
      </c>
      <c r="I128" t="s">
        <v>21</v>
      </c>
      <c r="J128" t="s">
        <v>693</v>
      </c>
      <c r="K128" t="s">
        <v>694</v>
      </c>
      <c r="L128" t="s">
        <v>435</v>
      </c>
      <c r="M128" t="s">
        <v>594</v>
      </c>
      <c r="N128" t="s">
        <v>695</v>
      </c>
    </row>
    <row r="129" spans="1:14">
      <c r="A129" t="s">
        <v>420</v>
      </c>
      <c r="B129" t="s">
        <v>696</v>
      </c>
      <c r="C129" t="s">
        <v>16</v>
      </c>
      <c r="D129" t="s">
        <v>38</v>
      </c>
      <c r="E129" t="s">
        <v>697</v>
      </c>
      <c r="F129" t="s">
        <v>40</v>
      </c>
      <c r="G129">
        <f>HYPERLINK("http://clipc-services.ceda.ac.uk/dreq/u/be153e40e1e09d1d46a191b3a99be7f5.html","web")</f>
        <v>0</v>
      </c>
      <c r="H129" t="s">
        <v>698</v>
      </c>
      <c r="I129" t="s">
        <v>21</v>
      </c>
      <c r="J129" t="s">
        <v>699</v>
      </c>
      <c r="K129" t="s">
        <v>619</v>
      </c>
      <c r="L129" t="s">
        <v>24</v>
      </c>
      <c r="M129" t="s">
        <v>40</v>
      </c>
      <c r="N129" t="s">
        <v>700</v>
      </c>
    </row>
    <row r="130" spans="1:14">
      <c r="A130" t="s">
        <v>420</v>
      </c>
      <c r="B130" t="s">
        <v>701</v>
      </c>
      <c r="C130" t="s">
        <v>201</v>
      </c>
      <c r="D130" t="s">
        <v>38</v>
      </c>
      <c r="E130" t="s">
        <v>702</v>
      </c>
      <c r="F130" t="s">
        <v>594</v>
      </c>
      <c r="G130">
        <f>HYPERLINK("http://clipc-services.ceda.ac.uk/dreq/u/c73793c9a403918cf29279cbc374d509.html","web")</f>
        <v>0</v>
      </c>
      <c r="H130" t="s">
        <v>703</v>
      </c>
      <c r="I130" t="s">
        <v>21</v>
      </c>
      <c r="J130" t="s">
        <v>704</v>
      </c>
      <c r="K130" t="s">
        <v>441</v>
      </c>
      <c r="L130" t="s">
        <v>435</v>
      </c>
      <c r="M130" t="s">
        <v>594</v>
      </c>
      <c r="N130" t="s">
        <v>705</v>
      </c>
    </row>
    <row r="131" spans="1:14">
      <c r="A131" t="s">
        <v>420</v>
      </c>
      <c r="B131" t="s">
        <v>706</v>
      </c>
      <c r="C131" t="s">
        <v>201</v>
      </c>
      <c r="D131" t="s">
        <v>38</v>
      </c>
      <c r="E131" t="s">
        <v>707</v>
      </c>
      <c r="F131" t="s">
        <v>594</v>
      </c>
      <c r="G131">
        <f>HYPERLINK("http://clipc-services.ceda.ac.uk/dreq/u/5895b847e6247f0058199d1b26772655.html","web")</f>
        <v>0</v>
      </c>
      <c r="H131" t="s">
        <v>708</v>
      </c>
      <c r="I131" t="s">
        <v>21</v>
      </c>
      <c r="J131" t="s">
        <v>709</v>
      </c>
      <c r="K131" t="s">
        <v>710</v>
      </c>
      <c r="L131" t="s">
        <v>435</v>
      </c>
      <c r="M131" t="s">
        <v>594</v>
      </c>
      <c r="N131" t="s">
        <v>711</v>
      </c>
    </row>
    <row r="132" spans="1:14">
      <c r="A132" t="s">
        <v>420</v>
      </c>
      <c r="B132" t="s">
        <v>712</v>
      </c>
      <c r="C132" t="s">
        <v>201</v>
      </c>
      <c r="D132" t="s">
        <v>579</v>
      </c>
      <c r="E132" t="s">
        <v>713</v>
      </c>
      <c r="F132" t="s">
        <v>594</v>
      </c>
      <c r="G132">
        <f>HYPERLINK("http://clipc-services.ceda.ac.uk/dreq/u/b385b4f43e7385eb7bfe4e2175bb086d.html","web")</f>
        <v>0</v>
      </c>
      <c r="H132" t="s">
        <v>714</v>
      </c>
      <c r="I132" t="s">
        <v>21</v>
      </c>
      <c r="J132" t="s">
        <v>715</v>
      </c>
      <c r="K132" t="s">
        <v>441</v>
      </c>
      <c r="L132" t="s">
        <v>435</v>
      </c>
      <c r="M132" t="s">
        <v>594</v>
      </c>
      <c r="N132" t="s">
        <v>716</v>
      </c>
    </row>
    <row r="133" spans="1:14">
      <c r="A133" t="s">
        <v>420</v>
      </c>
      <c r="B133" t="s">
        <v>717</v>
      </c>
      <c r="C133" t="s">
        <v>28</v>
      </c>
      <c r="D133" t="s">
        <v>38</v>
      </c>
      <c r="E133" t="s">
        <v>718</v>
      </c>
      <c r="F133" t="s">
        <v>40</v>
      </c>
      <c r="G133">
        <f>HYPERLINK("http://clipc-services.ceda.ac.uk/dreq/u/f718ef1940e6feab018d81f508bd87c2.html","web")</f>
        <v>0</v>
      </c>
      <c r="H133" t="s">
        <v>719</v>
      </c>
      <c r="I133" t="s">
        <v>21</v>
      </c>
      <c r="J133" t="s">
        <v>720</v>
      </c>
      <c r="K133" t="s">
        <v>677</v>
      </c>
      <c r="L133" t="s">
        <v>24</v>
      </c>
      <c r="M133" t="s">
        <v>40</v>
      </c>
      <c r="N133" t="s">
        <v>721</v>
      </c>
    </row>
    <row r="134" spans="1:14">
      <c r="A134" t="s">
        <v>420</v>
      </c>
      <c r="B134" t="s">
        <v>722</v>
      </c>
      <c r="C134" t="s">
        <v>201</v>
      </c>
      <c r="D134" t="s">
        <v>579</v>
      </c>
      <c r="E134" t="s">
        <v>723</v>
      </c>
      <c r="F134" t="s">
        <v>594</v>
      </c>
      <c r="G134">
        <f>HYPERLINK("http://clipc-services.ceda.ac.uk/dreq/u/96b53e6411f945d703ee5d081faee987.html","web")</f>
        <v>0</v>
      </c>
      <c r="H134" t="s">
        <v>724</v>
      </c>
      <c r="I134" t="s">
        <v>21</v>
      </c>
      <c r="J134" t="s">
        <v>725</v>
      </c>
      <c r="K134" t="s">
        <v>441</v>
      </c>
      <c r="L134" t="s">
        <v>435</v>
      </c>
      <c r="M134" t="s">
        <v>594</v>
      </c>
      <c r="N134" t="s">
        <v>726</v>
      </c>
    </row>
    <row r="135" spans="1:14">
      <c r="A135" t="s">
        <v>420</v>
      </c>
      <c r="B135" t="s">
        <v>727</v>
      </c>
      <c r="C135" t="s">
        <v>201</v>
      </c>
      <c r="D135" t="s">
        <v>422</v>
      </c>
      <c r="E135" t="s">
        <v>728</v>
      </c>
      <c r="F135" t="s">
        <v>729</v>
      </c>
      <c r="G135">
        <f>HYPERLINK("http://clipc-services.ceda.ac.uk/dreq/u/28a54e8b5b73c4ae915a82ed99c74459.html","web")</f>
        <v>0</v>
      </c>
      <c r="H135" t="s">
        <v>730</v>
      </c>
      <c r="I135" t="s">
        <v>21</v>
      </c>
      <c r="J135" t="s">
        <v>731</v>
      </c>
      <c r="K135" t="s">
        <v>467</v>
      </c>
      <c r="L135" t="s">
        <v>435</v>
      </c>
      <c r="M135" t="s">
        <v>729</v>
      </c>
      <c r="N135" t="s">
        <v>732</v>
      </c>
    </row>
    <row r="136" spans="1:14">
      <c r="A136" t="s">
        <v>420</v>
      </c>
      <c r="B136" t="s">
        <v>733</v>
      </c>
      <c r="C136" t="s">
        <v>28</v>
      </c>
      <c r="D136" t="s">
        <v>17</v>
      </c>
      <c r="E136" t="s">
        <v>734</v>
      </c>
      <c r="F136" t="s">
        <v>735</v>
      </c>
      <c r="G136">
        <f>HYPERLINK("http://clipc-services.ceda.ac.uk/dreq/u/1f5bb8c9dd54043a9d5f71dfe38f5a19.html","web")</f>
        <v>0</v>
      </c>
      <c r="H136" t="s">
        <v>736</v>
      </c>
      <c r="I136" t="s">
        <v>21</v>
      </c>
      <c r="J136" t="s">
        <v>737</v>
      </c>
      <c r="K136" t="s">
        <v>738</v>
      </c>
      <c r="L136" t="s">
        <v>24</v>
      </c>
      <c r="M136" t="s">
        <v>735</v>
      </c>
      <c r="N136" t="s">
        <v>739</v>
      </c>
    </row>
    <row r="137" spans="1:14">
      <c r="A137" t="s">
        <v>420</v>
      </c>
      <c r="B137" t="s">
        <v>740</v>
      </c>
      <c r="C137" t="s">
        <v>28</v>
      </c>
      <c r="D137" t="s">
        <v>17</v>
      </c>
      <c r="E137" t="s">
        <v>741</v>
      </c>
      <c r="F137" t="s">
        <v>735</v>
      </c>
      <c r="G137">
        <f>HYPERLINK("http://clipc-services.ceda.ac.uk/dreq/u/32cbc6ae59c0abfe8e9c526e548452cc.html","web")</f>
        <v>0</v>
      </c>
      <c r="H137" t="s">
        <v>742</v>
      </c>
      <c r="I137" t="s">
        <v>21</v>
      </c>
      <c r="J137" t="s">
        <v>743</v>
      </c>
      <c r="K137" t="s">
        <v>452</v>
      </c>
      <c r="L137" t="s">
        <v>24</v>
      </c>
      <c r="M137" t="s">
        <v>735</v>
      </c>
      <c r="N137" t="s">
        <v>744</v>
      </c>
    </row>
    <row r="138" spans="1:14">
      <c r="A138" t="s">
        <v>420</v>
      </c>
      <c r="B138" t="s">
        <v>745</v>
      </c>
      <c r="C138" t="s">
        <v>28</v>
      </c>
      <c r="D138" t="s">
        <v>38</v>
      </c>
      <c r="E138" t="s">
        <v>746</v>
      </c>
      <c r="F138" t="s">
        <v>171</v>
      </c>
      <c r="G138">
        <f>HYPERLINK("http://clipc-services.ceda.ac.uk/dreq/u/0312fb7cbaaff353e66b17c21fb13482.html","web")</f>
        <v>0</v>
      </c>
      <c r="H138" t="s">
        <v>747</v>
      </c>
      <c r="I138" t="s">
        <v>21</v>
      </c>
      <c r="J138" t="s">
        <v>748</v>
      </c>
      <c r="K138" t="s">
        <v>677</v>
      </c>
      <c r="L138" t="s">
        <v>24</v>
      </c>
      <c r="M138" t="s">
        <v>171</v>
      </c>
      <c r="N138" t="s">
        <v>749</v>
      </c>
    </row>
    <row r="139" spans="1:14">
      <c r="A139" t="s">
        <v>420</v>
      </c>
      <c r="B139" t="s">
        <v>750</v>
      </c>
      <c r="C139" t="s">
        <v>28</v>
      </c>
      <c r="D139" t="s">
        <v>38</v>
      </c>
      <c r="E139" t="s">
        <v>751</v>
      </c>
      <c r="F139" t="s">
        <v>171</v>
      </c>
      <c r="G139">
        <f>HYPERLINK("http://clipc-services.ceda.ac.uk/dreq/u/db14915fa8f71225f7775d0d922197ec.html","web")</f>
        <v>0</v>
      </c>
      <c r="H139" t="s">
        <v>752</v>
      </c>
      <c r="I139" t="s">
        <v>21</v>
      </c>
      <c r="J139" t="s">
        <v>753</v>
      </c>
      <c r="K139" t="s">
        <v>603</v>
      </c>
      <c r="L139" t="s">
        <v>24</v>
      </c>
      <c r="M139" t="s">
        <v>171</v>
      </c>
      <c r="N139" t="s">
        <v>754</v>
      </c>
    </row>
    <row r="140" spans="1:14">
      <c r="A140" t="s">
        <v>420</v>
      </c>
      <c r="B140" t="s">
        <v>755</v>
      </c>
      <c r="C140" t="s">
        <v>16</v>
      </c>
      <c r="D140" t="s">
        <v>38</v>
      </c>
      <c r="E140" t="s">
        <v>756</v>
      </c>
      <c r="F140" t="s">
        <v>171</v>
      </c>
      <c r="G140">
        <f>HYPERLINK("http://clipc-services.ceda.ac.uk/dreq/u/11f31866ee4fca2f68e25ccd529ede8a.html","web")</f>
        <v>0</v>
      </c>
      <c r="H140" t="s">
        <v>757</v>
      </c>
      <c r="I140" t="s">
        <v>21</v>
      </c>
      <c r="J140" t="s">
        <v>758</v>
      </c>
      <c r="K140" t="s">
        <v>619</v>
      </c>
      <c r="L140" t="s">
        <v>24</v>
      </c>
      <c r="M140" t="s">
        <v>171</v>
      </c>
      <c r="N140" t="s">
        <v>759</v>
      </c>
    </row>
    <row r="141" spans="1:14">
      <c r="A141" t="s">
        <v>420</v>
      </c>
      <c r="B141" t="s">
        <v>760</v>
      </c>
      <c r="C141" t="s">
        <v>16</v>
      </c>
      <c r="D141" t="s">
        <v>38</v>
      </c>
      <c r="E141" t="s">
        <v>761</v>
      </c>
      <c r="F141" t="s">
        <v>171</v>
      </c>
      <c r="G141">
        <f>HYPERLINK("http://clipc-services.ceda.ac.uk/dreq/u/1418ccb847c5c235176620baf22d7b33.html","web")</f>
        <v>0</v>
      </c>
      <c r="H141" t="s">
        <v>762</v>
      </c>
      <c r="I141" t="s">
        <v>21</v>
      </c>
      <c r="J141" t="s">
        <v>763</v>
      </c>
      <c r="K141" t="s">
        <v>764</v>
      </c>
      <c r="L141" t="s">
        <v>24</v>
      </c>
      <c r="M141" t="s">
        <v>171</v>
      </c>
      <c r="N141" t="s">
        <v>765</v>
      </c>
    </row>
    <row r="142" spans="1:14">
      <c r="A142" t="s">
        <v>420</v>
      </c>
      <c r="B142" t="s">
        <v>766</v>
      </c>
      <c r="C142" t="s">
        <v>16</v>
      </c>
      <c r="D142" t="s">
        <v>38</v>
      </c>
      <c r="E142" t="s">
        <v>767</v>
      </c>
      <c r="F142" t="s">
        <v>171</v>
      </c>
      <c r="G142">
        <f>HYPERLINK("http://clipc-services.ceda.ac.uk/dreq/u/bd938fec017c18d3eee106db55f924c5.html","web")</f>
        <v>0</v>
      </c>
      <c r="H142" t="s">
        <v>768</v>
      </c>
      <c r="I142" t="s">
        <v>21</v>
      </c>
      <c r="J142" t="s">
        <v>769</v>
      </c>
      <c r="K142" t="s">
        <v>770</v>
      </c>
      <c r="L142" t="s">
        <v>24</v>
      </c>
      <c r="M142" t="s">
        <v>171</v>
      </c>
      <c r="N142" t="s">
        <v>771</v>
      </c>
    </row>
    <row r="143" spans="1:14">
      <c r="A143" t="s">
        <v>420</v>
      </c>
      <c r="B143" t="s">
        <v>772</v>
      </c>
      <c r="C143" t="s">
        <v>16</v>
      </c>
      <c r="D143" t="s">
        <v>38</v>
      </c>
      <c r="E143" t="s">
        <v>773</v>
      </c>
      <c r="F143" t="s">
        <v>171</v>
      </c>
      <c r="G143">
        <f>HYPERLINK("http://clipc-services.ceda.ac.uk/dreq/u/ad2c59f6784b7b6a8b2a95424a1a642d.html","web")</f>
        <v>0</v>
      </c>
      <c r="H143" t="s">
        <v>774</v>
      </c>
      <c r="I143" t="s">
        <v>21</v>
      </c>
      <c r="J143" t="s">
        <v>775</v>
      </c>
      <c r="K143" t="s">
        <v>619</v>
      </c>
      <c r="L143" t="s">
        <v>24</v>
      </c>
      <c r="M143" t="s">
        <v>171</v>
      </c>
      <c r="N143" t="s">
        <v>776</v>
      </c>
    </row>
    <row r="144" spans="1:14">
      <c r="A144" t="s">
        <v>420</v>
      </c>
      <c r="B144" t="s">
        <v>777</v>
      </c>
      <c r="C144" t="s">
        <v>16</v>
      </c>
      <c r="D144" t="s">
        <v>38</v>
      </c>
      <c r="E144" t="s">
        <v>778</v>
      </c>
      <c r="F144" t="s">
        <v>171</v>
      </c>
      <c r="G144">
        <f>HYPERLINK("http://clipc-services.ceda.ac.uk/dreq/u/af7707ac309cab4b2f2ce461f89ab741.html","web")</f>
        <v>0</v>
      </c>
      <c r="H144" t="s">
        <v>779</v>
      </c>
      <c r="I144" t="s">
        <v>21</v>
      </c>
      <c r="J144" t="s">
        <v>780</v>
      </c>
      <c r="K144" t="s">
        <v>619</v>
      </c>
      <c r="L144" t="s">
        <v>24</v>
      </c>
      <c r="M144" t="s">
        <v>171</v>
      </c>
      <c r="N144" t="s">
        <v>781</v>
      </c>
    </row>
    <row r="145" spans="1:14">
      <c r="A145" t="s">
        <v>420</v>
      </c>
      <c r="B145" t="s">
        <v>782</v>
      </c>
      <c r="C145" t="s">
        <v>16</v>
      </c>
      <c r="D145" t="s">
        <v>38</v>
      </c>
      <c r="E145" t="s">
        <v>783</v>
      </c>
      <c r="F145" t="s">
        <v>171</v>
      </c>
      <c r="G145">
        <f>HYPERLINK("http://clipc-services.ceda.ac.uk/dreq/u/155ede0bff2578a736e6379552483f4e.html","web")</f>
        <v>0</v>
      </c>
      <c r="H145" t="s">
        <v>784</v>
      </c>
      <c r="I145" t="s">
        <v>21</v>
      </c>
      <c r="J145" t="s">
        <v>785</v>
      </c>
      <c r="K145" t="s">
        <v>770</v>
      </c>
      <c r="L145" t="s">
        <v>24</v>
      </c>
      <c r="M145" t="s">
        <v>171</v>
      </c>
      <c r="N145" t="s">
        <v>786</v>
      </c>
    </row>
    <row r="146" spans="1:14">
      <c r="A146" t="s">
        <v>420</v>
      </c>
      <c r="B146" t="s">
        <v>787</v>
      </c>
      <c r="C146" t="s">
        <v>16</v>
      </c>
      <c r="D146" t="s">
        <v>38</v>
      </c>
      <c r="E146" t="s">
        <v>788</v>
      </c>
      <c r="F146" t="s">
        <v>171</v>
      </c>
      <c r="G146">
        <f>HYPERLINK("http://clipc-services.ceda.ac.uk/dreq/u/22fae57fa6f2e7e2744a3a9fe3c0dbca.html","web")</f>
        <v>0</v>
      </c>
      <c r="H146" t="s">
        <v>789</v>
      </c>
      <c r="I146" t="s">
        <v>21</v>
      </c>
      <c r="J146" t="s">
        <v>790</v>
      </c>
      <c r="K146" t="s">
        <v>770</v>
      </c>
      <c r="L146" t="s">
        <v>24</v>
      </c>
      <c r="M146" t="s">
        <v>171</v>
      </c>
      <c r="N146" t="s">
        <v>791</v>
      </c>
    </row>
    <row r="147" spans="1:14">
      <c r="A147" t="s">
        <v>420</v>
      </c>
      <c r="B147" t="s">
        <v>792</v>
      </c>
      <c r="C147" t="s">
        <v>16</v>
      </c>
      <c r="D147" t="s">
        <v>38</v>
      </c>
      <c r="E147" t="s">
        <v>793</v>
      </c>
      <c r="F147" t="s">
        <v>171</v>
      </c>
      <c r="G147">
        <f>HYPERLINK("http://clipc-services.ceda.ac.uk/dreq/u/e60a812c3a4351f1747a8bf9fb48aec8.html","web")</f>
        <v>0</v>
      </c>
      <c r="H147" t="s">
        <v>794</v>
      </c>
      <c r="I147" t="s">
        <v>21</v>
      </c>
      <c r="J147" t="s">
        <v>795</v>
      </c>
      <c r="K147" t="s">
        <v>619</v>
      </c>
      <c r="L147" t="s">
        <v>24</v>
      </c>
      <c r="M147" t="s">
        <v>171</v>
      </c>
      <c r="N147" t="s">
        <v>796</v>
      </c>
    </row>
    <row r="148" spans="1:14">
      <c r="A148" t="s">
        <v>420</v>
      </c>
      <c r="B148" t="s">
        <v>797</v>
      </c>
      <c r="C148" t="s">
        <v>16</v>
      </c>
      <c r="D148" t="s">
        <v>38</v>
      </c>
      <c r="E148" t="s">
        <v>798</v>
      </c>
      <c r="F148" t="s">
        <v>735</v>
      </c>
      <c r="G148">
        <f>HYPERLINK("http://clipc-services.ceda.ac.uk/dreq/u/26542cc98f984d1b098796374a7ed264.html","web")</f>
        <v>0</v>
      </c>
      <c r="H148" t="s">
        <v>799</v>
      </c>
      <c r="I148" t="s">
        <v>21</v>
      </c>
      <c r="J148" t="s">
        <v>800</v>
      </c>
      <c r="K148" t="s">
        <v>441</v>
      </c>
      <c r="L148" t="s">
        <v>24</v>
      </c>
      <c r="M148" t="s">
        <v>735</v>
      </c>
      <c r="N148" t="s">
        <v>801</v>
      </c>
    </row>
    <row r="149" spans="1:14">
      <c r="A149" t="s">
        <v>420</v>
      </c>
      <c r="B149" t="s">
        <v>802</v>
      </c>
      <c r="C149" t="s">
        <v>16</v>
      </c>
      <c r="D149" t="s">
        <v>38</v>
      </c>
      <c r="E149" t="s">
        <v>803</v>
      </c>
      <c r="F149" t="s">
        <v>735</v>
      </c>
      <c r="G149">
        <f>HYPERLINK("http://clipc-services.ceda.ac.uk/dreq/u/fa3149feef6236e0cc3207a977d2d0a5.html","web")</f>
        <v>0</v>
      </c>
      <c r="H149" t="s">
        <v>804</v>
      </c>
      <c r="I149" t="s">
        <v>21</v>
      </c>
      <c r="J149" t="s">
        <v>805</v>
      </c>
      <c r="K149" t="s">
        <v>441</v>
      </c>
      <c r="L149" t="s">
        <v>24</v>
      </c>
      <c r="M149" t="s">
        <v>735</v>
      </c>
      <c r="N149" t="s">
        <v>806</v>
      </c>
    </row>
    <row r="150" spans="1:14">
      <c r="A150" t="s">
        <v>420</v>
      </c>
      <c r="B150" t="s">
        <v>807</v>
      </c>
      <c r="C150" t="s">
        <v>16</v>
      </c>
      <c r="D150" t="s">
        <v>17</v>
      </c>
      <c r="E150" t="s">
        <v>808</v>
      </c>
      <c r="F150" t="s">
        <v>735</v>
      </c>
      <c r="G150">
        <f>HYPERLINK("http://clipc-services.ceda.ac.uk/dreq/u/e332882b170bce82d39f02b78fd87e79.html","web")</f>
        <v>0</v>
      </c>
      <c r="H150" t="s">
        <v>809</v>
      </c>
      <c r="I150" t="s">
        <v>21</v>
      </c>
      <c r="J150" t="s">
        <v>810</v>
      </c>
      <c r="K150" t="s">
        <v>619</v>
      </c>
      <c r="L150" t="s">
        <v>24</v>
      </c>
      <c r="M150" t="s">
        <v>735</v>
      </c>
      <c r="N150" t="s">
        <v>811</v>
      </c>
    </row>
    <row r="151" spans="1:14">
      <c r="A151" t="s">
        <v>420</v>
      </c>
      <c r="B151" t="s">
        <v>812</v>
      </c>
      <c r="C151" t="s">
        <v>16</v>
      </c>
      <c r="D151" t="s">
        <v>17</v>
      </c>
      <c r="E151" t="s">
        <v>813</v>
      </c>
      <c r="F151" t="s">
        <v>735</v>
      </c>
      <c r="G151">
        <f>HYPERLINK("http://clipc-services.ceda.ac.uk/dreq/u/2e1651d57e5cc5036810331a67ef6ed7.html","web")</f>
        <v>0</v>
      </c>
      <c r="H151" t="s">
        <v>809</v>
      </c>
      <c r="I151" t="s">
        <v>21</v>
      </c>
      <c r="J151" t="s">
        <v>810</v>
      </c>
      <c r="K151" t="s">
        <v>619</v>
      </c>
      <c r="L151" t="s">
        <v>24</v>
      </c>
      <c r="M151" t="s">
        <v>735</v>
      </c>
      <c r="N151" t="s">
        <v>814</v>
      </c>
    </row>
    <row r="152" spans="1:14">
      <c r="A152" t="s">
        <v>420</v>
      </c>
      <c r="B152" t="s">
        <v>815</v>
      </c>
      <c r="C152" t="s">
        <v>16</v>
      </c>
      <c r="D152" t="s">
        <v>38</v>
      </c>
      <c r="E152" t="s">
        <v>816</v>
      </c>
      <c r="F152" t="s">
        <v>256</v>
      </c>
      <c r="G152">
        <f>HYPERLINK("http://clipc-services.ceda.ac.uk/dreq/u/5fc649c5cc7f4737f3a81d1c6b151b26.html","web")</f>
        <v>0</v>
      </c>
      <c r="H152" t="s">
        <v>817</v>
      </c>
      <c r="I152" t="s">
        <v>21</v>
      </c>
      <c r="J152" t="s">
        <v>818</v>
      </c>
      <c r="K152" t="s">
        <v>441</v>
      </c>
      <c r="L152" t="s">
        <v>435</v>
      </c>
      <c r="M152" t="s">
        <v>256</v>
      </c>
      <c r="N152" t="s">
        <v>819</v>
      </c>
    </row>
    <row r="153" spans="1:14">
      <c r="A153" t="s">
        <v>420</v>
      </c>
      <c r="B153" t="s">
        <v>820</v>
      </c>
      <c r="C153" t="s">
        <v>16</v>
      </c>
      <c r="D153" t="s">
        <v>38</v>
      </c>
      <c r="E153" t="s">
        <v>821</v>
      </c>
      <c r="F153" t="s">
        <v>256</v>
      </c>
      <c r="G153">
        <f>HYPERLINK("http://clipc-services.ceda.ac.uk/dreq/u/a1bd45ea349a310ceaec3f0c417f8aa5.html","web")</f>
        <v>0</v>
      </c>
      <c r="H153" t="s">
        <v>570</v>
      </c>
      <c r="I153" t="s">
        <v>21</v>
      </c>
      <c r="J153" t="s">
        <v>822</v>
      </c>
      <c r="K153" t="s">
        <v>467</v>
      </c>
      <c r="L153" t="s">
        <v>435</v>
      </c>
      <c r="M153" t="s">
        <v>256</v>
      </c>
      <c r="N153" t="s">
        <v>823</v>
      </c>
    </row>
    <row r="154" spans="1:14">
      <c r="A154" t="s">
        <v>420</v>
      </c>
      <c r="B154" t="s">
        <v>824</v>
      </c>
      <c r="C154" t="s">
        <v>201</v>
      </c>
      <c r="D154" t="s">
        <v>38</v>
      </c>
      <c r="E154" t="s">
        <v>825</v>
      </c>
      <c r="F154" t="s">
        <v>594</v>
      </c>
      <c r="G154">
        <f>HYPERLINK("http://clipc-services.ceda.ac.uk/dreq/u/28d5c13c016320943983914bc63e6abd.html","web")</f>
        <v>0</v>
      </c>
      <c r="H154" t="s">
        <v>826</v>
      </c>
      <c r="I154" t="s">
        <v>21</v>
      </c>
      <c r="J154" t="s">
        <v>827</v>
      </c>
      <c r="K154" t="s">
        <v>441</v>
      </c>
      <c r="L154" t="s">
        <v>435</v>
      </c>
      <c r="M154" t="s">
        <v>594</v>
      </c>
      <c r="N154" t="s">
        <v>828</v>
      </c>
    </row>
    <row r="155" spans="1:14">
      <c r="A155" t="s">
        <v>420</v>
      </c>
      <c r="B155" t="s">
        <v>829</v>
      </c>
      <c r="C155" t="s">
        <v>201</v>
      </c>
      <c r="D155" t="s">
        <v>38</v>
      </c>
      <c r="E155" t="s">
        <v>830</v>
      </c>
      <c r="F155" t="s">
        <v>594</v>
      </c>
      <c r="G155">
        <f>HYPERLINK("http://clipc-services.ceda.ac.uk/dreq/u/351cb82f1f858d9c0e1094eaf477c9bc.html","web")</f>
        <v>0</v>
      </c>
      <c r="H155" t="s">
        <v>831</v>
      </c>
      <c r="I155" t="s">
        <v>21</v>
      </c>
      <c r="J155" t="s">
        <v>832</v>
      </c>
      <c r="K155" t="s">
        <v>441</v>
      </c>
      <c r="L155" t="s">
        <v>435</v>
      </c>
      <c r="M155" t="s">
        <v>594</v>
      </c>
      <c r="N155" t="s">
        <v>833</v>
      </c>
    </row>
    <row r="156" spans="1:14">
      <c r="A156" t="s">
        <v>420</v>
      </c>
      <c r="B156" t="s">
        <v>834</v>
      </c>
      <c r="C156" t="s">
        <v>201</v>
      </c>
      <c r="D156" t="s">
        <v>38</v>
      </c>
      <c r="E156" t="s">
        <v>835</v>
      </c>
      <c r="F156" t="s">
        <v>594</v>
      </c>
      <c r="G156">
        <f>HYPERLINK("http://clipc-services.ceda.ac.uk/dreq/u/c1a2f2eeee3b74cd94a2946050785278.html","web")</f>
        <v>0</v>
      </c>
      <c r="H156" t="s">
        <v>836</v>
      </c>
      <c r="I156" t="s">
        <v>21</v>
      </c>
      <c r="J156" t="s">
        <v>837</v>
      </c>
      <c r="K156" t="s">
        <v>441</v>
      </c>
      <c r="L156" t="s">
        <v>435</v>
      </c>
      <c r="M156" t="s">
        <v>594</v>
      </c>
      <c r="N156" t="s">
        <v>838</v>
      </c>
    </row>
    <row r="157" spans="1:14">
      <c r="A157" t="s">
        <v>420</v>
      </c>
      <c r="B157" t="s">
        <v>839</v>
      </c>
      <c r="C157" t="s">
        <v>201</v>
      </c>
      <c r="D157" t="s">
        <v>38</v>
      </c>
      <c r="E157" t="s">
        <v>840</v>
      </c>
      <c r="F157" t="s">
        <v>594</v>
      </c>
      <c r="G157">
        <f>HYPERLINK("http://clipc-services.ceda.ac.uk/dreq/u/6c2e81334ca2f0de1813f46d64ee1924.html","web")</f>
        <v>0</v>
      </c>
      <c r="H157" t="s">
        <v>841</v>
      </c>
      <c r="I157" t="s">
        <v>21</v>
      </c>
      <c r="J157" t="s">
        <v>842</v>
      </c>
      <c r="K157" t="s">
        <v>843</v>
      </c>
      <c r="L157" t="s">
        <v>435</v>
      </c>
      <c r="M157" t="s">
        <v>594</v>
      </c>
      <c r="N157" t="s">
        <v>844</v>
      </c>
    </row>
    <row r="158" spans="1:14">
      <c r="A158" t="s">
        <v>420</v>
      </c>
      <c r="B158" t="s">
        <v>845</v>
      </c>
      <c r="C158" t="s">
        <v>28</v>
      </c>
      <c r="D158" t="s">
        <v>38</v>
      </c>
      <c r="E158" t="s">
        <v>846</v>
      </c>
      <c r="F158" t="s">
        <v>594</v>
      </c>
      <c r="G158">
        <f>HYPERLINK("http://clipc-services.ceda.ac.uk/dreq/u/f240d371c4585a7647bd775cc97abbee.html","web")</f>
        <v>0</v>
      </c>
      <c r="H158" t="s">
        <v>847</v>
      </c>
      <c r="I158" t="s">
        <v>21</v>
      </c>
      <c r="J158" t="s">
        <v>848</v>
      </c>
      <c r="K158" t="s">
        <v>849</v>
      </c>
      <c r="L158" t="s">
        <v>435</v>
      </c>
      <c r="M158" t="s">
        <v>594</v>
      </c>
      <c r="N158" t="s">
        <v>850</v>
      </c>
    </row>
    <row r="159" spans="1:14">
      <c r="A159" t="s">
        <v>420</v>
      </c>
      <c r="B159" t="s">
        <v>851</v>
      </c>
      <c r="C159" t="s">
        <v>201</v>
      </c>
      <c r="D159" t="s">
        <v>38</v>
      </c>
      <c r="E159" t="s">
        <v>852</v>
      </c>
      <c r="F159" t="s">
        <v>594</v>
      </c>
      <c r="G159">
        <f>HYPERLINK("http://clipc-services.ceda.ac.uk/dreq/u/e5284596-dd83-11e5-9194-ac72891c3257.html","web")</f>
        <v>0</v>
      </c>
      <c r="H159" t="s">
        <v>836</v>
      </c>
      <c r="I159" t="s">
        <v>21</v>
      </c>
      <c r="J159" t="s">
        <v>853</v>
      </c>
      <c r="K159" t="s">
        <v>441</v>
      </c>
      <c r="L159" t="s">
        <v>435</v>
      </c>
      <c r="M159" t="s">
        <v>594</v>
      </c>
      <c r="N159" t="s">
        <v>854</v>
      </c>
    </row>
    <row r="160" spans="1:14">
      <c r="A160" t="s">
        <v>420</v>
      </c>
      <c r="B160" t="s">
        <v>855</v>
      </c>
      <c r="C160" t="s">
        <v>16</v>
      </c>
      <c r="D160" t="s">
        <v>38</v>
      </c>
      <c r="E160" t="s">
        <v>856</v>
      </c>
      <c r="F160" t="s">
        <v>594</v>
      </c>
      <c r="G160">
        <f>HYPERLINK("http://clipc-services.ceda.ac.uk/dreq/u/e527e1f0-dd83-11e5-9194-ac72891c3257.html","web")</f>
        <v>0</v>
      </c>
      <c r="H160" t="s">
        <v>857</v>
      </c>
      <c r="I160" t="s">
        <v>21</v>
      </c>
      <c r="J160" t="s">
        <v>858</v>
      </c>
      <c r="K160" t="s">
        <v>441</v>
      </c>
      <c r="L160" t="s">
        <v>435</v>
      </c>
      <c r="M160" t="s">
        <v>594</v>
      </c>
      <c r="N160" t="s">
        <v>859</v>
      </c>
    </row>
    <row r="161" spans="1:14">
      <c r="A161" t="s">
        <v>420</v>
      </c>
      <c r="B161" t="s">
        <v>860</v>
      </c>
      <c r="C161" t="s">
        <v>201</v>
      </c>
      <c r="D161" t="s">
        <v>38</v>
      </c>
      <c r="E161" t="s">
        <v>861</v>
      </c>
      <c r="F161" t="s">
        <v>594</v>
      </c>
      <c r="G161">
        <f>HYPERLINK("http://clipc-services.ceda.ac.uk/dreq/u/e5289ab4-dd83-11e5-9194-ac72891c3257.html","web")</f>
        <v>0</v>
      </c>
      <c r="H161" t="s">
        <v>862</v>
      </c>
      <c r="I161" t="s">
        <v>21</v>
      </c>
      <c r="J161" t="s">
        <v>863</v>
      </c>
      <c r="K161" t="s">
        <v>441</v>
      </c>
      <c r="L161" t="s">
        <v>435</v>
      </c>
      <c r="M161" t="s">
        <v>594</v>
      </c>
      <c r="N161" t="s">
        <v>864</v>
      </c>
    </row>
    <row r="162" spans="1:14">
      <c r="A162" t="s">
        <v>420</v>
      </c>
      <c r="B162" t="s">
        <v>865</v>
      </c>
      <c r="C162" t="s">
        <v>16</v>
      </c>
      <c r="D162" t="s">
        <v>38</v>
      </c>
      <c r="E162" t="s">
        <v>866</v>
      </c>
      <c r="F162" t="s">
        <v>594</v>
      </c>
      <c r="G162">
        <f>HYPERLINK("http://clipc-services.ceda.ac.uk/dreq/u/c971e98c-c5f0-11e6-ac20-5404a60d96b5.html","web")</f>
        <v>0</v>
      </c>
      <c r="H162" t="s">
        <v>867</v>
      </c>
      <c r="I162" t="s">
        <v>21</v>
      </c>
      <c r="J162" t="s">
        <v>868</v>
      </c>
      <c r="K162" t="s">
        <v>441</v>
      </c>
      <c r="L162" t="s">
        <v>435</v>
      </c>
      <c r="M162" t="s">
        <v>594</v>
      </c>
      <c r="N162" t="s">
        <v>869</v>
      </c>
    </row>
    <row r="163" spans="1:14">
      <c r="A163" t="s">
        <v>420</v>
      </c>
      <c r="B163" t="s">
        <v>870</v>
      </c>
      <c r="C163" t="s">
        <v>16</v>
      </c>
      <c r="D163" t="s">
        <v>38</v>
      </c>
      <c r="E163" t="s">
        <v>871</v>
      </c>
      <c r="F163">
        <v>1</v>
      </c>
      <c r="G163">
        <f>HYPERLINK("http://clipc-services.ceda.ac.uk/dreq/u/1dfd4bb59374157f2bcd5338c90a54b4.html","web")</f>
        <v>0</v>
      </c>
      <c r="H163" t="s">
        <v>872</v>
      </c>
      <c r="I163" t="s">
        <v>21</v>
      </c>
      <c r="J163" t="s">
        <v>873</v>
      </c>
      <c r="K163" t="s">
        <v>874</v>
      </c>
      <c r="L163" t="s">
        <v>435</v>
      </c>
      <c r="M163">
        <v>1</v>
      </c>
      <c r="N163" t="s">
        <v>875</v>
      </c>
    </row>
    <row r="164" spans="1:14">
      <c r="A164" t="s">
        <v>420</v>
      </c>
      <c r="B164" t="s">
        <v>876</v>
      </c>
      <c r="C164" t="s">
        <v>201</v>
      </c>
      <c r="D164" t="s">
        <v>38</v>
      </c>
      <c r="E164" t="s">
        <v>877</v>
      </c>
      <c r="F164">
        <v>1</v>
      </c>
      <c r="G164">
        <f>HYPERLINK("http://clipc-services.ceda.ac.uk/dreq/u/86b89f8138a6ec9830def56892753017.html","web")</f>
        <v>0</v>
      </c>
      <c r="H164" t="s">
        <v>878</v>
      </c>
      <c r="I164" t="s">
        <v>21</v>
      </c>
      <c r="J164" t="s">
        <v>879</v>
      </c>
      <c r="K164" t="s">
        <v>874</v>
      </c>
      <c r="L164" t="s">
        <v>435</v>
      </c>
      <c r="M164">
        <v>1</v>
      </c>
      <c r="N164" t="s">
        <v>880</v>
      </c>
    </row>
    <row r="165" spans="1:14">
      <c r="A165" t="s">
        <v>420</v>
      </c>
      <c r="B165" t="s">
        <v>881</v>
      </c>
      <c r="C165" t="s">
        <v>16</v>
      </c>
      <c r="D165" t="s">
        <v>38</v>
      </c>
      <c r="E165" t="s">
        <v>882</v>
      </c>
      <c r="F165">
        <v>1</v>
      </c>
      <c r="G165">
        <f>HYPERLINK("http://clipc-services.ceda.ac.uk/dreq/u/3f25d295551edcd3949776cccca7656c.html","web")</f>
        <v>0</v>
      </c>
      <c r="H165" t="s">
        <v>883</v>
      </c>
      <c r="I165" t="s">
        <v>21</v>
      </c>
      <c r="J165" t="s">
        <v>884</v>
      </c>
      <c r="K165" t="s">
        <v>874</v>
      </c>
      <c r="L165" t="s">
        <v>435</v>
      </c>
      <c r="M165">
        <v>1</v>
      </c>
      <c r="N165" t="s">
        <v>885</v>
      </c>
    </row>
    <row r="166" spans="1:14">
      <c r="A166" t="s">
        <v>420</v>
      </c>
      <c r="B166" t="s">
        <v>886</v>
      </c>
      <c r="C166" t="s">
        <v>201</v>
      </c>
      <c r="D166" t="s">
        <v>38</v>
      </c>
      <c r="E166" t="s">
        <v>887</v>
      </c>
      <c r="F166">
        <v>1</v>
      </c>
      <c r="G166">
        <f>HYPERLINK("http://clipc-services.ceda.ac.uk/dreq/u/883fe8c76f1bd133e9075182240b1ca0.html","web")</f>
        <v>0</v>
      </c>
      <c r="H166" t="s">
        <v>888</v>
      </c>
      <c r="I166" t="s">
        <v>21</v>
      </c>
      <c r="J166" t="s">
        <v>889</v>
      </c>
      <c r="K166" t="s">
        <v>874</v>
      </c>
      <c r="L166" t="s">
        <v>435</v>
      </c>
      <c r="M166">
        <v>1</v>
      </c>
      <c r="N166" t="s">
        <v>890</v>
      </c>
    </row>
    <row r="167" spans="1:14">
      <c r="A167" t="s">
        <v>420</v>
      </c>
      <c r="B167" t="s">
        <v>891</v>
      </c>
      <c r="C167" t="s">
        <v>201</v>
      </c>
      <c r="D167" t="s">
        <v>38</v>
      </c>
      <c r="E167" t="s">
        <v>892</v>
      </c>
      <c r="F167">
        <v>1</v>
      </c>
      <c r="G167">
        <f>HYPERLINK("http://clipc-services.ceda.ac.uk/dreq/u/df05d7b7c578eeb7aa49c2ef6f79b30f.html","web")</f>
        <v>0</v>
      </c>
      <c r="H167" t="s">
        <v>893</v>
      </c>
      <c r="I167" t="s">
        <v>21</v>
      </c>
      <c r="J167" t="s">
        <v>894</v>
      </c>
      <c r="K167" t="s">
        <v>874</v>
      </c>
      <c r="L167" t="s">
        <v>435</v>
      </c>
      <c r="M167">
        <v>1</v>
      </c>
      <c r="N167" t="s">
        <v>895</v>
      </c>
    </row>
    <row r="168" spans="1:14">
      <c r="A168" t="s">
        <v>420</v>
      </c>
      <c r="B168" t="s">
        <v>896</v>
      </c>
      <c r="C168" t="s">
        <v>201</v>
      </c>
      <c r="D168" t="s">
        <v>38</v>
      </c>
      <c r="E168" t="s">
        <v>897</v>
      </c>
      <c r="F168">
        <v>1</v>
      </c>
      <c r="G168">
        <f>HYPERLINK("http://clipc-services.ceda.ac.uk/dreq/u/ba8065ebbce734a631b427699ddbaf7e.html","web")</f>
        <v>0</v>
      </c>
      <c r="H168" t="s">
        <v>898</v>
      </c>
      <c r="I168" t="s">
        <v>21</v>
      </c>
      <c r="J168" t="s">
        <v>899</v>
      </c>
      <c r="K168" t="s">
        <v>874</v>
      </c>
      <c r="L168" t="s">
        <v>435</v>
      </c>
      <c r="M168">
        <v>1</v>
      </c>
      <c r="N168" t="s">
        <v>900</v>
      </c>
    </row>
    <row r="169" spans="1:14">
      <c r="A169" t="s">
        <v>420</v>
      </c>
      <c r="B169" t="s">
        <v>901</v>
      </c>
      <c r="C169" t="s">
        <v>28</v>
      </c>
      <c r="D169" t="s">
        <v>422</v>
      </c>
      <c r="E169" t="s">
        <v>902</v>
      </c>
      <c r="F169" t="s">
        <v>256</v>
      </c>
      <c r="G169">
        <f>HYPERLINK("http://clipc-services.ceda.ac.uk/dreq/u/9122e7b627c429163fd0857dc366e14e.html","web")</f>
        <v>0</v>
      </c>
      <c r="H169" t="s">
        <v>903</v>
      </c>
      <c r="I169" t="s">
        <v>21</v>
      </c>
      <c r="J169" t="s">
        <v>904</v>
      </c>
      <c r="K169" t="s">
        <v>905</v>
      </c>
      <c r="L169" t="s">
        <v>24</v>
      </c>
      <c r="M169" t="s">
        <v>256</v>
      </c>
      <c r="N169" t="s">
        <v>906</v>
      </c>
    </row>
    <row r="170" spans="1:14">
      <c r="A170" t="s">
        <v>420</v>
      </c>
      <c r="B170" t="s">
        <v>907</v>
      </c>
      <c r="C170" t="s">
        <v>28</v>
      </c>
      <c r="D170" t="s">
        <v>61</v>
      </c>
      <c r="E170" t="s">
        <v>908</v>
      </c>
      <c r="F170" t="s">
        <v>909</v>
      </c>
      <c r="G170">
        <f>HYPERLINK("http://clipc-services.ceda.ac.uk/dreq/u/7619324f698659657f466d5dc6660b9d.html","web")</f>
        <v>0</v>
      </c>
      <c r="H170" t="s">
        <v>910</v>
      </c>
      <c r="I170" t="s">
        <v>21</v>
      </c>
      <c r="J170" t="s">
        <v>911</v>
      </c>
      <c r="K170" t="s">
        <v>677</v>
      </c>
      <c r="L170" t="s">
        <v>24</v>
      </c>
      <c r="M170" t="s">
        <v>909</v>
      </c>
      <c r="N170" t="s">
        <v>912</v>
      </c>
    </row>
    <row r="171" spans="1:14">
      <c r="A171" t="s">
        <v>420</v>
      </c>
      <c r="B171" t="s">
        <v>913</v>
      </c>
      <c r="C171" t="s">
        <v>16</v>
      </c>
      <c r="D171" t="s">
        <v>914</v>
      </c>
      <c r="E171" t="s">
        <v>915</v>
      </c>
      <c r="F171" t="s">
        <v>19</v>
      </c>
      <c r="G171">
        <f>HYPERLINK("http://clipc-services.ceda.ac.uk/dreq/u/91d62d57f0a58495fdf4358dc3ba1165.html","web")</f>
        <v>0</v>
      </c>
      <c r="H171" t="s">
        <v>916</v>
      </c>
      <c r="I171" t="s">
        <v>21</v>
      </c>
      <c r="J171" t="s">
        <v>917</v>
      </c>
      <c r="K171" t="s">
        <v>619</v>
      </c>
      <c r="L171" t="s">
        <v>24</v>
      </c>
      <c r="M171" t="s">
        <v>19</v>
      </c>
      <c r="N171" t="s">
        <v>918</v>
      </c>
    </row>
    <row r="172" spans="1:14">
      <c r="A172" t="s">
        <v>420</v>
      </c>
      <c r="B172" t="s">
        <v>919</v>
      </c>
      <c r="C172" t="s">
        <v>28</v>
      </c>
      <c r="D172" t="s">
        <v>38</v>
      </c>
      <c r="E172" t="s">
        <v>920</v>
      </c>
      <c r="F172" t="s">
        <v>165</v>
      </c>
      <c r="G172">
        <f>HYPERLINK("http://clipc-services.ceda.ac.uk/dreq/u/b1ac17c786f782027deb9a5985ad106e.html","web")</f>
        <v>0</v>
      </c>
      <c r="H172" t="s">
        <v>921</v>
      </c>
      <c r="I172" t="s">
        <v>21</v>
      </c>
      <c r="J172" t="s">
        <v>922</v>
      </c>
      <c r="K172" t="s">
        <v>613</v>
      </c>
      <c r="L172" t="s">
        <v>24</v>
      </c>
      <c r="M172" t="s">
        <v>165</v>
      </c>
      <c r="N172" t="s">
        <v>923</v>
      </c>
    </row>
    <row r="173" spans="1:14">
      <c r="A173" t="s">
        <v>420</v>
      </c>
      <c r="B173" t="s">
        <v>924</v>
      </c>
      <c r="C173" t="s">
        <v>28</v>
      </c>
      <c r="D173" t="s">
        <v>38</v>
      </c>
      <c r="E173" t="s">
        <v>925</v>
      </c>
      <c r="F173" t="s">
        <v>165</v>
      </c>
      <c r="G173">
        <f>HYPERLINK("http://clipc-services.ceda.ac.uk/dreq/u/d4ee907c-b00f-11e6-a1f0-ac72891c3257.html","web")</f>
        <v>0</v>
      </c>
      <c r="H173" t="s">
        <v>926</v>
      </c>
      <c r="I173" t="s">
        <v>21</v>
      </c>
      <c r="J173" t="s">
        <v>922</v>
      </c>
      <c r="K173" t="s">
        <v>467</v>
      </c>
      <c r="L173" t="s">
        <v>24</v>
      </c>
      <c r="M173" t="s">
        <v>165</v>
      </c>
      <c r="N173" t="s">
        <v>927</v>
      </c>
    </row>
    <row r="174" spans="1:14">
      <c r="A174" t="s">
        <v>420</v>
      </c>
      <c r="B174" t="s">
        <v>928</v>
      </c>
      <c r="C174" t="s">
        <v>28</v>
      </c>
      <c r="D174" t="s">
        <v>38</v>
      </c>
      <c r="E174" t="s">
        <v>929</v>
      </c>
      <c r="F174" t="s">
        <v>165</v>
      </c>
      <c r="G174">
        <f>HYPERLINK("http://clipc-services.ceda.ac.uk/dreq/u/d4ee9e5a-b00f-11e6-a1f0-ac72891c3257.html","web")</f>
        <v>0</v>
      </c>
      <c r="H174" t="s">
        <v>930</v>
      </c>
      <c r="I174" t="s">
        <v>21</v>
      </c>
      <c r="J174" t="s">
        <v>922</v>
      </c>
      <c r="K174" t="s">
        <v>467</v>
      </c>
      <c r="L174" t="s">
        <v>24</v>
      </c>
      <c r="M174" t="s">
        <v>165</v>
      </c>
      <c r="N174" t="s">
        <v>927</v>
      </c>
    </row>
    <row r="175" spans="1:14">
      <c r="A175" t="s">
        <v>420</v>
      </c>
      <c r="B175" t="s">
        <v>931</v>
      </c>
      <c r="C175" t="s">
        <v>201</v>
      </c>
      <c r="D175" t="s">
        <v>38</v>
      </c>
      <c r="E175" t="s">
        <v>932</v>
      </c>
      <c r="F175" t="s">
        <v>933</v>
      </c>
      <c r="G175">
        <f>HYPERLINK("http://clipc-services.ceda.ac.uk/dreq/u/1c502fa4d453b20feafa63a862eaeb57.html","web")</f>
        <v>0</v>
      </c>
      <c r="H175" t="s">
        <v>921</v>
      </c>
      <c r="I175" t="s">
        <v>21</v>
      </c>
      <c r="J175" t="s">
        <v>934</v>
      </c>
      <c r="K175" t="s">
        <v>441</v>
      </c>
      <c r="L175" t="s">
        <v>24</v>
      </c>
      <c r="M175" t="s">
        <v>933</v>
      </c>
      <c r="N175" t="s">
        <v>935</v>
      </c>
    </row>
    <row r="176" spans="1:14">
      <c r="A176" t="s">
        <v>420</v>
      </c>
      <c r="B176" t="s">
        <v>936</v>
      </c>
      <c r="C176" t="s">
        <v>28</v>
      </c>
      <c r="D176" t="s">
        <v>38</v>
      </c>
      <c r="E176" t="s">
        <v>937</v>
      </c>
      <c r="F176" t="s">
        <v>19</v>
      </c>
      <c r="G176">
        <f>HYPERLINK("http://clipc-services.ceda.ac.uk/dreq/u/5edcb9a162e51d0a2c8d42a75bed04ef.html","web")</f>
        <v>0</v>
      </c>
      <c r="H176" t="s">
        <v>938</v>
      </c>
      <c r="I176" t="s">
        <v>21</v>
      </c>
      <c r="J176" t="s">
        <v>939</v>
      </c>
      <c r="K176" t="s">
        <v>677</v>
      </c>
      <c r="L176" t="s">
        <v>24</v>
      </c>
      <c r="M176" t="s">
        <v>19</v>
      </c>
      <c r="N176" t="s">
        <v>940</v>
      </c>
    </row>
    <row r="177" spans="1:14">
      <c r="A177" t="s">
        <v>420</v>
      </c>
      <c r="B177" t="s">
        <v>941</v>
      </c>
      <c r="C177" t="s">
        <v>28</v>
      </c>
      <c r="D177" t="s">
        <v>942</v>
      </c>
      <c r="E177" t="s">
        <v>943</v>
      </c>
      <c r="F177" t="s">
        <v>19</v>
      </c>
      <c r="G177">
        <f>HYPERLINK("http://clipc-services.ceda.ac.uk/dreq/u/59cc645887ed0a072bb553283e15f732.html","web")</f>
        <v>0</v>
      </c>
      <c r="H177" t="s">
        <v>944</v>
      </c>
      <c r="I177" t="s">
        <v>21</v>
      </c>
      <c r="J177" t="s">
        <v>945</v>
      </c>
      <c r="K177" t="s">
        <v>946</v>
      </c>
      <c r="L177" t="s">
        <v>24</v>
      </c>
      <c r="M177" t="s">
        <v>19</v>
      </c>
      <c r="N177" t="s">
        <v>947</v>
      </c>
    </row>
    <row r="178" spans="1:14">
      <c r="A178" t="s">
        <v>420</v>
      </c>
      <c r="B178" t="s">
        <v>948</v>
      </c>
      <c r="C178" t="s">
        <v>16</v>
      </c>
      <c r="D178" t="s">
        <v>422</v>
      </c>
      <c r="E178" t="s">
        <v>949</v>
      </c>
      <c r="F178" t="s">
        <v>431</v>
      </c>
      <c r="G178">
        <f>HYPERLINK("http://clipc-services.ceda.ac.uk/dreq/u/5a887812bc95f4c8377af5051a2566fe.html","web")</f>
        <v>0</v>
      </c>
      <c r="H178" t="s">
        <v>950</v>
      </c>
      <c r="I178" t="s">
        <v>21</v>
      </c>
      <c r="J178" t="s">
        <v>951</v>
      </c>
      <c r="K178" t="s">
        <v>572</v>
      </c>
      <c r="L178" t="s">
        <v>435</v>
      </c>
      <c r="M178" t="s">
        <v>431</v>
      </c>
      <c r="N178" t="s">
        <v>952</v>
      </c>
    </row>
    <row r="179" spans="1:14">
      <c r="A179" t="s">
        <v>420</v>
      </c>
      <c r="B179" t="s">
        <v>953</v>
      </c>
      <c r="C179" t="s">
        <v>16</v>
      </c>
      <c r="D179" t="s">
        <v>38</v>
      </c>
      <c r="E179" t="s">
        <v>954</v>
      </c>
      <c r="F179" t="s">
        <v>431</v>
      </c>
      <c r="G179">
        <f>HYPERLINK("http://clipc-services.ceda.ac.uk/dreq/u/c96dc79e-c5f0-11e6-ac20-5404a60d96b5.html","web")</f>
        <v>0</v>
      </c>
      <c r="H179" t="s">
        <v>955</v>
      </c>
      <c r="I179" t="s">
        <v>21</v>
      </c>
      <c r="J179" t="s">
        <v>951</v>
      </c>
      <c r="K179" t="s">
        <v>467</v>
      </c>
      <c r="L179" t="s">
        <v>435</v>
      </c>
      <c r="M179" t="s">
        <v>431</v>
      </c>
      <c r="N179" t="s">
        <v>956</v>
      </c>
    </row>
    <row r="180" spans="1:14">
      <c r="A180" t="s">
        <v>420</v>
      </c>
      <c r="B180" t="s">
        <v>957</v>
      </c>
      <c r="C180" t="s">
        <v>16</v>
      </c>
      <c r="D180" t="s">
        <v>422</v>
      </c>
      <c r="E180" t="s">
        <v>958</v>
      </c>
      <c r="F180" t="s">
        <v>431</v>
      </c>
      <c r="G180">
        <f>HYPERLINK("http://clipc-services.ceda.ac.uk/dreq/u/96acc3ed79b2bd5e4dbd613a4c27720f.html","web")</f>
        <v>0</v>
      </c>
      <c r="H180" t="s">
        <v>959</v>
      </c>
      <c r="I180" t="s">
        <v>21</v>
      </c>
      <c r="J180" t="s">
        <v>951</v>
      </c>
      <c r="K180" t="s">
        <v>491</v>
      </c>
      <c r="L180" t="s">
        <v>435</v>
      </c>
      <c r="M180" t="s">
        <v>431</v>
      </c>
      <c r="N180" t="s">
        <v>960</v>
      </c>
    </row>
    <row r="181" spans="1:14">
      <c r="A181" t="s">
        <v>420</v>
      </c>
      <c r="B181" t="s">
        <v>961</v>
      </c>
      <c r="C181" t="s">
        <v>28</v>
      </c>
      <c r="D181" t="s">
        <v>38</v>
      </c>
      <c r="E181" t="s">
        <v>962</v>
      </c>
      <c r="F181" t="s">
        <v>431</v>
      </c>
      <c r="G181">
        <f>HYPERLINK("http://clipc-services.ceda.ac.uk/dreq/u/c96db98e-c5f0-11e6-ac20-5404a60d96b5.html","web")</f>
        <v>0</v>
      </c>
      <c r="H181" t="s">
        <v>963</v>
      </c>
      <c r="I181" t="s">
        <v>21</v>
      </c>
      <c r="J181" t="s">
        <v>951</v>
      </c>
      <c r="K181" t="s">
        <v>513</v>
      </c>
      <c r="L181" t="s">
        <v>435</v>
      </c>
      <c r="M181" t="s">
        <v>431</v>
      </c>
      <c r="N181" t="s">
        <v>960</v>
      </c>
    </row>
    <row r="182" spans="1:14">
      <c r="A182" t="s">
        <v>420</v>
      </c>
      <c r="B182" t="s">
        <v>964</v>
      </c>
      <c r="C182" t="s">
        <v>16</v>
      </c>
      <c r="D182" t="s">
        <v>422</v>
      </c>
      <c r="E182" t="s">
        <v>965</v>
      </c>
      <c r="F182" t="s">
        <v>431</v>
      </c>
      <c r="G182">
        <f>HYPERLINK("http://clipc-services.ceda.ac.uk/dreq/u/c2705ac5fb7561a3aa5744c1163bf2d7.html","web")</f>
        <v>0</v>
      </c>
      <c r="H182" t="s">
        <v>966</v>
      </c>
      <c r="I182" t="s">
        <v>21</v>
      </c>
      <c r="J182" t="s">
        <v>967</v>
      </c>
      <c r="K182" t="s">
        <v>491</v>
      </c>
      <c r="L182" t="s">
        <v>435</v>
      </c>
      <c r="M182" t="s">
        <v>431</v>
      </c>
      <c r="N182" t="s">
        <v>968</v>
      </c>
    </row>
    <row r="183" spans="1:14">
      <c r="A183" t="s">
        <v>420</v>
      </c>
      <c r="B183" t="s">
        <v>969</v>
      </c>
      <c r="C183" t="s">
        <v>201</v>
      </c>
      <c r="D183" t="s">
        <v>38</v>
      </c>
      <c r="E183" t="s">
        <v>970</v>
      </c>
      <c r="F183" t="s">
        <v>431</v>
      </c>
      <c r="G183">
        <f>HYPERLINK("http://clipc-services.ceda.ac.uk/dreq/u/01f509c26cfbd2f30789d91b026e0016.html","web")</f>
        <v>0</v>
      </c>
      <c r="H183" t="s">
        <v>971</v>
      </c>
      <c r="I183" t="s">
        <v>21</v>
      </c>
      <c r="J183" t="s">
        <v>972</v>
      </c>
      <c r="K183" t="s">
        <v>619</v>
      </c>
      <c r="L183" t="s">
        <v>435</v>
      </c>
      <c r="M183" t="s">
        <v>431</v>
      </c>
      <c r="N183" t="s">
        <v>973</v>
      </c>
    </row>
    <row r="184" spans="1:14">
      <c r="A184" t="s">
        <v>420</v>
      </c>
      <c r="B184" t="s">
        <v>974</v>
      </c>
      <c r="C184" t="s">
        <v>28</v>
      </c>
      <c r="D184" t="s">
        <v>38</v>
      </c>
      <c r="E184" t="s">
        <v>975</v>
      </c>
      <c r="F184" t="s">
        <v>431</v>
      </c>
      <c r="G184">
        <f>HYPERLINK("http://clipc-services.ceda.ac.uk/dreq/u/c96d9daa-c5f0-11e6-ac20-5404a60d96b5.html","web")</f>
        <v>0</v>
      </c>
      <c r="H184" t="s">
        <v>976</v>
      </c>
      <c r="I184" t="s">
        <v>21</v>
      </c>
      <c r="J184" t="s">
        <v>967</v>
      </c>
      <c r="K184" t="s">
        <v>513</v>
      </c>
      <c r="L184" t="s">
        <v>435</v>
      </c>
      <c r="M184" t="s">
        <v>431</v>
      </c>
      <c r="N184" t="s">
        <v>968</v>
      </c>
    </row>
    <row r="185" spans="1:14">
      <c r="A185" t="s">
        <v>420</v>
      </c>
      <c r="B185" t="s">
        <v>977</v>
      </c>
      <c r="C185" t="s">
        <v>28</v>
      </c>
      <c r="D185" t="s">
        <v>422</v>
      </c>
      <c r="E185" t="s">
        <v>978</v>
      </c>
      <c r="F185" t="s">
        <v>979</v>
      </c>
      <c r="G185">
        <f>HYPERLINK("http://clipc-services.ceda.ac.uk/dreq/u/d4eeac2e-b00f-11e6-a1f0-ac72891c3257.html","web")</f>
        <v>0</v>
      </c>
      <c r="H185" t="s">
        <v>980</v>
      </c>
      <c r="I185" t="s">
        <v>21</v>
      </c>
      <c r="J185" t="s">
        <v>981</v>
      </c>
      <c r="K185" t="s">
        <v>467</v>
      </c>
      <c r="L185" t="s">
        <v>24</v>
      </c>
      <c r="M185" t="s">
        <v>979</v>
      </c>
      <c r="N185" t="s">
        <v>982</v>
      </c>
    </row>
    <row r="186" spans="1:14">
      <c r="A186" t="s">
        <v>420</v>
      </c>
      <c r="B186" t="s">
        <v>983</v>
      </c>
      <c r="C186" t="s">
        <v>28</v>
      </c>
      <c r="D186" t="s">
        <v>38</v>
      </c>
      <c r="E186" t="s">
        <v>984</v>
      </c>
      <c r="F186" t="s">
        <v>581</v>
      </c>
      <c r="G186">
        <f>HYPERLINK("http://clipc-services.ceda.ac.uk/dreq/u/3ed1667233f6ae4fe3c5ff93cd2de2f3.html","web")</f>
        <v>0</v>
      </c>
      <c r="H186" t="s">
        <v>985</v>
      </c>
      <c r="I186" t="s">
        <v>21</v>
      </c>
      <c r="J186" t="s">
        <v>986</v>
      </c>
      <c r="K186" t="s">
        <v>987</v>
      </c>
      <c r="L186" t="s">
        <v>24</v>
      </c>
      <c r="M186" t="s">
        <v>581</v>
      </c>
      <c r="N186" t="s">
        <v>988</v>
      </c>
    </row>
    <row r="187" spans="1:14">
      <c r="A187" t="s">
        <v>420</v>
      </c>
      <c r="B187" t="s">
        <v>989</v>
      </c>
      <c r="C187" t="s">
        <v>16</v>
      </c>
      <c r="D187" t="s">
        <v>422</v>
      </c>
      <c r="E187" t="s">
        <v>990</v>
      </c>
      <c r="F187">
        <v>1</v>
      </c>
      <c r="G187">
        <f>HYPERLINK("http://clipc-services.ceda.ac.uk/dreq/u/b50af258aff9f9ca19fdf1ec4b039a55.html","web")</f>
        <v>0</v>
      </c>
      <c r="H187" t="s">
        <v>991</v>
      </c>
      <c r="I187" t="s">
        <v>21</v>
      </c>
      <c r="J187" t="s">
        <v>992</v>
      </c>
      <c r="K187" t="s">
        <v>993</v>
      </c>
      <c r="L187" t="s">
        <v>435</v>
      </c>
      <c r="M187">
        <v>1</v>
      </c>
      <c r="N187" t="s">
        <v>994</v>
      </c>
    </row>
    <row r="188" spans="1:14">
      <c r="A188" t="s">
        <v>420</v>
      </c>
      <c r="B188" t="s">
        <v>995</v>
      </c>
      <c r="C188" t="s">
        <v>16</v>
      </c>
      <c r="D188" t="s">
        <v>38</v>
      </c>
      <c r="E188" t="s">
        <v>996</v>
      </c>
      <c r="F188">
        <v>1</v>
      </c>
      <c r="G188">
        <f>HYPERLINK("http://clipc-services.ceda.ac.uk/dreq/u/c96d71ae-c5f0-11e6-ac20-5404a60d96b5.html","web")</f>
        <v>0</v>
      </c>
      <c r="H188" t="s">
        <v>997</v>
      </c>
      <c r="I188" t="s">
        <v>21</v>
      </c>
      <c r="J188" t="s">
        <v>998</v>
      </c>
      <c r="K188" t="s">
        <v>467</v>
      </c>
      <c r="L188" t="s">
        <v>435</v>
      </c>
      <c r="M188">
        <v>1</v>
      </c>
      <c r="N188" t="s">
        <v>994</v>
      </c>
    </row>
    <row r="189" spans="1:14">
      <c r="A189" t="s">
        <v>420</v>
      </c>
      <c r="B189" t="s">
        <v>999</v>
      </c>
      <c r="C189" t="s">
        <v>201</v>
      </c>
      <c r="D189" t="s">
        <v>422</v>
      </c>
      <c r="E189" t="s">
        <v>1000</v>
      </c>
      <c r="F189" t="s">
        <v>431</v>
      </c>
      <c r="G189">
        <f>HYPERLINK("http://clipc-services.ceda.ac.uk/dreq/u/54eb2f6651441ff52f9aea4d43a83024.html","web")</f>
        <v>0</v>
      </c>
      <c r="H189" t="s">
        <v>1001</v>
      </c>
      <c r="I189" t="s">
        <v>21</v>
      </c>
      <c r="J189" t="s">
        <v>1002</v>
      </c>
      <c r="K189" t="s">
        <v>1003</v>
      </c>
      <c r="L189" t="s">
        <v>435</v>
      </c>
      <c r="M189" t="s">
        <v>431</v>
      </c>
      <c r="N189" t="s">
        <v>1004</v>
      </c>
    </row>
    <row r="190" spans="1:14">
      <c r="A190" t="s">
        <v>420</v>
      </c>
      <c r="B190" t="s">
        <v>1005</v>
      </c>
      <c r="C190" t="s">
        <v>16</v>
      </c>
      <c r="D190" t="s">
        <v>38</v>
      </c>
      <c r="E190" t="s">
        <v>1006</v>
      </c>
      <c r="F190" t="s">
        <v>431</v>
      </c>
      <c r="G190">
        <f>HYPERLINK("http://clipc-services.ceda.ac.uk/dreq/u/314e3eb73c9ccbdd132899317d87d856.html","web")</f>
        <v>0</v>
      </c>
      <c r="H190" t="s">
        <v>1007</v>
      </c>
      <c r="I190" t="s">
        <v>21</v>
      </c>
      <c r="J190" t="s">
        <v>1008</v>
      </c>
      <c r="K190" t="s">
        <v>513</v>
      </c>
      <c r="L190" t="s">
        <v>435</v>
      </c>
      <c r="M190" t="s">
        <v>431</v>
      </c>
      <c r="N190" t="s">
        <v>1004</v>
      </c>
    </row>
    <row r="191" spans="1:14">
      <c r="A191" t="s">
        <v>420</v>
      </c>
      <c r="B191" t="s">
        <v>1009</v>
      </c>
      <c r="C191" t="s">
        <v>16</v>
      </c>
      <c r="D191" t="s">
        <v>422</v>
      </c>
      <c r="E191" t="s">
        <v>1010</v>
      </c>
      <c r="F191" t="s">
        <v>431</v>
      </c>
      <c r="G191">
        <f>HYPERLINK("http://clipc-services.ceda.ac.uk/dreq/u/5880ab9386066d5d620774a46840cc25.html","web")</f>
        <v>0</v>
      </c>
      <c r="H191" t="s">
        <v>1011</v>
      </c>
      <c r="I191" t="s">
        <v>21</v>
      </c>
      <c r="J191" t="s">
        <v>1012</v>
      </c>
      <c r="K191" t="s">
        <v>467</v>
      </c>
      <c r="L191" t="s">
        <v>435</v>
      </c>
      <c r="M191" t="s">
        <v>431</v>
      </c>
      <c r="N191" t="s">
        <v>1013</v>
      </c>
    </row>
    <row r="192" spans="1:14">
      <c r="A192" t="s">
        <v>420</v>
      </c>
      <c r="B192" t="s">
        <v>1014</v>
      </c>
      <c r="C192" t="s">
        <v>201</v>
      </c>
      <c r="D192" t="s">
        <v>38</v>
      </c>
      <c r="E192" t="s">
        <v>1015</v>
      </c>
      <c r="F192" t="s">
        <v>431</v>
      </c>
      <c r="G192">
        <f>HYPERLINK("http://clipc-services.ceda.ac.uk/dreq/u/c96ce1ee-c5f0-11e6-ac20-5404a60d96b5.html","web")</f>
        <v>0</v>
      </c>
      <c r="H192" t="s">
        <v>1016</v>
      </c>
      <c r="I192" t="s">
        <v>21</v>
      </c>
      <c r="J192" t="s">
        <v>1012</v>
      </c>
      <c r="K192" t="s">
        <v>467</v>
      </c>
      <c r="L192" t="s">
        <v>435</v>
      </c>
      <c r="M192" t="s">
        <v>431</v>
      </c>
      <c r="N192" t="s">
        <v>1017</v>
      </c>
    </row>
    <row r="193" spans="1:14">
      <c r="A193" t="s">
        <v>420</v>
      </c>
      <c r="B193" t="s">
        <v>1018</v>
      </c>
      <c r="C193" t="s">
        <v>201</v>
      </c>
      <c r="D193" t="s">
        <v>422</v>
      </c>
      <c r="E193" t="s">
        <v>1019</v>
      </c>
      <c r="F193" t="s">
        <v>431</v>
      </c>
      <c r="G193">
        <f>HYPERLINK("http://clipc-services.ceda.ac.uk/dreq/u/87f531b94bd9ca68e33e89d7e3e81be4.html","web")</f>
        <v>0</v>
      </c>
      <c r="H193" t="s">
        <v>1020</v>
      </c>
      <c r="I193" t="s">
        <v>21</v>
      </c>
      <c r="J193" t="s">
        <v>1021</v>
      </c>
      <c r="K193" t="s">
        <v>434</v>
      </c>
      <c r="L193" t="s">
        <v>435</v>
      </c>
      <c r="M193" t="s">
        <v>431</v>
      </c>
      <c r="N193" t="s">
        <v>1022</v>
      </c>
    </row>
    <row r="194" spans="1:14">
      <c r="A194" t="s">
        <v>420</v>
      </c>
      <c r="B194" t="s">
        <v>1023</v>
      </c>
      <c r="C194" t="s">
        <v>16</v>
      </c>
      <c r="D194" t="s">
        <v>38</v>
      </c>
      <c r="E194" t="s">
        <v>1024</v>
      </c>
      <c r="F194" t="s">
        <v>431</v>
      </c>
      <c r="G194">
        <f>HYPERLINK("http://clipc-services.ceda.ac.uk/dreq/u/c96ea5e2-c5f0-11e6-ac20-5404a60d96b5.html","web")</f>
        <v>0</v>
      </c>
      <c r="H194" t="s">
        <v>1025</v>
      </c>
      <c r="I194" t="s">
        <v>21</v>
      </c>
      <c r="J194" t="s">
        <v>1021</v>
      </c>
      <c r="K194" t="s">
        <v>441</v>
      </c>
      <c r="L194" t="s">
        <v>435</v>
      </c>
      <c r="M194" t="s">
        <v>431</v>
      </c>
      <c r="N194" t="s">
        <v>1022</v>
      </c>
    </row>
    <row r="195" spans="1:14">
      <c r="A195" t="s">
        <v>420</v>
      </c>
      <c r="B195" t="s">
        <v>1026</v>
      </c>
      <c r="C195" t="s">
        <v>16</v>
      </c>
      <c r="D195" t="s">
        <v>422</v>
      </c>
      <c r="E195" t="s">
        <v>1027</v>
      </c>
      <c r="F195" t="s">
        <v>431</v>
      </c>
      <c r="G195">
        <f>HYPERLINK("http://clipc-services.ceda.ac.uk/dreq/u/9a7cb6c8481412d525ba1101f82b892d.html","web")</f>
        <v>0</v>
      </c>
      <c r="H195" t="s">
        <v>1001</v>
      </c>
      <c r="I195" t="s">
        <v>21</v>
      </c>
      <c r="J195" t="s">
        <v>1028</v>
      </c>
      <c r="K195" t="s">
        <v>467</v>
      </c>
      <c r="L195" t="s">
        <v>435</v>
      </c>
      <c r="M195" t="s">
        <v>431</v>
      </c>
      <c r="N195" t="s">
        <v>1029</v>
      </c>
    </row>
    <row r="196" spans="1:14">
      <c r="A196" t="s">
        <v>420</v>
      </c>
      <c r="B196" t="s">
        <v>1030</v>
      </c>
      <c r="C196" t="s">
        <v>201</v>
      </c>
      <c r="D196" t="s">
        <v>38</v>
      </c>
      <c r="E196" t="s">
        <v>1031</v>
      </c>
      <c r="F196" t="s">
        <v>431</v>
      </c>
      <c r="G196">
        <f>HYPERLINK("http://clipc-services.ceda.ac.uk/dreq/u/c96d1a6a-c5f0-11e6-ac20-5404a60d96b5.html","web")</f>
        <v>0</v>
      </c>
      <c r="H196" t="s">
        <v>1007</v>
      </c>
      <c r="I196" t="s">
        <v>21</v>
      </c>
      <c r="J196" t="s">
        <v>1028</v>
      </c>
      <c r="K196" t="s">
        <v>467</v>
      </c>
      <c r="L196" t="s">
        <v>435</v>
      </c>
      <c r="M196" t="s">
        <v>431</v>
      </c>
      <c r="N196" t="s">
        <v>1032</v>
      </c>
    </row>
    <row r="197" spans="1:14">
      <c r="A197" t="s">
        <v>420</v>
      </c>
      <c r="B197" t="s">
        <v>1033</v>
      </c>
      <c r="C197" t="s">
        <v>201</v>
      </c>
      <c r="D197" t="s">
        <v>422</v>
      </c>
      <c r="E197" t="s">
        <v>1034</v>
      </c>
      <c r="F197" t="s">
        <v>431</v>
      </c>
      <c r="G197">
        <f>HYPERLINK("http://clipc-services.ceda.ac.uk/dreq/u/6cde3055df67931d84608fc5b7694f65.html","web")</f>
        <v>0</v>
      </c>
      <c r="H197" t="s">
        <v>1035</v>
      </c>
      <c r="I197" t="s">
        <v>21</v>
      </c>
      <c r="J197" t="s">
        <v>1036</v>
      </c>
      <c r="K197" t="s">
        <v>434</v>
      </c>
      <c r="L197" t="s">
        <v>435</v>
      </c>
      <c r="M197" t="s">
        <v>431</v>
      </c>
      <c r="N197" t="s">
        <v>1037</v>
      </c>
    </row>
    <row r="198" spans="1:14">
      <c r="A198" t="s">
        <v>420</v>
      </c>
      <c r="B198" t="s">
        <v>1038</v>
      </c>
      <c r="C198" t="s">
        <v>16</v>
      </c>
      <c r="D198" t="s">
        <v>38</v>
      </c>
      <c r="E198" t="s">
        <v>1039</v>
      </c>
      <c r="F198" t="s">
        <v>431</v>
      </c>
      <c r="G198">
        <f>HYPERLINK("http://clipc-services.ceda.ac.uk/dreq/u/c96eb3e8-c5f0-11e6-ac20-5404a60d96b5.html","web")</f>
        <v>0</v>
      </c>
      <c r="H198" t="s">
        <v>1040</v>
      </c>
      <c r="I198" t="s">
        <v>21</v>
      </c>
      <c r="J198" t="s">
        <v>1036</v>
      </c>
      <c r="K198" t="s">
        <v>441</v>
      </c>
      <c r="L198" t="s">
        <v>435</v>
      </c>
      <c r="M198" t="s">
        <v>431</v>
      </c>
      <c r="N198" t="s">
        <v>1037</v>
      </c>
    </row>
    <row r="199" spans="1:14">
      <c r="A199" t="s">
        <v>420</v>
      </c>
      <c r="B199" t="s">
        <v>1041</v>
      </c>
      <c r="C199" t="s">
        <v>16</v>
      </c>
      <c r="D199" t="s">
        <v>422</v>
      </c>
      <c r="E199" t="s">
        <v>1042</v>
      </c>
      <c r="F199" t="s">
        <v>431</v>
      </c>
      <c r="G199">
        <f>HYPERLINK("http://clipc-services.ceda.ac.uk/dreq/u/72366111fcb3d2a0d14dc917e8fca8eb.html","web")</f>
        <v>0</v>
      </c>
      <c r="H199" t="s">
        <v>1043</v>
      </c>
      <c r="I199" t="s">
        <v>21</v>
      </c>
      <c r="J199" t="s">
        <v>1044</v>
      </c>
      <c r="K199" t="s">
        <v>558</v>
      </c>
      <c r="L199" t="s">
        <v>435</v>
      </c>
      <c r="M199" t="s">
        <v>431</v>
      </c>
      <c r="N199" t="s">
        <v>1045</v>
      </c>
    </row>
    <row r="200" spans="1:14">
      <c r="A200" t="s">
        <v>420</v>
      </c>
      <c r="B200" t="s">
        <v>1046</v>
      </c>
      <c r="C200" t="s">
        <v>28</v>
      </c>
      <c r="D200" t="s">
        <v>38</v>
      </c>
      <c r="E200" t="s">
        <v>1047</v>
      </c>
      <c r="F200" t="s">
        <v>431</v>
      </c>
      <c r="G200">
        <f>HYPERLINK("http://clipc-services.ceda.ac.uk/dreq/u/c96dd518-c5f0-11e6-ac20-5404a60d96b5.html","web")</f>
        <v>0</v>
      </c>
      <c r="H200" t="s">
        <v>1048</v>
      </c>
      <c r="I200" t="s">
        <v>21</v>
      </c>
      <c r="J200" t="s">
        <v>1044</v>
      </c>
      <c r="K200" t="s">
        <v>467</v>
      </c>
      <c r="L200" t="s">
        <v>435</v>
      </c>
      <c r="M200" t="s">
        <v>431</v>
      </c>
      <c r="N200" t="s">
        <v>1045</v>
      </c>
    </row>
    <row r="201" spans="1:14">
      <c r="A201" t="s">
        <v>420</v>
      </c>
      <c r="B201" t="s">
        <v>1049</v>
      </c>
      <c r="C201" t="s">
        <v>201</v>
      </c>
      <c r="D201" t="s">
        <v>422</v>
      </c>
      <c r="E201" t="s">
        <v>1050</v>
      </c>
      <c r="F201" t="s">
        <v>729</v>
      </c>
      <c r="G201">
        <f>HYPERLINK("http://clipc-services.ceda.ac.uk/dreq/u/41cef8aa37d1f0164ae061f293d4361c.html","web")</f>
        <v>0</v>
      </c>
      <c r="H201" t="s">
        <v>1051</v>
      </c>
      <c r="I201" t="s">
        <v>21</v>
      </c>
      <c r="J201" t="s">
        <v>1052</v>
      </c>
      <c r="K201" t="s">
        <v>467</v>
      </c>
      <c r="L201" t="s">
        <v>435</v>
      </c>
      <c r="M201" t="s">
        <v>729</v>
      </c>
      <c r="N201" t="s">
        <v>1053</v>
      </c>
    </row>
    <row r="202" spans="1:14">
      <c r="A202" t="s">
        <v>420</v>
      </c>
      <c r="B202" t="s">
        <v>1054</v>
      </c>
      <c r="C202" t="s">
        <v>16</v>
      </c>
      <c r="D202" t="s">
        <v>579</v>
      </c>
      <c r="E202" t="s">
        <v>1050</v>
      </c>
      <c r="F202" t="s">
        <v>729</v>
      </c>
      <c r="G202">
        <f>HYPERLINK("http://clipc-services.ceda.ac.uk/dreq/u/8416dffa-90ce-11e8-8e2e-a44cc8186c64.html","web")</f>
        <v>0</v>
      </c>
      <c r="H202" t="s">
        <v>1055</v>
      </c>
      <c r="I202" t="s">
        <v>21</v>
      </c>
      <c r="J202" t="s">
        <v>1052</v>
      </c>
      <c r="K202" t="s">
        <v>572</v>
      </c>
      <c r="L202" t="s">
        <v>435</v>
      </c>
      <c r="M202" t="s">
        <v>729</v>
      </c>
      <c r="N202" t="s">
        <v>1053</v>
      </c>
    </row>
    <row r="203" spans="1:14">
      <c r="A203" t="s">
        <v>420</v>
      </c>
      <c r="B203" t="s">
        <v>1056</v>
      </c>
      <c r="C203" t="s">
        <v>28</v>
      </c>
      <c r="D203" t="s">
        <v>38</v>
      </c>
      <c r="E203" t="s">
        <v>1057</v>
      </c>
      <c r="F203" t="s">
        <v>581</v>
      </c>
      <c r="G203">
        <f>HYPERLINK("http://clipc-services.ceda.ac.uk/dreq/u/d94709e6b579bccccccc914ba3531feb.html","web")</f>
        <v>0</v>
      </c>
      <c r="H203" t="s">
        <v>985</v>
      </c>
      <c r="I203" t="s">
        <v>21</v>
      </c>
      <c r="J203" t="s">
        <v>1058</v>
      </c>
      <c r="K203" t="s">
        <v>987</v>
      </c>
      <c r="L203" t="s">
        <v>24</v>
      </c>
      <c r="M203" t="s">
        <v>581</v>
      </c>
      <c r="N203" t="s">
        <v>1059</v>
      </c>
    </row>
    <row r="204" spans="1:14">
      <c r="A204" t="s">
        <v>420</v>
      </c>
      <c r="B204" t="s">
        <v>1060</v>
      </c>
      <c r="C204" t="s">
        <v>16</v>
      </c>
      <c r="D204" t="s">
        <v>38</v>
      </c>
      <c r="E204" t="s">
        <v>1061</v>
      </c>
      <c r="F204" t="s">
        <v>171</v>
      </c>
      <c r="G204">
        <f>HYPERLINK("http://clipc-services.ceda.ac.uk/dreq/u/b16fab4e82317586d4bc72d786a6a1db.html","web")</f>
        <v>0</v>
      </c>
      <c r="H204" t="s">
        <v>1062</v>
      </c>
      <c r="I204" t="s">
        <v>21</v>
      </c>
      <c r="J204" t="s">
        <v>758</v>
      </c>
      <c r="K204" t="s">
        <v>619</v>
      </c>
      <c r="L204" t="s">
        <v>24</v>
      </c>
      <c r="M204" t="s">
        <v>171</v>
      </c>
      <c r="N204" t="s">
        <v>1063</v>
      </c>
    </row>
    <row r="205" spans="1:14">
      <c r="A205" t="s">
        <v>420</v>
      </c>
      <c r="B205" t="s">
        <v>1064</v>
      </c>
      <c r="C205" t="s">
        <v>16</v>
      </c>
      <c r="D205" t="s">
        <v>422</v>
      </c>
      <c r="E205" t="s">
        <v>1065</v>
      </c>
      <c r="F205" t="s">
        <v>171</v>
      </c>
      <c r="G205">
        <f>HYPERLINK("http://clipc-services.ceda.ac.uk/dreq/u/749bcc09df8dd3d042e7954b42970906.html","web")</f>
        <v>0</v>
      </c>
      <c r="H205" t="s">
        <v>1066</v>
      </c>
      <c r="I205" t="s">
        <v>21</v>
      </c>
      <c r="J205" t="s">
        <v>1067</v>
      </c>
      <c r="K205" t="s">
        <v>441</v>
      </c>
      <c r="L205" t="s">
        <v>24</v>
      </c>
      <c r="M205" t="s">
        <v>171</v>
      </c>
      <c r="N205" t="s">
        <v>1068</v>
      </c>
    </row>
    <row r="206" spans="1:14">
      <c r="A206" t="s">
        <v>420</v>
      </c>
      <c r="B206" t="s">
        <v>1069</v>
      </c>
      <c r="C206" t="s">
        <v>16</v>
      </c>
      <c r="D206" t="s">
        <v>38</v>
      </c>
      <c r="E206" t="s">
        <v>1070</v>
      </c>
      <c r="F206" t="s">
        <v>171</v>
      </c>
      <c r="G206">
        <f>HYPERLINK("http://clipc-services.ceda.ac.uk/dreq/u/1ace52320dc433dd648bb3dfbfc79935.html","web")</f>
        <v>0</v>
      </c>
      <c r="H206" t="s">
        <v>1071</v>
      </c>
      <c r="I206" t="s">
        <v>21</v>
      </c>
      <c r="J206" t="s">
        <v>1072</v>
      </c>
      <c r="K206" t="s">
        <v>619</v>
      </c>
      <c r="L206" t="s">
        <v>24</v>
      </c>
      <c r="M206" t="s">
        <v>171</v>
      </c>
      <c r="N206" t="s">
        <v>1073</v>
      </c>
    </row>
    <row r="207" spans="1:14">
      <c r="A207" t="s">
        <v>420</v>
      </c>
      <c r="B207" t="s">
        <v>1074</v>
      </c>
      <c r="C207" t="s">
        <v>16</v>
      </c>
      <c r="D207" t="s">
        <v>422</v>
      </c>
      <c r="E207" t="s">
        <v>1075</v>
      </c>
      <c r="F207" t="s">
        <v>431</v>
      </c>
      <c r="G207">
        <f>HYPERLINK("http://clipc-services.ceda.ac.uk/dreq/u/82b5e315b8be441e26a9c45e95fe7573.html","web")</f>
        <v>0</v>
      </c>
      <c r="H207" t="s">
        <v>1076</v>
      </c>
      <c r="I207" t="s">
        <v>21</v>
      </c>
      <c r="J207" t="s">
        <v>1077</v>
      </c>
      <c r="K207" t="s">
        <v>484</v>
      </c>
      <c r="L207" t="s">
        <v>24</v>
      </c>
      <c r="M207" t="s">
        <v>431</v>
      </c>
      <c r="N207" t="s">
        <v>1078</v>
      </c>
    </row>
    <row r="208" spans="1:14">
      <c r="A208" t="s">
        <v>420</v>
      </c>
      <c r="B208" t="s">
        <v>37</v>
      </c>
      <c r="C208" t="s">
        <v>28</v>
      </c>
      <c r="D208" t="s">
        <v>38</v>
      </c>
      <c r="E208" t="s">
        <v>39</v>
      </c>
      <c r="F208" t="s">
        <v>40</v>
      </c>
      <c r="G208">
        <f>HYPERLINK("http://clipc-services.ceda.ac.uk/dreq/u/8d0958ad5a4eabc97fc1896e847b00fe.html","web")</f>
        <v>0</v>
      </c>
      <c r="H208" t="s">
        <v>41</v>
      </c>
      <c r="I208" t="s">
        <v>21</v>
      </c>
      <c r="J208" t="s">
        <v>42</v>
      </c>
      <c r="K208" t="s">
        <v>677</v>
      </c>
      <c r="L208" t="s">
        <v>24</v>
      </c>
      <c r="M208" t="s">
        <v>40</v>
      </c>
      <c r="N208" t="s">
        <v>44</v>
      </c>
    </row>
    <row r="209" spans="1:14">
      <c r="A209" t="s">
        <v>420</v>
      </c>
      <c r="B209" t="s">
        <v>1079</v>
      </c>
      <c r="C209" t="s">
        <v>201</v>
      </c>
      <c r="D209" t="s">
        <v>422</v>
      </c>
      <c r="E209" t="s">
        <v>1080</v>
      </c>
      <c r="F209" t="s">
        <v>431</v>
      </c>
      <c r="G209">
        <f>HYPERLINK("http://clipc-services.ceda.ac.uk/dreq/u/56a5fa6dd6b7c4aa711f362d5d5414f6.html","web")</f>
        <v>0</v>
      </c>
      <c r="H209" t="s">
        <v>1081</v>
      </c>
      <c r="I209" t="s">
        <v>21</v>
      </c>
      <c r="J209" t="s">
        <v>1082</v>
      </c>
      <c r="K209" t="s">
        <v>491</v>
      </c>
      <c r="L209" t="s">
        <v>435</v>
      </c>
      <c r="M209" t="s">
        <v>431</v>
      </c>
      <c r="N209" t="s">
        <v>1083</v>
      </c>
    </row>
    <row r="210" spans="1:14">
      <c r="A210" t="s">
        <v>420</v>
      </c>
      <c r="B210" t="s">
        <v>1084</v>
      </c>
      <c r="C210" t="s">
        <v>16</v>
      </c>
      <c r="D210" t="s">
        <v>38</v>
      </c>
      <c r="E210" t="s">
        <v>1085</v>
      </c>
      <c r="F210" t="s">
        <v>431</v>
      </c>
      <c r="G210">
        <f>HYPERLINK("http://clipc-services.ceda.ac.uk/dreq/u/c96df0fc-c5f0-11e6-ac20-5404a60d96b5.html","web")</f>
        <v>0</v>
      </c>
      <c r="H210" t="s">
        <v>1086</v>
      </c>
      <c r="I210" t="s">
        <v>21</v>
      </c>
      <c r="J210" t="s">
        <v>1082</v>
      </c>
      <c r="K210" t="s">
        <v>513</v>
      </c>
      <c r="L210" t="s">
        <v>435</v>
      </c>
      <c r="M210" t="s">
        <v>431</v>
      </c>
      <c r="N210" t="s">
        <v>1083</v>
      </c>
    </row>
    <row r="211" spans="1:14">
      <c r="A211" t="s">
        <v>420</v>
      </c>
      <c r="B211" t="s">
        <v>1087</v>
      </c>
      <c r="C211" t="s">
        <v>16</v>
      </c>
      <c r="D211" t="s">
        <v>17</v>
      </c>
      <c r="E211" t="s">
        <v>1088</v>
      </c>
      <c r="F211" t="s">
        <v>19</v>
      </c>
      <c r="G211">
        <f>HYPERLINK("http://clipc-services.ceda.ac.uk/dreq/u/9e64d2aadc59070a13e29979b6c9541b.html","web")</f>
        <v>0</v>
      </c>
      <c r="H211" t="s">
        <v>1089</v>
      </c>
      <c r="I211" t="s">
        <v>21</v>
      </c>
      <c r="J211" t="s">
        <v>810</v>
      </c>
      <c r="K211" t="s">
        <v>619</v>
      </c>
      <c r="L211" t="s">
        <v>24</v>
      </c>
      <c r="M211" t="s">
        <v>19</v>
      </c>
      <c r="N211" t="s">
        <v>1090</v>
      </c>
    </row>
    <row r="212" spans="1:14">
      <c r="A212" t="s">
        <v>420</v>
      </c>
      <c r="B212" t="s">
        <v>1091</v>
      </c>
      <c r="C212" t="s">
        <v>16</v>
      </c>
      <c r="D212" t="s">
        <v>17</v>
      </c>
      <c r="E212" t="s">
        <v>1092</v>
      </c>
      <c r="F212" t="s">
        <v>19</v>
      </c>
      <c r="G212">
        <f>HYPERLINK("http://clipc-services.ceda.ac.uk/dreq/u/d0f7da4833bd90226f521ddbf0dbcb63.html","web")</f>
        <v>0</v>
      </c>
      <c r="H212" t="s">
        <v>1089</v>
      </c>
      <c r="I212" t="s">
        <v>21</v>
      </c>
      <c r="J212" t="s">
        <v>810</v>
      </c>
      <c r="K212" t="s">
        <v>619</v>
      </c>
      <c r="L212" t="s">
        <v>24</v>
      </c>
      <c r="M212" t="s">
        <v>19</v>
      </c>
      <c r="N212" t="s">
        <v>1093</v>
      </c>
    </row>
    <row r="213" spans="1:14">
      <c r="A213" t="s">
        <v>420</v>
      </c>
      <c r="B213" t="s">
        <v>1094</v>
      </c>
      <c r="C213" t="s">
        <v>28</v>
      </c>
      <c r="D213" t="s">
        <v>422</v>
      </c>
      <c r="E213" t="s">
        <v>1095</v>
      </c>
      <c r="F213">
        <v>0.001</v>
      </c>
      <c r="G213">
        <f>HYPERLINK("http://clipc-services.ceda.ac.uk/dreq/u/31eb8d2a1ed4d82ef8bebe4227ec90b9.html","web")</f>
        <v>0</v>
      </c>
      <c r="H213" t="s">
        <v>1096</v>
      </c>
      <c r="I213" t="s">
        <v>21</v>
      </c>
      <c r="J213" t="s">
        <v>1097</v>
      </c>
      <c r="K213" t="s">
        <v>446</v>
      </c>
      <c r="L213" t="s">
        <v>24</v>
      </c>
      <c r="M213">
        <v>0.001</v>
      </c>
      <c r="N213" t="s">
        <v>1098</v>
      </c>
    </row>
    <row r="214" spans="1:14">
      <c r="A214" t="s">
        <v>420</v>
      </c>
      <c r="B214" t="s">
        <v>1099</v>
      </c>
      <c r="C214" t="s">
        <v>28</v>
      </c>
      <c r="D214" t="s">
        <v>38</v>
      </c>
      <c r="E214" t="s">
        <v>1100</v>
      </c>
      <c r="F214">
        <v>0.001</v>
      </c>
      <c r="G214">
        <f>HYPERLINK("http://clipc-services.ceda.ac.uk/dreq/u/0086e9daf8d4fb6cb305e03119d2ac2d.html","web")</f>
        <v>0</v>
      </c>
      <c r="H214" t="s">
        <v>1101</v>
      </c>
      <c r="I214" t="s">
        <v>21</v>
      </c>
      <c r="J214" t="s">
        <v>1102</v>
      </c>
      <c r="K214" t="s">
        <v>452</v>
      </c>
      <c r="L214" t="s">
        <v>24</v>
      </c>
      <c r="M214">
        <v>0.001</v>
      </c>
      <c r="N214" t="s">
        <v>1103</v>
      </c>
    </row>
    <row r="215" spans="1:14">
      <c r="A215" t="s">
        <v>420</v>
      </c>
      <c r="B215" t="s">
        <v>1104</v>
      </c>
      <c r="C215" t="s">
        <v>28</v>
      </c>
      <c r="D215" t="s">
        <v>61</v>
      </c>
      <c r="E215" t="s">
        <v>1105</v>
      </c>
      <c r="F215">
        <v>0.001</v>
      </c>
      <c r="G215">
        <f>HYPERLINK("http://clipc-services.ceda.ac.uk/dreq/u/e6c345fa8ddd98d9834116333c2ee901.html","web")</f>
        <v>0</v>
      </c>
      <c r="H215" t="s">
        <v>1106</v>
      </c>
      <c r="I215" t="s">
        <v>21</v>
      </c>
      <c r="J215" t="s">
        <v>1097</v>
      </c>
      <c r="K215" t="s">
        <v>1107</v>
      </c>
      <c r="L215" t="s">
        <v>24</v>
      </c>
      <c r="M215">
        <v>0.001</v>
      </c>
      <c r="N215" t="s">
        <v>1108</v>
      </c>
    </row>
    <row r="216" spans="1:14">
      <c r="A216" t="s">
        <v>420</v>
      </c>
      <c r="B216" t="s">
        <v>1109</v>
      </c>
      <c r="C216" t="s">
        <v>28</v>
      </c>
      <c r="D216" t="s">
        <v>38</v>
      </c>
      <c r="E216" t="s">
        <v>1110</v>
      </c>
      <c r="F216">
        <v>0.001</v>
      </c>
      <c r="G216">
        <f>HYPERLINK("http://clipc-services.ceda.ac.uk/dreq/u/74a9891bcab2667dbcb66574c6370c86.html","web")</f>
        <v>0</v>
      </c>
      <c r="H216" t="s">
        <v>1111</v>
      </c>
      <c r="I216" t="s">
        <v>21</v>
      </c>
      <c r="J216" t="s">
        <v>1097</v>
      </c>
      <c r="K216" t="s">
        <v>1112</v>
      </c>
      <c r="L216" t="s">
        <v>24</v>
      </c>
      <c r="M216">
        <v>0.001</v>
      </c>
      <c r="N216" t="s">
        <v>1113</v>
      </c>
    </row>
    <row r="217" spans="1:14">
      <c r="A217" t="s">
        <v>420</v>
      </c>
      <c r="B217" t="s">
        <v>1114</v>
      </c>
      <c r="C217" t="s">
        <v>28</v>
      </c>
      <c r="D217" t="s">
        <v>61</v>
      </c>
      <c r="E217" t="s">
        <v>1115</v>
      </c>
      <c r="F217">
        <v>0.001</v>
      </c>
      <c r="G217">
        <f>HYPERLINK("http://clipc-services.ceda.ac.uk/dreq/u/d4ee4806-b00f-11e6-a1f0-ac72891c3257.html","web")</f>
        <v>0</v>
      </c>
      <c r="H217" t="s">
        <v>1116</v>
      </c>
      <c r="I217" t="s">
        <v>21</v>
      </c>
      <c r="J217" t="s">
        <v>1097</v>
      </c>
      <c r="K217" t="s">
        <v>467</v>
      </c>
      <c r="L217" t="s">
        <v>24</v>
      </c>
      <c r="M217">
        <v>0.001</v>
      </c>
      <c r="N217" t="s">
        <v>1117</v>
      </c>
    </row>
    <row r="218" spans="1:14">
      <c r="A218" t="s">
        <v>420</v>
      </c>
      <c r="B218" t="s">
        <v>1118</v>
      </c>
      <c r="C218" t="s">
        <v>201</v>
      </c>
      <c r="D218" t="s">
        <v>38</v>
      </c>
      <c r="E218" t="s">
        <v>1119</v>
      </c>
      <c r="F218">
        <v>1e-06</v>
      </c>
      <c r="G218">
        <f>HYPERLINK("http://clipc-services.ceda.ac.uk/dreq/u/d4eb6956-b00f-11e6-a1f0-ac72891c3257.html","web")</f>
        <v>0</v>
      </c>
      <c r="H218" t="s">
        <v>1120</v>
      </c>
      <c r="I218" t="s">
        <v>21</v>
      </c>
      <c r="J218" t="s">
        <v>1097</v>
      </c>
      <c r="K218" t="s">
        <v>467</v>
      </c>
      <c r="L218" t="s">
        <v>24</v>
      </c>
      <c r="M218">
        <v>1e-06</v>
      </c>
      <c r="N218" t="s">
        <v>1121</v>
      </c>
    </row>
    <row r="219" spans="1:14">
      <c r="A219" t="s">
        <v>420</v>
      </c>
      <c r="B219" t="s">
        <v>1122</v>
      </c>
      <c r="C219" t="s">
        <v>28</v>
      </c>
      <c r="D219" t="s">
        <v>579</v>
      </c>
      <c r="E219" t="s">
        <v>1123</v>
      </c>
      <c r="F219" t="s">
        <v>581</v>
      </c>
      <c r="G219">
        <f>HYPERLINK("http://clipc-services.ceda.ac.uk/dreq/u/88d79ec028b6e797cd2db6f00f9b6910.html","web")</f>
        <v>0</v>
      </c>
      <c r="H219" t="s">
        <v>1124</v>
      </c>
      <c r="I219" t="s">
        <v>21</v>
      </c>
      <c r="J219" t="s">
        <v>1125</v>
      </c>
      <c r="K219" t="s">
        <v>1126</v>
      </c>
      <c r="L219" t="s">
        <v>435</v>
      </c>
      <c r="M219" t="s">
        <v>581</v>
      </c>
      <c r="N219" t="s">
        <v>1127</v>
      </c>
    </row>
    <row r="220" spans="1:14">
      <c r="A220" t="s">
        <v>420</v>
      </c>
      <c r="B220" t="s">
        <v>1128</v>
      </c>
      <c r="C220" t="s">
        <v>16</v>
      </c>
      <c r="D220" t="s">
        <v>422</v>
      </c>
      <c r="E220" t="s">
        <v>1129</v>
      </c>
      <c r="F220" t="s">
        <v>431</v>
      </c>
      <c r="G220">
        <f>HYPERLINK("http://clipc-services.ceda.ac.uk/dreq/u/d90bac355dae4e53a6d0e5df81a090ad.html","web")</f>
        <v>0</v>
      </c>
      <c r="H220" t="s">
        <v>1130</v>
      </c>
      <c r="I220" t="s">
        <v>21</v>
      </c>
      <c r="J220" t="s">
        <v>1131</v>
      </c>
      <c r="K220" t="s">
        <v>558</v>
      </c>
      <c r="L220" t="s">
        <v>435</v>
      </c>
      <c r="M220" t="s">
        <v>431</v>
      </c>
      <c r="N220" t="s">
        <v>1132</v>
      </c>
    </row>
    <row r="221" spans="1:14">
      <c r="A221" t="s">
        <v>420</v>
      </c>
      <c r="B221" t="s">
        <v>1133</v>
      </c>
      <c r="C221" t="s">
        <v>16</v>
      </c>
      <c r="D221" t="s">
        <v>38</v>
      </c>
      <c r="E221" t="s">
        <v>1134</v>
      </c>
      <c r="F221" t="s">
        <v>431</v>
      </c>
      <c r="G221">
        <f>HYPERLINK("http://clipc-services.ceda.ac.uk/dreq/u/c96d62fe-c5f0-11e6-ac20-5404a60d96b5.html","web")</f>
        <v>0</v>
      </c>
      <c r="H221" t="s">
        <v>1135</v>
      </c>
      <c r="I221" t="s">
        <v>21</v>
      </c>
      <c r="J221" t="s">
        <v>1136</v>
      </c>
      <c r="K221" t="s">
        <v>467</v>
      </c>
      <c r="L221" t="s">
        <v>435</v>
      </c>
      <c r="M221" t="s">
        <v>431</v>
      </c>
      <c r="N221" t="s">
        <v>1137</v>
      </c>
    </row>
    <row r="222" spans="1:14">
      <c r="A222" t="s">
        <v>420</v>
      </c>
      <c r="B222" t="s">
        <v>1138</v>
      </c>
      <c r="C222" t="s">
        <v>28</v>
      </c>
      <c r="D222" t="s">
        <v>38</v>
      </c>
      <c r="E222" t="s">
        <v>1139</v>
      </c>
      <c r="F222" t="s">
        <v>431</v>
      </c>
      <c r="G222">
        <f>HYPERLINK("http://clipc-services.ceda.ac.uk/dreq/u/c96d5426-c5f0-11e6-ac20-5404a60d96b5.html","web")</f>
        <v>0</v>
      </c>
      <c r="H222" t="s">
        <v>1140</v>
      </c>
      <c r="I222" t="s">
        <v>21</v>
      </c>
      <c r="J222" t="s">
        <v>1141</v>
      </c>
      <c r="K222" t="s">
        <v>467</v>
      </c>
      <c r="L222" t="s">
        <v>435</v>
      </c>
      <c r="M222" t="s">
        <v>431</v>
      </c>
      <c r="N222" t="s">
        <v>1132</v>
      </c>
    </row>
    <row r="223" spans="1:14">
      <c r="A223" t="s">
        <v>420</v>
      </c>
      <c r="B223" t="s">
        <v>1142</v>
      </c>
      <c r="C223" t="s">
        <v>28</v>
      </c>
      <c r="D223" t="s">
        <v>38</v>
      </c>
      <c r="E223" t="s">
        <v>1143</v>
      </c>
      <c r="F223" t="s">
        <v>203</v>
      </c>
      <c r="G223">
        <f>HYPERLINK("http://clipc-services.ceda.ac.uk/dreq/u/d1cfe9e20a66d3e922554248677efaba.html","web")</f>
        <v>0</v>
      </c>
      <c r="H223" t="s">
        <v>1144</v>
      </c>
      <c r="I223" t="s">
        <v>21</v>
      </c>
      <c r="J223" t="s">
        <v>1145</v>
      </c>
      <c r="K223" t="s">
        <v>441</v>
      </c>
      <c r="L223" t="s">
        <v>24</v>
      </c>
      <c r="M223" t="s">
        <v>203</v>
      </c>
      <c r="N223" t="s">
        <v>1146</v>
      </c>
    </row>
    <row r="224" spans="1:14">
      <c r="A224" t="s">
        <v>420</v>
      </c>
      <c r="B224" t="s">
        <v>1147</v>
      </c>
      <c r="C224" t="s">
        <v>28</v>
      </c>
      <c r="D224" t="s">
        <v>38</v>
      </c>
      <c r="E224" t="s">
        <v>1148</v>
      </c>
      <c r="F224" t="s">
        <v>203</v>
      </c>
      <c r="G224">
        <f>HYPERLINK("http://clipc-services.ceda.ac.uk/dreq/u/593ed46e925a8bce9de9eb47f5e72632.html","web")</f>
        <v>0</v>
      </c>
      <c r="H224" t="s">
        <v>1149</v>
      </c>
      <c r="I224" t="s">
        <v>21</v>
      </c>
      <c r="J224" t="s">
        <v>1145</v>
      </c>
      <c r="K224" t="s">
        <v>441</v>
      </c>
      <c r="L224" t="s">
        <v>24</v>
      </c>
      <c r="M224" t="s">
        <v>203</v>
      </c>
      <c r="N224" t="s">
        <v>1150</v>
      </c>
    </row>
    <row r="225" spans="1:14">
      <c r="A225" t="s">
        <v>420</v>
      </c>
      <c r="B225" t="s">
        <v>1151</v>
      </c>
      <c r="C225" t="s">
        <v>28</v>
      </c>
      <c r="D225" t="s">
        <v>422</v>
      </c>
      <c r="E225" t="s">
        <v>1152</v>
      </c>
      <c r="F225" t="s">
        <v>31</v>
      </c>
      <c r="G225">
        <f>HYPERLINK("http://clipc-services.ceda.ac.uk/dreq/u/cf53bdf4168a9107354d059ff39b5753.html","web")</f>
        <v>0</v>
      </c>
      <c r="H225" t="s">
        <v>1153</v>
      </c>
      <c r="I225" t="s">
        <v>21</v>
      </c>
      <c r="J225" t="s">
        <v>1154</v>
      </c>
      <c r="K225" t="s">
        <v>446</v>
      </c>
      <c r="L225" t="s">
        <v>24</v>
      </c>
      <c r="M225" t="s">
        <v>31</v>
      </c>
      <c r="N225" t="s">
        <v>1155</v>
      </c>
    </row>
    <row r="226" spans="1:14">
      <c r="A226" t="s">
        <v>420</v>
      </c>
      <c r="B226" t="s">
        <v>1156</v>
      </c>
      <c r="C226" t="s">
        <v>28</v>
      </c>
      <c r="D226" t="s">
        <v>61</v>
      </c>
      <c r="E226" t="s">
        <v>1157</v>
      </c>
      <c r="F226" t="s">
        <v>31</v>
      </c>
      <c r="G226">
        <f>HYPERLINK("http://clipc-services.ceda.ac.uk/dreq/u/f0280734103f054b10012331ab1c0459.html","web")</f>
        <v>0</v>
      </c>
      <c r="H226" t="s">
        <v>1158</v>
      </c>
      <c r="I226" t="s">
        <v>21</v>
      </c>
      <c r="J226" t="s">
        <v>1159</v>
      </c>
      <c r="K226" t="s">
        <v>1107</v>
      </c>
      <c r="L226" t="s">
        <v>24</v>
      </c>
      <c r="M226" t="s">
        <v>31</v>
      </c>
      <c r="N226" t="s">
        <v>1160</v>
      </c>
    </row>
    <row r="227" spans="1:14">
      <c r="A227" t="s">
        <v>420</v>
      </c>
      <c r="B227" t="s">
        <v>1161</v>
      </c>
      <c r="C227" t="s">
        <v>28</v>
      </c>
      <c r="D227" t="s">
        <v>422</v>
      </c>
      <c r="E227" t="s">
        <v>1162</v>
      </c>
      <c r="F227" t="s">
        <v>165</v>
      </c>
      <c r="G227">
        <f>HYPERLINK("http://clipc-services.ceda.ac.uk/dreq/u/5aea9677ebbb40076a0e0b3b11fdb46f.html","web")</f>
        <v>0</v>
      </c>
      <c r="H227" t="s">
        <v>1163</v>
      </c>
      <c r="I227" t="s">
        <v>21</v>
      </c>
      <c r="J227" t="s">
        <v>1164</v>
      </c>
      <c r="K227" t="s">
        <v>1165</v>
      </c>
      <c r="L227" t="s">
        <v>24</v>
      </c>
      <c r="M227" t="s">
        <v>165</v>
      </c>
      <c r="N227" t="s">
        <v>1166</v>
      </c>
    </row>
    <row r="228" spans="1:14">
      <c r="A228" t="s">
        <v>420</v>
      </c>
      <c r="B228" t="s">
        <v>1167</v>
      </c>
      <c r="C228" t="s">
        <v>28</v>
      </c>
      <c r="D228" t="s">
        <v>38</v>
      </c>
      <c r="E228" t="s">
        <v>1168</v>
      </c>
      <c r="F228" t="s">
        <v>31</v>
      </c>
      <c r="G228">
        <f>HYPERLINK("http://clipc-services.ceda.ac.uk/dreq/u/3a9ebed36fac6d76f1c7d70b6cf06991.html","web")</f>
        <v>0</v>
      </c>
      <c r="H228" t="s">
        <v>1169</v>
      </c>
      <c r="I228" t="s">
        <v>21</v>
      </c>
      <c r="J228" t="s">
        <v>1170</v>
      </c>
      <c r="K228" t="s">
        <v>452</v>
      </c>
      <c r="L228" t="s">
        <v>24</v>
      </c>
      <c r="M228" t="s">
        <v>31</v>
      </c>
      <c r="N228" t="s">
        <v>1171</v>
      </c>
    </row>
    <row r="229" spans="1:14">
      <c r="A229" t="s">
        <v>420</v>
      </c>
      <c r="B229" t="s">
        <v>27</v>
      </c>
      <c r="C229" t="s">
        <v>28</v>
      </c>
      <c r="D229" t="s">
        <v>38</v>
      </c>
      <c r="E229" t="s">
        <v>30</v>
      </c>
      <c r="F229" t="s">
        <v>31</v>
      </c>
      <c r="G229">
        <f>HYPERLINK("http://clipc-services.ceda.ac.uk/dreq/u/0e5d376315a376cd2b1e37f440fe43d3.html","web")</f>
        <v>0</v>
      </c>
      <c r="H229" t="s">
        <v>32</v>
      </c>
      <c r="I229" t="s">
        <v>21</v>
      </c>
      <c r="J229" t="s">
        <v>33</v>
      </c>
      <c r="K229" t="s">
        <v>1172</v>
      </c>
      <c r="L229" t="s">
        <v>24</v>
      </c>
      <c r="M229" t="s">
        <v>31</v>
      </c>
      <c r="N229" t="s">
        <v>35</v>
      </c>
    </row>
    <row r="230" spans="1:14">
      <c r="A230" t="s">
        <v>420</v>
      </c>
      <c r="B230" t="s">
        <v>1173</v>
      </c>
      <c r="C230" t="s">
        <v>28</v>
      </c>
      <c r="D230" t="s">
        <v>61</v>
      </c>
      <c r="E230" t="s">
        <v>1174</v>
      </c>
      <c r="F230" t="s">
        <v>31</v>
      </c>
      <c r="G230">
        <f>HYPERLINK("http://clipc-services.ceda.ac.uk/dreq/u/dbba7f5717d68960a82b228e03dea7b7.html","web")</f>
        <v>0</v>
      </c>
      <c r="H230" t="s">
        <v>1175</v>
      </c>
      <c r="I230" t="s">
        <v>21</v>
      </c>
      <c r="J230" t="s">
        <v>33</v>
      </c>
      <c r="K230" t="s">
        <v>452</v>
      </c>
      <c r="L230" t="s">
        <v>24</v>
      </c>
      <c r="M230" t="s">
        <v>31</v>
      </c>
      <c r="N230" t="s">
        <v>1176</v>
      </c>
    </row>
    <row r="231" spans="1:14">
      <c r="A231" t="s">
        <v>420</v>
      </c>
      <c r="B231" t="s">
        <v>1177</v>
      </c>
      <c r="C231" t="s">
        <v>201</v>
      </c>
      <c r="D231" t="s">
        <v>38</v>
      </c>
      <c r="E231" t="s">
        <v>1178</v>
      </c>
      <c r="F231" t="s">
        <v>1179</v>
      </c>
      <c r="G231">
        <f>HYPERLINK("http://clipc-services.ceda.ac.uk/dreq/u/d1b497a4f7f4cb666757ec97d152079e.html","web")</f>
        <v>0</v>
      </c>
      <c r="H231" t="s">
        <v>1180</v>
      </c>
      <c r="I231" t="s">
        <v>21</v>
      </c>
      <c r="J231" t="s">
        <v>1181</v>
      </c>
      <c r="K231" t="s">
        <v>619</v>
      </c>
      <c r="L231" t="s">
        <v>24</v>
      </c>
      <c r="M231" t="s">
        <v>1179</v>
      </c>
      <c r="N231" t="s">
        <v>1182</v>
      </c>
    </row>
    <row r="232" spans="1:14">
      <c r="A232" t="s">
        <v>420</v>
      </c>
      <c r="B232" t="s">
        <v>1183</v>
      </c>
      <c r="C232" t="s">
        <v>28</v>
      </c>
      <c r="D232" t="s">
        <v>422</v>
      </c>
      <c r="E232" t="s">
        <v>1184</v>
      </c>
      <c r="F232" t="s">
        <v>19</v>
      </c>
      <c r="G232">
        <f>HYPERLINK("http://clipc-services.ceda.ac.uk/dreq/u/2f074f3417a26ad322b96dd0b6c21e09.html","web")</f>
        <v>0</v>
      </c>
      <c r="H232" t="s">
        <v>1185</v>
      </c>
      <c r="I232" t="s">
        <v>21</v>
      </c>
      <c r="J232" t="s">
        <v>1186</v>
      </c>
      <c r="K232" t="s">
        <v>1187</v>
      </c>
      <c r="L232" t="s">
        <v>24</v>
      </c>
      <c r="M232" t="s">
        <v>19</v>
      </c>
      <c r="N232" t="s">
        <v>1188</v>
      </c>
    </row>
    <row r="233" spans="1:14">
      <c r="A233" t="s">
        <v>420</v>
      </c>
      <c r="B233" t="s">
        <v>1189</v>
      </c>
      <c r="C233" t="s">
        <v>28</v>
      </c>
      <c r="D233" t="s">
        <v>422</v>
      </c>
      <c r="E233" t="s">
        <v>1190</v>
      </c>
      <c r="F233" t="s">
        <v>299</v>
      </c>
      <c r="G233">
        <f>HYPERLINK("http://clipc-services.ceda.ac.uk/dreq/u/1ed3e3be3675e589a5327ce82016ab72.html","web")</f>
        <v>0</v>
      </c>
      <c r="H233" t="s">
        <v>1191</v>
      </c>
      <c r="I233" t="s">
        <v>21</v>
      </c>
      <c r="J233" t="s">
        <v>1192</v>
      </c>
      <c r="K233" t="s">
        <v>1193</v>
      </c>
      <c r="L233" t="s">
        <v>24</v>
      </c>
      <c r="M233" t="s">
        <v>299</v>
      </c>
      <c r="N233" t="s">
        <v>1194</v>
      </c>
    </row>
    <row r="234" spans="1:14">
      <c r="A234" t="s">
        <v>420</v>
      </c>
      <c r="B234" t="s">
        <v>1195</v>
      </c>
      <c r="C234" t="s">
        <v>28</v>
      </c>
      <c r="D234" t="s">
        <v>422</v>
      </c>
      <c r="E234" t="s">
        <v>1196</v>
      </c>
      <c r="F234" t="s">
        <v>19</v>
      </c>
      <c r="G234">
        <f>HYPERLINK("http://clipc-services.ceda.ac.uk/dreq/u/f7fdcc15d14c0066a9590e4bce820056.html","web")</f>
        <v>0</v>
      </c>
      <c r="H234" t="s">
        <v>1197</v>
      </c>
      <c r="I234" t="s">
        <v>21</v>
      </c>
      <c r="J234" t="s">
        <v>1198</v>
      </c>
      <c r="K234" t="s">
        <v>1187</v>
      </c>
      <c r="L234" t="s">
        <v>24</v>
      </c>
      <c r="M234" t="s">
        <v>19</v>
      </c>
      <c r="N234" t="s">
        <v>1199</v>
      </c>
    </row>
    <row r="235" spans="1:14">
      <c r="A235" t="s">
        <v>420</v>
      </c>
      <c r="B235" t="s">
        <v>1200</v>
      </c>
      <c r="C235" t="s">
        <v>28</v>
      </c>
      <c r="D235" t="s">
        <v>422</v>
      </c>
      <c r="E235" t="s">
        <v>1201</v>
      </c>
      <c r="F235" t="s">
        <v>299</v>
      </c>
      <c r="G235">
        <f>HYPERLINK("http://clipc-services.ceda.ac.uk/dreq/u/3e3ddc77800e7d421834b9cb808602d7.html","web")</f>
        <v>0</v>
      </c>
      <c r="H235" t="s">
        <v>1202</v>
      </c>
      <c r="I235" t="s">
        <v>21</v>
      </c>
      <c r="J235" t="s">
        <v>1203</v>
      </c>
      <c r="K235" t="s">
        <v>1193</v>
      </c>
      <c r="L235" t="s">
        <v>24</v>
      </c>
      <c r="M235" t="s">
        <v>299</v>
      </c>
      <c r="N235" t="s">
        <v>1204</v>
      </c>
    </row>
    <row r="236" spans="1:14">
      <c r="A236" t="s">
        <v>420</v>
      </c>
      <c r="B236" t="s">
        <v>1205</v>
      </c>
      <c r="C236" t="s">
        <v>28</v>
      </c>
      <c r="D236" t="s">
        <v>61</v>
      </c>
      <c r="E236" t="s">
        <v>1206</v>
      </c>
      <c r="F236" t="s">
        <v>1207</v>
      </c>
      <c r="G236">
        <f>HYPERLINK("http://clipc-services.ceda.ac.uk/dreq/u/a86d0b2abcfe5055d91478b5c771bf34.html","web")</f>
        <v>0</v>
      </c>
      <c r="H236" t="s">
        <v>1208</v>
      </c>
      <c r="I236" t="s">
        <v>21</v>
      </c>
      <c r="J236" t="s">
        <v>1209</v>
      </c>
      <c r="K236" t="s">
        <v>1126</v>
      </c>
      <c r="L236" t="s">
        <v>24</v>
      </c>
      <c r="M236" t="s">
        <v>1207</v>
      </c>
      <c r="N236" t="s">
        <v>1210</v>
      </c>
    </row>
    <row r="237" spans="1:14">
      <c r="A237" t="s">
        <v>420</v>
      </c>
      <c r="B237" t="s">
        <v>1211</v>
      </c>
      <c r="C237" t="s">
        <v>28</v>
      </c>
      <c r="D237" t="s">
        <v>38</v>
      </c>
      <c r="E237" t="s">
        <v>1212</v>
      </c>
      <c r="F237" t="s">
        <v>40</v>
      </c>
      <c r="G237">
        <f>HYPERLINK("http://clipc-services.ceda.ac.uk/dreq/u/604242476d85346b48bd6d791ed05583.html","web")</f>
        <v>0</v>
      </c>
      <c r="H237" t="s">
        <v>1213</v>
      </c>
      <c r="I237" t="s">
        <v>21</v>
      </c>
      <c r="J237" t="s">
        <v>1214</v>
      </c>
      <c r="K237" t="s">
        <v>987</v>
      </c>
      <c r="L237" t="s">
        <v>24</v>
      </c>
      <c r="M237" t="s">
        <v>40</v>
      </c>
      <c r="N237" t="s">
        <v>1215</v>
      </c>
    </row>
    <row r="238" spans="1:14">
      <c r="A238" t="s">
        <v>420</v>
      </c>
      <c r="B238" t="s">
        <v>1216</v>
      </c>
      <c r="C238" t="s">
        <v>28</v>
      </c>
      <c r="D238" t="s">
        <v>38</v>
      </c>
      <c r="E238" t="s">
        <v>1217</v>
      </c>
      <c r="F238" t="s">
        <v>40</v>
      </c>
      <c r="G238">
        <f>HYPERLINK("http://clipc-services.ceda.ac.uk/dreq/u/c3805ef555348a5f525cf09ccb254af4.html","web")</f>
        <v>0</v>
      </c>
      <c r="H238" t="s">
        <v>1218</v>
      </c>
      <c r="I238" t="s">
        <v>21</v>
      </c>
      <c r="J238" t="s">
        <v>1219</v>
      </c>
      <c r="K238" t="s">
        <v>677</v>
      </c>
      <c r="L238" t="s">
        <v>24</v>
      </c>
      <c r="M238" t="s">
        <v>40</v>
      </c>
      <c r="N238" t="s">
        <v>1220</v>
      </c>
    </row>
    <row r="239" spans="1:14">
      <c r="A239" t="s">
        <v>420</v>
      </c>
      <c r="B239" t="s">
        <v>1221</v>
      </c>
      <c r="C239" t="s">
        <v>28</v>
      </c>
      <c r="D239" t="s">
        <v>38</v>
      </c>
      <c r="E239" t="s">
        <v>1222</v>
      </c>
      <c r="F239" t="s">
        <v>40</v>
      </c>
      <c r="G239">
        <f>HYPERLINK("http://clipc-services.ceda.ac.uk/dreq/u/4d42d6e262fdc2c20cf8e2e82826e0c8.html","web")</f>
        <v>0</v>
      </c>
      <c r="H239" t="s">
        <v>1218</v>
      </c>
      <c r="I239" t="s">
        <v>21</v>
      </c>
      <c r="J239" t="s">
        <v>1223</v>
      </c>
      <c r="K239" t="s">
        <v>987</v>
      </c>
      <c r="L239" t="s">
        <v>24</v>
      </c>
      <c r="M239" t="s">
        <v>40</v>
      </c>
      <c r="N239" t="s">
        <v>1224</v>
      </c>
    </row>
    <row r="240" spans="1:14">
      <c r="A240" t="s">
        <v>420</v>
      </c>
      <c r="B240" t="s">
        <v>1225</v>
      </c>
      <c r="C240" t="s">
        <v>28</v>
      </c>
      <c r="D240" t="s">
        <v>422</v>
      </c>
      <c r="E240" t="s">
        <v>1226</v>
      </c>
      <c r="F240" t="s">
        <v>19</v>
      </c>
      <c r="G240">
        <f>HYPERLINK("http://clipc-services.ceda.ac.uk/dreq/u/05b30c1e249f6854ffc0b3f7676eed73.html","web")</f>
        <v>0</v>
      </c>
      <c r="H240" t="s">
        <v>1227</v>
      </c>
      <c r="I240" t="s">
        <v>21</v>
      </c>
      <c r="J240" t="s">
        <v>1228</v>
      </c>
      <c r="K240" t="s">
        <v>1229</v>
      </c>
      <c r="L240" t="s">
        <v>24</v>
      </c>
      <c r="M240" t="s">
        <v>19</v>
      </c>
      <c r="N240" t="s">
        <v>1230</v>
      </c>
    </row>
    <row r="241" spans="1:14">
      <c r="A241" t="s">
        <v>420</v>
      </c>
      <c r="B241" t="s">
        <v>1231</v>
      </c>
      <c r="C241" t="s">
        <v>28</v>
      </c>
      <c r="D241" t="s">
        <v>422</v>
      </c>
      <c r="E241" t="s">
        <v>1232</v>
      </c>
      <c r="F241" t="s">
        <v>299</v>
      </c>
      <c r="G241">
        <f>HYPERLINK("http://clipc-services.ceda.ac.uk/dreq/u/d476e6113f5c466d27fd3aa9e9c35411.html","web")</f>
        <v>0</v>
      </c>
      <c r="H241" t="s">
        <v>1233</v>
      </c>
      <c r="I241" t="s">
        <v>21</v>
      </c>
      <c r="J241" t="s">
        <v>1234</v>
      </c>
      <c r="K241" t="s">
        <v>874</v>
      </c>
      <c r="L241" t="s">
        <v>24</v>
      </c>
      <c r="M241" t="s">
        <v>299</v>
      </c>
      <c r="N241" t="s">
        <v>1235</v>
      </c>
    </row>
    <row r="242" spans="1:14">
      <c r="A242" t="s">
        <v>420</v>
      </c>
      <c r="B242" t="s">
        <v>1236</v>
      </c>
      <c r="C242" t="s">
        <v>28</v>
      </c>
      <c r="D242" t="s">
        <v>1237</v>
      </c>
      <c r="E242" t="s">
        <v>1238</v>
      </c>
      <c r="F242" t="s">
        <v>165</v>
      </c>
      <c r="G242">
        <f>HYPERLINK("http://clipc-services.ceda.ac.uk/dreq/u/e4f788872546d474c64f89798a4cb8cb.html","web")</f>
        <v>0</v>
      </c>
      <c r="H242" t="s">
        <v>1239</v>
      </c>
      <c r="I242" t="s">
        <v>21</v>
      </c>
      <c r="J242" t="s">
        <v>1240</v>
      </c>
      <c r="K242" t="s">
        <v>427</v>
      </c>
      <c r="L242" t="s">
        <v>24</v>
      </c>
      <c r="M242" t="s">
        <v>165</v>
      </c>
      <c r="N242" t="s">
        <v>1241</v>
      </c>
    </row>
    <row r="243" spans="1:14">
      <c r="A243" t="s">
        <v>420</v>
      </c>
      <c r="B243" t="s">
        <v>1242</v>
      </c>
      <c r="C243" t="s">
        <v>16</v>
      </c>
      <c r="D243" t="s">
        <v>422</v>
      </c>
      <c r="E243" t="s">
        <v>1243</v>
      </c>
      <c r="F243" t="s">
        <v>431</v>
      </c>
      <c r="G243">
        <f>HYPERLINK("http://clipc-services.ceda.ac.uk/dreq/u/30a7a10d4c71066f19eae9a89ddfafba.html","web")</f>
        <v>0</v>
      </c>
      <c r="H243" t="s">
        <v>1244</v>
      </c>
      <c r="I243" t="s">
        <v>21</v>
      </c>
      <c r="J243" t="s">
        <v>1245</v>
      </c>
      <c r="K243" t="s">
        <v>467</v>
      </c>
      <c r="L243" t="s">
        <v>435</v>
      </c>
      <c r="M243" t="s">
        <v>431</v>
      </c>
      <c r="N243" t="s">
        <v>1246</v>
      </c>
    </row>
    <row r="244" spans="1:14">
      <c r="A244" t="s">
        <v>420</v>
      </c>
      <c r="B244" t="s">
        <v>1247</v>
      </c>
      <c r="C244" t="s">
        <v>201</v>
      </c>
      <c r="D244" t="s">
        <v>38</v>
      </c>
      <c r="E244" t="s">
        <v>1248</v>
      </c>
      <c r="F244" t="s">
        <v>431</v>
      </c>
      <c r="G244">
        <f>HYPERLINK("http://clipc-services.ceda.ac.uk/dreq/u/c96d36ee-c5f0-11e6-ac20-5404a60d96b5.html","web")</f>
        <v>0</v>
      </c>
      <c r="H244" t="s">
        <v>1249</v>
      </c>
      <c r="I244" t="s">
        <v>21</v>
      </c>
      <c r="J244" t="s">
        <v>1245</v>
      </c>
      <c r="K244" t="s">
        <v>467</v>
      </c>
      <c r="L244" t="s">
        <v>435</v>
      </c>
      <c r="M244" t="s">
        <v>431</v>
      </c>
      <c r="N244" t="s">
        <v>1250</v>
      </c>
    </row>
    <row r="245" spans="1:14">
      <c r="A245" t="s">
        <v>420</v>
      </c>
      <c r="B245" t="s">
        <v>1251</v>
      </c>
      <c r="C245" t="s">
        <v>16</v>
      </c>
      <c r="D245" t="s">
        <v>422</v>
      </c>
      <c r="E245" t="s">
        <v>1252</v>
      </c>
      <c r="F245" t="s">
        <v>431</v>
      </c>
      <c r="G245">
        <f>HYPERLINK("http://clipc-services.ceda.ac.uk/dreq/u/e9dc036ef43db84bc4651ce95b0fed94.html","web")</f>
        <v>0</v>
      </c>
      <c r="H245" t="s">
        <v>1253</v>
      </c>
      <c r="I245" t="s">
        <v>21</v>
      </c>
      <c r="J245" t="s">
        <v>1254</v>
      </c>
      <c r="K245" t="s">
        <v>441</v>
      </c>
      <c r="L245" t="s">
        <v>435</v>
      </c>
      <c r="M245" t="s">
        <v>431</v>
      </c>
      <c r="N245" t="s">
        <v>1255</v>
      </c>
    </row>
    <row r="246" spans="1:14">
      <c r="A246" t="s">
        <v>420</v>
      </c>
      <c r="B246" t="s">
        <v>1256</v>
      </c>
      <c r="C246" t="s">
        <v>201</v>
      </c>
      <c r="D246" t="s">
        <v>38</v>
      </c>
      <c r="E246" t="s">
        <v>1257</v>
      </c>
      <c r="F246" t="s">
        <v>431</v>
      </c>
      <c r="G246">
        <f>HYPERLINK("http://clipc-services.ceda.ac.uk/dreq/u/c96d280c-c5f0-11e6-ac20-5404a60d96b5.html","web")</f>
        <v>0</v>
      </c>
      <c r="H246" t="s">
        <v>1258</v>
      </c>
      <c r="I246" t="s">
        <v>21</v>
      </c>
      <c r="J246" t="s">
        <v>1254</v>
      </c>
      <c r="K246" t="s">
        <v>467</v>
      </c>
      <c r="L246" t="s">
        <v>435</v>
      </c>
      <c r="M246" t="s">
        <v>431</v>
      </c>
      <c r="N246" t="s">
        <v>1259</v>
      </c>
    </row>
    <row r="247" spans="1:14">
      <c r="A247" t="s">
        <v>420</v>
      </c>
      <c r="B247" t="s">
        <v>1260</v>
      </c>
      <c r="C247" t="s">
        <v>201</v>
      </c>
      <c r="D247" t="s">
        <v>38</v>
      </c>
      <c r="E247" t="s">
        <v>1261</v>
      </c>
      <c r="F247" t="s">
        <v>165</v>
      </c>
      <c r="G247">
        <f>HYPERLINK("http://clipc-services.ceda.ac.uk/dreq/u/d254e68c03491d17660ec44e7565f9e2.html","web")</f>
        <v>0</v>
      </c>
      <c r="H247" t="s">
        <v>1262</v>
      </c>
      <c r="I247" t="s">
        <v>21</v>
      </c>
      <c r="J247" t="s">
        <v>1263</v>
      </c>
      <c r="K247" t="s">
        <v>441</v>
      </c>
      <c r="L247" t="s">
        <v>435</v>
      </c>
      <c r="M247" t="s">
        <v>165</v>
      </c>
      <c r="N247" t="s">
        <v>1264</v>
      </c>
    </row>
    <row r="248" spans="1:14">
      <c r="A248" t="s">
        <v>420</v>
      </c>
      <c r="B248" t="s">
        <v>1265</v>
      </c>
      <c r="C248" t="s">
        <v>16</v>
      </c>
      <c r="D248" t="s">
        <v>422</v>
      </c>
      <c r="E248" t="s">
        <v>1266</v>
      </c>
      <c r="F248" t="s">
        <v>431</v>
      </c>
      <c r="G248">
        <f>HYPERLINK("http://clipc-services.ceda.ac.uk/dreq/u/be62c57dff12142bf51fc73c70cfb050.html","web")</f>
        <v>0</v>
      </c>
      <c r="H248" t="s">
        <v>1253</v>
      </c>
      <c r="I248" t="s">
        <v>21</v>
      </c>
      <c r="J248" t="s">
        <v>1267</v>
      </c>
      <c r="K248" t="s">
        <v>1268</v>
      </c>
      <c r="L248" t="s">
        <v>435</v>
      </c>
      <c r="M248" t="s">
        <v>431</v>
      </c>
      <c r="N248" t="s">
        <v>1269</v>
      </c>
    </row>
    <row r="249" spans="1:14">
      <c r="A249" t="s">
        <v>420</v>
      </c>
      <c r="B249" t="s">
        <v>1270</v>
      </c>
      <c r="C249" t="s">
        <v>16</v>
      </c>
      <c r="D249" t="s">
        <v>38</v>
      </c>
      <c r="E249" t="s">
        <v>1271</v>
      </c>
      <c r="F249" t="s">
        <v>431</v>
      </c>
      <c r="G249">
        <f>HYPERLINK("http://clipc-services.ceda.ac.uk/dreq/u/c96c9c52-c5f0-11e6-ac20-5404a60d96b5.html","web")</f>
        <v>0</v>
      </c>
      <c r="H249" t="s">
        <v>1258</v>
      </c>
      <c r="I249" t="s">
        <v>21</v>
      </c>
      <c r="J249" t="s">
        <v>1267</v>
      </c>
      <c r="K249" t="s">
        <v>467</v>
      </c>
      <c r="L249" t="s">
        <v>435</v>
      </c>
      <c r="M249" t="s">
        <v>431</v>
      </c>
      <c r="N249" t="s">
        <v>1272</v>
      </c>
    </row>
    <row r="250" spans="1:14">
      <c r="A250" t="s">
        <v>420</v>
      </c>
      <c r="B250" t="s">
        <v>1273</v>
      </c>
      <c r="C250" t="s">
        <v>28</v>
      </c>
      <c r="D250" t="s">
        <v>38</v>
      </c>
      <c r="E250" t="s">
        <v>1274</v>
      </c>
      <c r="F250" t="s">
        <v>165</v>
      </c>
      <c r="G250">
        <f>HYPERLINK("http://clipc-services.ceda.ac.uk/dreq/u/7539774a693b6a99db7e174343a488bd.html","web")</f>
        <v>0</v>
      </c>
      <c r="H250" t="s">
        <v>1275</v>
      </c>
      <c r="I250" t="s">
        <v>21</v>
      </c>
      <c r="J250" t="s">
        <v>1276</v>
      </c>
      <c r="K250" t="s">
        <v>1277</v>
      </c>
      <c r="L250" t="s">
        <v>24</v>
      </c>
      <c r="M250" t="s">
        <v>165</v>
      </c>
      <c r="N250" t="s">
        <v>1278</v>
      </c>
    </row>
    <row r="251" spans="1:14">
      <c r="A251" t="s">
        <v>420</v>
      </c>
      <c r="B251" t="s">
        <v>1279</v>
      </c>
      <c r="C251" t="s">
        <v>201</v>
      </c>
      <c r="D251" t="s">
        <v>38</v>
      </c>
      <c r="E251" t="s">
        <v>1280</v>
      </c>
      <c r="F251" t="s">
        <v>933</v>
      </c>
      <c r="G251">
        <f>HYPERLINK("http://clipc-services.ceda.ac.uk/dreq/u/f7658de98a4b03f947f0ffb19eeca1fd.html","web")</f>
        <v>0</v>
      </c>
      <c r="H251" t="s">
        <v>1281</v>
      </c>
      <c r="I251" t="s">
        <v>21</v>
      </c>
      <c r="J251" t="s">
        <v>1282</v>
      </c>
      <c r="K251" t="s">
        <v>513</v>
      </c>
      <c r="L251" t="s">
        <v>24</v>
      </c>
      <c r="M251" t="s">
        <v>933</v>
      </c>
      <c r="N251" t="s">
        <v>1283</v>
      </c>
    </row>
    <row r="252" spans="1:14">
      <c r="A252" t="s">
        <v>420</v>
      </c>
      <c r="B252" t="s">
        <v>1284</v>
      </c>
      <c r="C252" t="s">
        <v>28</v>
      </c>
      <c r="D252" t="s">
        <v>61</v>
      </c>
      <c r="E252" t="s">
        <v>1285</v>
      </c>
      <c r="F252" t="s">
        <v>165</v>
      </c>
      <c r="G252">
        <f>HYPERLINK("http://clipc-services.ceda.ac.uk/dreq/u/69c17331aebbebfc295d5b7af7f0ef8b.html","web")</f>
        <v>0</v>
      </c>
      <c r="H252" t="s">
        <v>1286</v>
      </c>
      <c r="I252" t="s">
        <v>21</v>
      </c>
      <c r="J252" t="s">
        <v>1287</v>
      </c>
      <c r="K252" t="s">
        <v>1288</v>
      </c>
      <c r="L252" t="s">
        <v>24</v>
      </c>
      <c r="M252" t="s">
        <v>165</v>
      </c>
      <c r="N252" t="s">
        <v>1289</v>
      </c>
    </row>
    <row r="254" spans="1:14">
      <c r="A254" t="s">
        <v>1290</v>
      </c>
      <c r="B254" t="s">
        <v>79</v>
      </c>
      <c r="C254" t="s">
        <v>28</v>
      </c>
      <c r="D254" t="s">
        <v>80</v>
      </c>
      <c r="E254" t="s">
        <v>81</v>
      </c>
      <c r="F254" t="s">
        <v>82</v>
      </c>
      <c r="G254">
        <f>HYPERLINK("http://clipc-services.ceda.ac.uk/dreq/u/150ada98-357c-11e7-8257-5404a60d96b5.html","web")</f>
        <v>0</v>
      </c>
      <c r="H254" t="s">
        <v>83</v>
      </c>
      <c r="I254" t="s">
        <v>21</v>
      </c>
      <c r="J254" t="s">
        <v>84</v>
      </c>
      <c r="K254" t="s">
        <v>1291</v>
      </c>
      <c r="L254" t="s">
        <v>51</v>
      </c>
      <c r="M254" t="s">
        <v>82</v>
      </c>
      <c r="N254" t="s">
        <v>86</v>
      </c>
    </row>
    <row r="255" spans="1:14">
      <c r="A255" t="s">
        <v>1290</v>
      </c>
      <c r="B255" t="s">
        <v>291</v>
      </c>
      <c r="C255" t="s">
        <v>28</v>
      </c>
      <c r="D255" t="s">
        <v>38</v>
      </c>
      <c r="E255" t="s">
        <v>292</v>
      </c>
      <c r="F255" t="s">
        <v>165</v>
      </c>
      <c r="G255">
        <f>HYPERLINK("http://clipc-services.ceda.ac.uk/dreq/u/5913c266-9e49-11e5-803c-0d0b866b59f3.html","web")</f>
        <v>0</v>
      </c>
      <c r="H255" t="s">
        <v>293</v>
      </c>
      <c r="I255" t="s">
        <v>21</v>
      </c>
      <c r="J255" t="s">
        <v>294</v>
      </c>
      <c r="K255" t="s">
        <v>1292</v>
      </c>
      <c r="L255" t="s">
        <v>51</v>
      </c>
      <c r="M255" t="s">
        <v>165</v>
      </c>
      <c r="N255" t="s">
        <v>296</v>
      </c>
    </row>
    <row r="256" spans="1:14">
      <c r="A256" t="s">
        <v>1290</v>
      </c>
      <c r="B256" t="s">
        <v>297</v>
      </c>
      <c r="C256" t="s">
        <v>28</v>
      </c>
      <c r="D256" t="s">
        <v>38</v>
      </c>
      <c r="E256" t="s">
        <v>298</v>
      </c>
      <c r="F256" t="s">
        <v>299</v>
      </c>
      <c r="G256">
        <f>HYPERLINK("http://clipc-services.ceda.ac.uk/dreq/u/590f4f2e-9e49-11e5-803c-0d0b866b59f3.html","web")</f>
        <v>0</v>
      </c>
      <c r="H256" t="s">
        <v>300</v>
      </c>
      <c r="I256" t="s">
        <v>21</v>
      </c>
      <c r="J256" t="s">
        <v>301</v>
      </c>
      <c r="K256" t="s">
        <v>1292</v>
      </c>
      <c r="L256" t="s">
        <v>51</v>
      </c>
      <c r="M256" t="s">
        <v>299</v>
      </c>
      <c r="N256" t="s">
        <v>303</v>
      </c>
    </row>
    <row r="257" spans="1:14">
      <c r="A257" t="s">
        <v>1290</v>
      </c>
      <c r="B257" t="s">
        <v>347</v>
      </c>
      <c r="C257" t="s">
        <v>28</v>
      </c>
      <c r="D257" t="s">
        <v>38</v>
      </c>
      <c r="E257" t="s">
        <v>348</v>
      </c>
      <c r="F257" t="s">
        <v>337</v>
      </c>
      <c r="G257">
        <f>HYPERLINK("http://clipc-services.ceda.ac.uk/dreq/u/5914a456-9e49-11e5-803c-0d0b866b59f3.html","web")</f>
        <v>0</v>
      </c>
      <c r="H257" t="s">
        <v>349</v>
      </c>
      <c r="I257" t="s">
        <v>21</v>
      </c>
      <c r="J257" t="s">
        <v>350</v>
      </c>
      <c r="K257" t="s">
        <v>1293</v>
      </c>
      <c r="L257" t="s">
        <v>51</v>
      </c>
      <c r="M257" t="s">
        <v>337</v>
      </c>
      <c r="N257" t="s">
        <v>352</v>
      </c>
    </row>
    <row r="258" spans="1:14">
      <c r="A258" t="s">
        <v>1290</v>
      </c>
      <c r="B258" t="s">
        <v>353</v>
      </c>
      <c r="C258" t="s">
        <v>28</v>
      </c>
      <c r="D258" t="s">
        <v>38</v>
      </c>
      <c r="E258" t="s">
        <v>354</v>
      </c>
      <c r="F258" t="s">
        <v>165</v>
      </c>
      <c r="G258">
        <f>HYPERLINK("http://clipc-services.ceda.ac.uk/dreq/u/591321f8-9e49-11e5-803c-0d0b866b59f3.html","web")</f>
        <v>0</v>
      </c>
      <c r="H258" t="s">
        <v>355</v>
      </c>
      <c r="I258" t="s">
        <v>21</v>
      </c>
      <c r="J258" t="s">
        <v>356</v>
      </c>
      <c r="K258" t="s">
        <v>1294</v>
      </c>
      <c r="L258" t="s">
        <v>51</v>
      </c>
      <c r="M258" t="s">
        <v>165</v>
      </c>
      <c r="N258" t="s">
        <v>358</v>
      </c>
    </row>
    <row r="259" spans="1:14">
      <c r="A259" t="s">
        <v>1290</v>
      </c>
      <c r="B259" t="s">
        <v>359</v>
      </c>
      <c r="C259" t="s">
        <v>28</v>
      </c>
      <c r="D259" t="s">
        <v>38</v>
      </c>
      <c r="E259" t="s">
        <v>360</v>
      </c>
      <c r="F259">
        <v>1</v>
      </c>
      <c r="G259">
        <f>HYPERLINK("http://clipc-services.ceda.ac.uk/dreq/u/590e8b2a-9e49-11e5-803c-0d0b866b59f3.html","web")</f>
        <v>0</v>
      </c>
      <c r="H259" t="s">
        <v>361</v>
      </c>
      <c r="I259" t="s">
        <v>21</v>
      </c>
      <c r="J259" t="s">
        <v>362</v>
      </c>
      <c r="K259" t="s">
        <v>1292</v>
      </c>
      <c r="L259" t="s">
        <v>51</v>
      </c>
      <c r="M259">
        <v>1</v>
      </c>
      <c r="N259" t="s">
        <v>363</v>
      </c>
    </row>
    <row r="260" spans="1:14">
      <c r="A260" t="s">
        <v>1290</v>
      </c>
      <c r="B260" t="s">
        <v>364</v>
      </c>
      <c r="C260" t="s">
        <v>28</v>
      </c>
      <c r="D260" t="s">
        <v>38</v>
      </c>
      <c r="E260" t="s">
        <v>365</v>
      </c>
      <c r="F260" t="s">
        <v>299</v>
      </c>
      <c r="G260">
        <f>HYPERLINK("http://clipc-services.ceda.ac.uk/dreq/u/590e80c6-9e49-11e5-803c-0d0b866b59f3.html","web")</f>
        <v>0</v>
      </c>
      <c r="H260" t="s">
        <v>366</v>
      </c>
      <c r="I260" t="s">
        <v>21</v>
      </c>
      <c r="J260" t="s">
        <v>367</v>
      </c>
      <c r="K260" t="s">
        <v>1295</v>
      </c>
      <c r="L260" t="s">
        <v>51</v>
      </c>
      <c r="M260" t="s">
        <v>299</v>
      </c>
      <c r="N260" t="s">
        <v>369</v>
      </c>
    </row>
    <row r="261" spans="1:14">
      <c r="A261" t="s">
        <v>1290</v>
      </c>
      <c r="B261" t="s">
        <v>370</v>
      </c>
      <c r="C261" t="s">
        <v>28</v>
      </c>
      <c r="D261" t="s">
        <v>38</v>
      </c>
      <c r="E261" t="s">
        <v>371</v>
      </c>
      <c r="F261" t="s">
        <v>299</v>
      </c>
      <c r="G261">
        <f>HYPERLINK("http://clipc-services.ceda.ac.uk/dreq/u/59141748-9e49-11e5-803c-0d0b866b59f3.html","web")</f>
        <v>0</v>
      </c>
      <c r="H261" t="s">
        <v>372</v>
      </c>
      <c r="I261" t="s">
        <v>21</v>
      </c>
      <c r="J261" t="s">
        <v>373</v>
      </c>
      <c r="K261" t="s">
        <v>1295</v>
      </c>
      <c r="L261" t="s">
        <v>51</v>
      </c>
      <c r="M261" t="s">
        <v>299</v>
      </c>
      <c r="N261" t="s">
        <v>374</v>
      </c>
    </row>
    <row r="263" spans="1:14">
      <c r="A263" t="s">
        <v>1296</v>
      </c>
      <c r="B263" t="s">
        <v>429</v>
      </c>
      <c r="C263" t="s">
        <v>16</v>
      </c>
      <c r="D263" t="s">
        <v>422</v>
      </c>
      <c r="E263" t="s">
        <v>430</v>
      </c>
      <c r="F263" t="s">
        <v>431</v>
      </c>
      <c r="G263">
        <f>HYPERLINK("http://clipc-services.ceda.ac.uk/dreq/u/f108633dc7e1585498ceccc06bdfd263.html","web")</f>
        <v>0</v>
      </c>
      <c r="H263" t="s">
        <v>432</v>
      </c>
      <c r="I263" t="s">
        <v>21</v>
      </c>
      <c r="J263" t="s">
        <v>433</v>
      </c>
      <c r="K263" t="s">
        <v>1297</v>
      </c>
      <c r="L263" t="s">
        <v>435</v>
      </c>
      <c r="M263" t="s">
        <v>431</v>
      </c>
      <c r="N263" t="s">
        <v>436</v>
      </c>
    </row>
    <row r="264" spans="1:14">
      <c r="A264" t="s">
        <v>1296</v>
      </c>
      <c r="B264" t="s">
        <v>453</v>
      </c>
      <c r="C264" t="s">
        <v>16</v>
      </c>
      <c r="D264" t="s">
        <v>422</v>
      </c>
      <c r="E264" t="s">
        <v>454</v>
      </c>
      <c r="F264" t="s">
        <v>431</v>
      </c>
      <c r="G264">
        <f>HYPERLINK("http://clipc-services.ceda.ac.uk/dreq/u/dcd2298237af35be0ed71c92ee9e7e79.html","web")</f>
        <v>0</v>
      </c>
      <c r="H264" t="s">
        <v>455</v>
      </c>
      <c r="I264" t="s">
        <v>21</v>
      </c>
      <c r="J264" t="s">
        <v>456</v>
      </c>
      <c r="K264" t="s">
        <v>1297</v>
      </c>
      <c r="L264" t="s">
        <v>435</v>
      </c>
      <c r="M264" t="s">
        <v>431</v>
      </c>
      <c r="N264" t="s">
        <v>457</v>
      </c>
    </row>
    <row r="265" spans="1:14">
      <c r="A265" t="s">
        <v>1296</v>
      </c>
      <c r="B265" t="s">
        <v>463</v>
      </c>
      <c r="C265" t="s">
        <v>16</v>
      </c>
      <c r="D265" t="s">
        <v>422</v>
      </c>
      <c r="E265" t="s">
        <v>464</v>
      </c>
      <c r="F265" t="s">
        <v>431</v>
      </c>
      <c r="G265">
        <f>HYPERLINK("http://clipc-services.ceda.ac.uk/dreq/u/c85ac4ad4664c34898cdb9af2418c45a.html","web")</f>
        <v>0</v>
      </c>
      <c r="H265" t="s">
        <v>465</v>
      </c>
      <c r="I265" t="s">
        <v>21</v>
      </c>
      <c r="J265" t="s">
        <v>466</v>
      </c>
      <c r="K265" t="s">
        <v>1298</v>
      </c>
      <c r="L265" t="s">
        <v>435</v>
      </c>
      <c r="M265" t="s">
        <v>431</v>
      </c>
      <c r="N265" t="s">
        <v>468</v>
      </c>
    </row>
    <row r="266" spans="1:14">
      <c r="A266" t="s">
        <v>1296</v>
      </c>
      <c r="B266" t="s">
        <v>474</v>
      </c>
      <c r="C266" t="s">
        <v>16</v>
      </c>
      <c r="D266" t="s">
        <v>422</v>
      </c>
      <c r="E266" t="s">
        <v>475</v>
      </c>
      <c r="F266" t="s">
        <v>431</v>
      </c>
      <c r="G266">
        <f>HYPERLINK("http://clipc-services.ceda.ac.uk/dreq/u/42625c97b8fe75124a345962c4430982.html","web")</f>
        <v>0</v>
      </c>
      <c r="H266" t="s">
        <v>476</v>
      </c>
      <c r="I266" t="s">
        <v>21</v>
      </c>
      <c r="J266" t="s">
        <v>477</v>
      </c>
      <c r="K266" t="s">
        <v>1297</v>
      </c>
      <c r="L266" t="s">
        <v>24</v>
      </c>
      <c r="M266" t="s">
        <v>431</v>
      </c>
      <c r="N266" t="s">
        <v>479</v>
      </c>
    </row>
    <row r="267" spans="1:14">
      <c r="A267" t="s">
        <v>1296</v>
      </c>
      <c r="B267" t="s">
        <v>480</v>
      </c>
      <c r="C267" t="s">
        <v>28</v>
      </c>
      <c r="D267" t="s">
        <v>422</v>
      </c>
      <c r="E267" t="s">
        <v>481</v>
      </c>
      <c r="F267" t="s">
        <v>431</v>
      </c>
      <c r="G267">
        <f>HYPERLINK("http://clipc-services.ceda.ac.uk/dreq/u/3ab8e10027d7014f18f9391890369235.html","web")</f>
        <v>0</v>
      </c>
      <c r="H267" t="s">
        <v>482</v>
      </c>
      <c r="I267" t="s">
        <v>21</v>
      </c>
      <c r="J267" t="s">
        <v>483</v>
      </c>
      <c r="K267" t="s">
        <v>1297</v>
      </c>
      <c r="L267" t="s">
        <v>24</v>
      </c>
      <c r="M267" t="s">
        <v>431</v>
      </c>
      <c r="N267" t="s">
        <v>485</v>
      </c>
    </row>
    <row r="268" spans="1:14">
      <c r="A268" t="s">
        <v>1296</v>
      </c>
      <c r="B268" t="s">
        <v>486</v>
      </c>
      <c r="C268" t="s">
        <v>28</v>
      </c>
      <c r="D268" t="s">
        <v>422</v>
      </c>
      <c r="E268" t="s">
        <v>487</v>
      </c>
      <c r="F268" t="s">
        <v>488</v>
      </c>
      <c r="G268">
        <f>HYPERLINK("http://clipc-services.ceda.ac.uk/dreq/u/ab60603d901dfa1c47f4d2fd7784f8ea.html","web")</f>
        <v>0</v>
      </c>
      <c r="H268" t="s">
        <v>489</v>
      </c>
      <c r="I268" t="s">
        <v>21</v>
      </c>
      <c r="J268" t="s">
        <v>490</v>
      </c>
      <c r="K268" t="s">
        <v>1299</v>
      </c>
      <c r="L268" t="s">
        <v>435</v>
      </c>
      <c r="M268" t="s">
        <v>488</v>
      </c>
      <c r="N268" t="s">
        <v>492</v>
      </c>
    </row>
    <row r="269" spans="1:14">
      <c r="A269" t="s">
        <v>1296</v>
      </c>
      <c r="B269" t="s">
        <v>493</v>
      </c>
      <c r="C269" t="s">
        <v>16</v>
      </c>
      <c r="D269" t="s">
        <v>422</v>
      </c>
      <c r="E269" t="s">
        <v>494</v>
      </c>
      <c r="F269" t="s">
        <v>488</v>
      </c>
      <c r="G269">
        <f>HYPERLINK("http://clipc-services.ceda.ac.uk/dreq/u/c947141b54f1ab48dba4a84cec99c5d3.html","web")</f>
        <v>0</v>
      </c>
      <c r="H269" t="s">
        <v>495</v>
      </c>
      <c r="I269" t="s">
        <v>21</v>
      </c>
      <c r="J269" t="s">
        <v>496</v>
      </c>
      <c r="K269" t="s">
        <v>1297</v>
      </c>
      <c r="L269" t="s">
        <v>435</v>
      </c>
      <c r="M269" t="s">
        <v>488</v>
      </c>
      <c r="N269" t="s">
        <v>497</v>
      </c>
    </row>
    <row r="270" spans="1:14">
      <c r="A270" t="s">
        <v>1296</v>
      </c>
      <c r="B270" t="s">
        <v>502</v>
      </c>
      <c r="C270" t="s">
        <v>16</v>
      </c>
      <c r="D270" t="s">
        <v>422</v>
      </c>
      <c r="E270" t="s">
        <v>503</v>
      </c>
      <c r="F270" t="s">
        <v>488</v>
      </c>
      <c r="G270">
        <f>HYPERLINK("http://clipc-services.ceda.ac.uk/dreq/u/98fab6148c36b25a158062a11c0c5965.html","web")</f>
        <v>0</v>
      </c>
      <c r="H270" t="s">
        <v>489</v>
      </c>
      <c r="I270" t="s">
        <v>21</v>
      </c>
      <c r="J270" t="s">
        <v>504</v>
      </c>
      <c r="K270" t="s">
        <v>1297</v>
      </c>
      <c r="L270" t="s">
        <v>435</v>
      </c>
      <c r="M270" t="s">
        <v>488</v>
      </c>
      <c r="N270" t="s">
        <v>505</v>
      </c>
    </row>
    <row r="271" spans="1:14">
      <c r="A271" t="s">
        <v>1296</v>
      </c>
      <c r="B271" t="s">
        <v>514</v>
      </c>
      <c r="C271" t="s">
        <v>16</v>
      </c>
      <c r="D271" t="s">
        <v>422</v>
      </c>
      <c r="E271" t="s">
        <v>515</v>
      </c>
      <c r="F271" t="s">
        <v>431</v>
      </c>
      <c r="G271">
        <f>HYPERLINK("http://clipc-services.ceda.ac.uk/dreq/u/9791ce56083fe450761a27a7dc158225.html","web")</f>
        <v>0</v>
      </c>
      <c r="H271" t="s">
        <v>516</v>
      </c>
      <c r="I271" t="s">
        <v>21</v>
      </c>
      <c r="J271" t="s">
        <v>517</v>
      </c>
      <c r="K271" t="s">
        <v>1300</v>
      </c>
      <c r="L271" t="s">
        <v>435</v>
      </c>
      <c r="M271" t="s">
        <v>431</v>
      </c>
      <c r="N271" t="s">
        <v>519</v>
      </c>
    </row>
    <row r="272" spans="1:14">
      <c r="A272" t="s">
        <v>1296</v>
      </c>
      <c r="B272" t="s">
        <v>525</v>
      </c>
      <c r="C272" t="s">
        <v>16</v>
      </c>
      <c r="D272" t="s">
        <v>422</v>
      </c>
      <c r="E272" t="s">
        <v>526</v>
      </c>
      <c r="F272" t="s">
        <v>431</v>
      </c>
      <c r="G272">
        <f>HYPERLINK("http://clipc-services.ceda.ac.uk/dreq/u/28907f4f1855d3d22166c87b8e5300be.html","web")</f>
        <v>0</v>
      </c>
      <c r="H272" t="s">
        <v>527</v>
      </c>
      <c r="I272" t="s">
        <v>21</v>
      </c>
      <c r="J272" t="s">
        <v>528</v>
      </c>
      <c r="K272" t="s">
        <v>1300</v>
      </c>
      <c r="L272" t="s">
        <v>435</v>
      </c>
      <c r="M272" t="s">
        <v>431</v>
      </c>
      <c r="N272" t="s">
        <v>529</v>
      </c>
    </row>
    <row r="273" spans="1:14">
      <c r="A273" t="s">
        <v>1296</v>
      </c>
      <c r="B273" t="s">
        <v>1301</v>
      </c>
      <c r="C273" t="s">
        <v>16</v>
      </c>
      <c r="D273" t="s">
        <v>422</v>
      </c>
      <c r="E273" t="s">
        <v>1302</v>
      </c>
      <c r="F273" t="s">
        <v>729</v>
      </c>
      <c r="G273">
        <f>HYPERLINK("http://clipc-services.ceda.ac.uk/dreq/u/d14c09e91e6240dd9097dfad0a1853c8.html","web")</f>
        <v>0</v>
      </c>
      <c r="H273" t="s">
        <v>1303</v>
      </c>
      <c r="I273" t="s">
        <v>21</v>
      </c>
      <c r="J273" t="s">
        <v>1304</v>
      </c>
      <c r="K273" t="s">
        <v>1300</v>
      </c>
      <c r="L273" t="s">
        <v>435</v>
      </c>
      <c r="M273" t="s">
        <v>729</v>
      </c>
      <c r="N273" t="s">
        <v>1305</v>
      </c>
    </row>
    <row r="274" spans="1:14">
      <c r="A274" t="s">
        <v>1296</v>
      </c>
      <c r="B274" t="s">
        <v>535</v>
      </c>
      <c r="C274" t="s">
        <v>16</v>
      </c>
      <c r="D274" t="s">
        <v>422</v>
      </c>
      <c r="E274" t="s">
        <v>536</v>
      </c>
      <c r="F274" t="s">
        <v>431</v>
      </c>
      <c r="G274">
        <f>HYPERLINK("http://clipc-services.ceda.ac.uk/dreq/u/b0a9616ddee15d1f3740ce445bd82fb1.html","web")</f>
        <v>0</v>
      </c>
      <c r="H274" t="s">
        <v>537</v>
      </c>
      <c r="I274" t="s">
        <v>21</v>
      </c>
      <c r="J274" t="s">
        <v>538</v>
      </c>
      <c r="K274" t="s">
        <v>1306</v>
      </c>
      <c r="L274" t="s">
        <v>435</v>
      </c>
      <c r="M274" t="s">
        <v>431</v>
      </c>
      <c r="N274" t="s">
        <v>539</v>
      </c>
    </row>
    <row r="275" spans="1:14">
      <c r="A275" t="s">
        <v>1296</v>
      </c>
      <c r="B275" t="s">
        <v>545</v>
      </c>
      <c r="C275" t="s">
        <v>28</v>
      </c>
      <c r="D275" t="s">
        <v>422</v>
      </c>
      <c r="E275" t="s">
        <v>546</v>
      </c>
      <c r="F275" t="s">
        <v>431</v>
      </c>
      <c r="G275">
        <f>HYPERLINK("http://clipc-services.ceda.ac.uk/dreq/u/5250c73892803497448e18ba0310c423.html","web")</f>
        <v>0</v>
      </c>
      <c r="H275" t="s">
        <v>547</v>
      </c>
      <c r="I275" t="s">
        <v>21</v>
      </c>
      <c r="J275" t="s">
        <v>548</v>
      </c>
      <c r="K275" t="s">
        <v>1299</v>
      </c>
      <c r="L275" t="s">
        <v>435</v>
      </c>
      <c r="M275" t="s">
        <v>431</v>
      </c>
      <c r="N275" t="s">
        <v>549</v>
      </c>
    </row>
    <row r="276" spans="1:14">
      <c r="A276" t="s">
        <v>1296</v>
      </c>
      <c r="B276" t="s">
        <v>1307</v>
      </c>
      <c r="C276" t="s">
        <v>201</v>
      </c>
      <c r="D276" t="s">
        <v>422</v>
      </c>
      <c r="E276" t="s">
        <v>1308</v>
      </c>
      <c r="F276" t="s">
        <v>56</v>
      </c>
      <c r="G276">
        <f>HYPERLINK("http://clipc-services.ceda.ac.uk/dreq/u/120719dde7f96f9bc088acd33b97967f.html","web")</f>
        <v>0</v>
      </c>
      <c r="H276" t="s">
        <v>1309</v>
      </c>
      <c r="I276" t="s">
        <v>21</v>
      </c>
      <c r="J276" t="s">
        <v>1310</v>
      </c>
      <c r="K276" t="s">
        <v>1311</v>
      </c>
      <c r="L276" t="s">
        <v>24</v>
      </c>
      <c r="M276" t="s">
        <v>56</v>
      </c>
      <c r="N276" t="s">
        <v>1312</v>
      </c>
    </row>
    <row r="277" spans="1:14">
      <c r="A277" t="s">
        <v>1296</v>
      </c>
      <c r="B277" t="s">
        <v>1313</v>
      </c>
      <c r="C277" t="s">
        <v>201</v>
      </c>
      <c r="D277" t="s">
        <v>422</v>
      </c>
      <c r="E277" t="s">
        <v>1314</v>
      </c>
      <c r="F277" t="s">
        <v>56</v>
      </c>
      <c r="G277">
        <f>HYPERLINK("http://clipc-services.ceda.ac.uk/dreq/u/52b1076476b074a18a91b9da1baa6bc3.html","web")</f>
        <v>0</v>
      </c>
      <c r="H277" t="s">
        <v>1315</v>
      </c>
      <c r="I277" t="s">
        <v>21</v>
      </c>
      <c r="J277" t="s">
        <v>1316</v>
      </c>
      <c r="K277" t="s">
        <v>1311</v>
      </c>
      <c r="L277" t="s">
        <v>24</v>
      </c>
      <c r="M277" t="s">
        <v>56</v>
      </c>
      <c r="N277" t="s">
        <v>1317</v>
      </c>
    </row>
    <row r="278" spans="1:14">
      <c r="A278" t="s">
        <v>1296</v>
      </c>
      <c r="B278" t="s">
        <v>554</v>
      </c>
      <c r="C278" t="s">
        <v>28</v>
      </c>
      <c r="D278" t="s">
        <v>422</v>
      </c>
      <c r="E278" t="s">
        <v>555</v>
      </c>
      <c r="F278" t="s">
        <v>431</v>
      </c>
      <c r="G278">
        <f>HYPERLINK("http://clipc-services.ceda.ac.uk/dreq/u/13654e951d583dc7d02b5c23485e6eb5.html","web")</f>
        <v>0</v>
      </c>
      <c r="H278" t="s">
        <v>556</v>
      </c>
      <c r="I278" t="s">
        <v>21</v>
      </c>
      <c r="J278" t="s">
        <v>557</v>
      </c>
      <c r="K278" t="s">
        <v>1306</v>
      </c>
      <c r="L278" t="s">
        <v>435</v>
      </c>
      <c r="M278" t="s">
        <v>431</v>
      </c>
      <c r="N278" t="s">
        <v>559</v>
      </c>
    </row>
    <row r="279" spans="1:14">
      <c r="A279" t="s">
        <v>1296</v>
      </c>
      <c r="B279" t="s">
        <v>568</v>
      </c>
      <c r="C279" t="s">
        <v>16</v>
      </c>
      <c r="D279" t="s">
        <v>422</v>
      </c>
      <c r="E279" t="s">
        <v>569</v>
      </c>
      <c r="F279" t="s">
        <v>431</v>
      </c>
      <c r="G279">
        <f>HYPERLINK("http://clipc-services.ceda.ac.uk/dreq/u/b4ae9d56d038ff977f0db7f578841c5a.html","web")</f>
        <v>0</v>
      </c>
      <c r="H279" t="s">
        <v>570</v>
      </c>
      <c r="I279" t="s">
        <v>21</v>
      </c>
      <c r="J279" t="s">
        <v>571</v>
      </c>
      <c r="K279" t="s">
        <v>1306</v>
      </c>
      <c r="L279" t="s">
        <v>435</v>
      </c>
      <c r="M279" t="s">
        <v>431</v>
      </c>
      <c r="N279" t="s">
        <v>573</v>
      </c>
    </row>
    <row r="280" spans="1:14">
      <c r="A280" t="s">
        <v>1296</v>
      </c>
      <c r="B280" t="s">
        <v>621</v>
      </c>
      <c r="C280" t="s">
        <v>16</v>
      </c>
      <c r="D280" t="s">
        <v>422</v>
      </c>
      <c r="E280" t="s">
        <v>593</v>
      </c>
      <c r="F280" t="s">
        <v>594</v>
      </c>
      <c r="G280">
        <f>HYPERLINK("http://clipc-services.ceda.ac.uk/dreq/u/4f309d6b2d689c19254dccc24c66e32d.html","web")</f>
        <v>0</v>
      </c>
      <c r="H280" t="s">
        <v>622</v>
      </c>
      <c r="I280" t="s">
        <v>21</v>
      </c>
      <c r="J280" t="s">
        <v>623</v>
      </c>
      <c r="K280" t="s">
        <v>1298</v>
      </c>
      <c r="L280" t="s">
        <v>435</v>
      </c>
      <c r="M280" t="s">
        <v>594</v>
      </c>
      <c r="N280" t="s">
        <v>624</v>
      </c>
    </row>
    <row r="281" spans="1:14">
      <c r="A281" t="s">
        <v>1296</v>
      </c>
      <c r="B281" t="s">
        <v>1318</v>
      </c>
      <c r="C281" t="s">
        <v>16</v>
      </c>
      <c r="D281" t="s">
        <v>422</v>
      </c>
      <c r="E281" t="s">
        <v>600</v>
      </c>
      <c r="F281" t="s">
        <v>594</v>
      </c>
      <c r="G281">
        <f>HYPERLINK("http://clipc-services.ceda.ac.uk/dreq/u/71480abb30ae62d262fcea6cfdd753cf.html","web")</f>
        <v>0</v>
      </c>
      <c r="H281" t="s">
        <v>1319</v>
      </c>
      <c r="I281" t="s">
        <v>21</v>
      </c>
      <c r="J281" t="s">
        <v>1320</v>
      </c>
      <c r="K281" t="s">
        <v>1298</v>
      </c>
      <c r="L281" t="s">
        <v>435</v>
      </c>
      <c r="M281" t="s">
        <v>594</v>
      </c>
      <c r="N281" t="s">
        <v>1321</v>
      </c>
    </row>
    <row r="282" spans="1:14">
      <c r="A282" t="s">
        <v>1296</v>
      </c>
      <c r="B282" t="s">
        <v>1322</v>
      </c>
      <c r="C282" t="s">
        <v>16</v>
      </c>
      <c r="D282" t="s">
        <v>422</v>
      </c>
      <c r="E282" t="s">
        <v>1323</v>
      </c>
      <c r="F282" t="s">
        <v>594</v>
      </c>
      <c r="G282">
        <f>HYPERLINK("http://clipc-services.ceda.ac.uk/dreq/u/e52528e8-dd83-11e5-9194-ac72891c3257.html","web")</f>
        <v>0</v>
      </c>
      <c r="H282" t="s">
        <v>1324</v>
      </c>
      <c r="I282" t="s">
        <v>21</v>
      </c>
      <c r="J282" t="s">
        <v>608</v>
      </c>
      <c r="K282" t="s">
        <v>1300</v>
      </c>
      <c r="L282" t="s">
        <v>435</v>
      </c>
      <c r="M282" t="s">
        <v>594</v>
      </c>
      <c r="N282" t="s">
        <v>609</v>
      </c>
    </row>
    <row r="283" spans="1:14">
      <c r="A283" t="s">
        <v>1296</v>
      </c>
      <c r="B283" t="s">
        <v>1325</v>
      </c>
      <c r="C283" t="s">
        <v>16</v>
      </c>
      <c r="D283" t="s">
        <v>422</v>
      </c>
      <c r="E283" t="s">
        <v>1326</v>
      </c>
      <c r="F283" t="s">
        <v>594</v>
      </c>
      <c r="G283">
        <f>HYPERLINK("http://clipc-services.ceda.ac.uk/dreq/u/6fc1dd9341ca569ad866695db9878618.html","web")</f>
        <v>0</v>
      </c>
      <c r="H283" t="s">
        <v>622</v>
      </c>
      <c r="I283" t="s">
        <v>21</v>
      </c>
      <c r="J283" t="s">
        <v>608</v>
      </c>
      <c r="K283" t="s">
        <v>1300</v>
      </c>
      <c r="L283" t="s">
        <v>435</v>
      </c>
      <c r="M283" t="s">
        <v>594</v>
      </c>
      <c r="N283" t="s">
        <v>1327</v>
      </c>
    </row>
    <row r="284" spans="1:14">
      <c r="A284" t="s">
        <v>1296</v>
      </c>
      <c r="B284" t="s">
        <v>1328</v>
      </c>
      <c r="C284" t="s">
        <v>16</v>
      </c>
      <c r="D284" t="s">
        <v>422</v>
      </c>
      <c r="E284" t="s">
        <v>1329</v>
      </c>
      <c r="F284" t="s">
        <v>594</v>
      </c>
      <c r="G284">
        <f>HYPERLINK("http://clipc-services.ceda.ac.uk/dreq/u/60f0a8f8a0311f9c386e64e0b62cf3bd.html","web")</f>
        <v>0</v>
      </c>
      <c r="H284" t="s">
        <v>622</v>
      </c>
      <c r="I284" t="s">
        <v>21</v>
      </c>
      <c r="J284" t="s">
        <v>608</v>
      </c>
      <c r="K284" t="s">
        <v>1300</v>
      </c>
      <c r="L284" t="s">
        <v>435</v>
      </c>
      <c r="M284" t="s">
        <v>594</v>
      </c>
      <c r="N284" t="s">
        <v>1330</v>
      </c>
    </row>
    <row r="285" spans="1:14">
      <c r="A285" t="s">
        <v>1296</v>
      </c>
      <c r="B285" t="s">
        <v>1331</v>
      </c>
      <c r="C285" t="s">
        <v>16</v>
      </c>
      <c r="D285" t="s">
        <v>422</v>
      </c>
      <c r="E285" t="s">
        <v>1332</v>
      </c>
      <c r="F285" t="s">
        <v>594</v>
      </c>
      <c r="G285">
        <f>HYPERLINK("http://clipc-services.ceda.ac.uk/dreq/u/236430ceeb7aa3d23577b3a03d13f7fb.html","web")</f>
        <v>0</v>
      </c>
      <c r="H285" t="s">
        <v>1333</v>
      </c>
      <c r="I285" t="s">
        <v>21</v>
      </c>
      <c r="J285" t="s">
        <v>608</v>
      </c>
      <c r="K285" t="s">
        <v>1298</v>
      </c>
      <c r="L285" t="s">
        <v>435</v>
      </c>
      <c r="M285" t="s">
        <v>594</v>
      </c>
      <c r="N285" t="s">
        <v>614</v>
      </c>
    </row>
    <row r="286" spans="1:14">
      <c r="A286" t="s">
        <v>1296</v>
      </c>
      <c r="B286" t="s">
        <v>667</v>
      </c>
      <c r="C286" t="s">
        <v>28</v>
      </c>
      <c r="D286" t="s">
        <v>38</v>
      </c>
      <c r="E286" t="s">
        <v>668</v>
      </c>
      <c r="F286" t="s">
        <v>40</v>
      </c>
      <c r="G286">
        <f>HYPERLINK("http://clipc-services.ceda.ac.uk/dreq/u/f64c4ac230024801b1f140d806a00972.html","web")</f>
        <v>0</v>
      </c>
      <c r="H286" t="s">
        <v>669</v>
      </c>
      <c r="I286" t="s">
        <v>21</v>
      </c>
      <c r="J286" t="s">
        <v>670</v>
      </c>
      <c r="K286" t="s">
        <v>1297</v>
      </c>
      <c r="L286" t="s">
        <v>435</v>
      </c>
      <c r="M286" t="s">
        <v>40</v>
      </c>
      <c r="N286" t="s">
        <v>672</v>
      </c>
    </row>
    <row r="287" spans="1:14">
      <c r="A287" t="s">
        <v>1296</v>
      </c>
      <c r="B287" t="s">
        <v>727</v>
      </c>
      <c r="C287" t="s">
        <v>201</v>
      </c>
      <c r="D287" t="s">
        <v>422</v>
      </c>
      <c r="E287" t="s">
        <v>728</v>
      </c>
      <c r="F287" t="s">
        <v>729</v>
      </c>
      <c r="G287">
        <f>HYPERLINK("http://clipc-services.ceda.ac.uk/dreq/u/28a54e8b5b73c4ae915a82ed99c74459.html","web")</f>
        <v>0</v>
      </c>
      <c r="H287" t="s">
        <v>730</v>
      </c>
      <c r="I287" t="s">
        <v>21</v>
      </c>
      <c r="J287" t="s">
        <v>731</v>
      </c>
      <c r="K287" t="s">
        <v>1300</v>
      </c>
      <c r="L287" t="s">
        <v>435</v>
      </c>
      <c r="M287" t="s">
        <v>729</v>
      </c>
      <c r="N287" t="s">
        <v>732</v>
      </c>
    </row>
    <row r="288" spans="1:14">
      <c r="A288" t="s">
        <v>1296</v>
      </c>
      <c r="B288" t="s">
        <v>948</v>
      </c>
      <c r="C288" t="s">
        <v>16</v>
      </c>
      <c r="D288" t="s">
        <v>422</v>
      </c>
      <c r="E288" t="s">
        <v>949</v>
      </c>
      <c r="F288" t="s">
        <v>431</v>
      </c>
      <c r="G288">
        <f>HYPERLINK("http://clipc-services.ceda.ac.uk/dreq/u/5a887812bc95f4c8377af5051a2566fe.html","web")</f>
        <v>0</v>
      </c>
      <c r="H288" t="s">
        <v>950</v>
      </c>
      <c r="I288" t="s">
        <v>21</v>
      </c>
      <c r="J288" t="s">
        <v>951</v>
      </c>
      <c r="K288" t="s">
        <v>1300</v>
      </c>
      <c r="L288" t="s">
        <v>435</v>
      </c>
      <c r="M288" t="s">
        <v>431</v>
      </c>
      <c r="N288" t="s">
        <v>952</v>
      </c>
    </row>
    <row r="289" spans="1:14">
      <c r="A289" t="s">
        <v>1296</v>
      </c>
      <c r="B289" t="s">
        <v>957</v>
      </c>
      <c r="C289" t="s">
        <v>28</v>
      </c>
      <c r="D289" t="s">
        <v>422</v>
      </c>
      <c r="E289" t="s">
        <v>958</v>
      </c>
      <c r="F289" t="s">
        <v>431</v>
      </c>
      <c r="G289">
        <f>HYPERLINK("http://clipc-services.ceda.ac.uk/dreq/u/96acc3ed79b2bd5e4dbd613a4c27720f.html","web")</f>
        <v>0</v>
      </c>
      <c r="H289" t="s">
        <v>959</v>
      </c>
      <c r="I289" t="s">
        <v>21</v>
      </c>
      <c r="J289" t="s">
        <v>951</v>
      </c>
      <c r="K289" t="s">
        <v>1334</v>
      </c>
      <c r="L289" t="s">
        <v>435</v>
      </c>
      <c r="M289" t="s">
        <v>431</v>
      </c>
      <c r="N289" t="s">
        <v>960</v>
      </c>
    </row>
    <row r="290" spans="1:14">
      <c r="A290" t="s">
        <v>1296</v>
      </c>
      <c r="B290" t="s">
        <v>964</v>
      </c>
      <c r="C290" t="s">
        <v>28</v>
      </c>
      <c r="D290" t="s">
        <v>422</v>
      </c>
      <c r="E290" t="s">
        <v>965</v>
      </c>
      <c r="F290" t="s">
        <v>431</v>
      </c>
      <c r="G290">
        <f>HYPERLINK("http://clipc-services.ceda.ac.uk/dreq/u/c2705ac5fb7561a3aa5744c1163bf2d7.html","web")</f>
        <v>0</v>
      </c>
      <c r="H290" t="s">
        <v>966</v>
      </c>
      <c r="I290" t="s">
        <v>21</v>
      </c>
      <c r="J290" t="s">
        <v>967</v>
      </c>
      <c r="K290" t="s">
        <v>1334</v>
      </c>
      <c r="L290" t="s">
        <v>435</v>
      </c>
      <c r="M290" t="s">
        <v>431</v>
      </c>
      <c r="N290" t="s">
        <v>968</v>
      </c>
    </row>
    <row r="291" spans="1:14">
      <c r="A291" t="s">
        <v>1296</v>
      </c>
      <c r="B291" t="s">
        <v>1335</v>
      </c>
      <c r="C291" t="s">
        <v>201</v>
      </c>
      <c r="D291" t="s">
        <v>422</v>
      </c>
      <c r="E291" t="s">
        <v>1336</v>
      </c>
      <c r="F291" t="s">
        <v>171</v>
      </c>
      <c r="G291">
        <f>HYPERLINK("http://clipc-services.ceda.ac.uk/dreq/u/c4b3f6005f73f2fc2d0e348fdff3c2bc.html","web")</f>
        <v>0</v>
      </c>
      <c r="H291" t="s">
        <v>1337</v>
      </c>
      <c r="I291" t="s">
        <v>21</v>
      </c>
      <c r="J291" t="s">
        <v>1338</v>
      </c>
      <c r="K291" t="s">
        <v>1311</v>
      </c>
      <c r="L291" t="s">
        <v>24</v>
      </c>
      <c r="M291" t="s">
        <v>171</v>
      </c>
      <c r="N291" t="s">
        <v>1339</v>
      </c>
    </row>
    <row r="292" spans="1:14">
      <c r="A292" t="s">
        <v>1296</v>
      </c>
      <c r="B292" t="s">
        <v>1340</v>
      </c>
      <c r="C292" t="s">
        <v>201</v>
      </c>
      <c r="D292" t="s">
        <v>422</v>
      </c>
      <c r="E292" t="s">
        <v>1341</v>
      </c>
      <c r="F292" t="s">
        <v>171</v>
      </c>
      <c r="G292">
        <f>HYPERLINK("http://clipc-services.ceda.ac.uk/dreq/u/c172481027367670eaf1e53fb8d2e841.html","web")</f>
        <v>0</v>
      </c>
      <c r="H292" t="s">
        <v>1342</v>
      </c>
      <c r="I292" t="s">
        <v>21</v>
      </c>
      <c r="J292" t="s">
        <v>1343</v>
      </c>
      <c r="K292" t="s">
        <v>1311</v>
      </c>
      <c r="L292" t="s">
        <v>24</v>
      </c>
      <c r="M292" t="s">
        <v>171</v>
      </c>
      <c r="N292" t="s">
        <v>1344</v>
      </c>
    </row>
    <row r="293" spans="1:14">
      <c r="A293" t="s">
        <v>1296</v>
      </c>
      <c r="B293" t="s">
        <v>1345</v>
      </c>
      <c r="C293" t="s">
        <v>201</v>
      </c>
      <c r="D293" t="s">
        <v>422</v>
      </c>
      <c r="E293" t="s">
        <v>1346</v>
      </c>
      <c r="F293" t="s">
        <v>171</v>
      </c>
      <c r="G293">
        <f>HYPERLINK("http://clipc-services.ceda.ac.uk/dreq/u/7c5c71f969a6318b3fa5ff2875272caf.html","web")</f>
        <v>0</v>
      </c>
      <c r="H293" t="s">
        <v>1347</v>
      </c>
      <c r="I293" t="s">
        <v>21</v>
      </c>
      <c r="J293" t="s">
        <v>1348</v>
      </c>
      <c r="K293" t="s">
        <v>1311</v>
      </c>
      <c r="L293" t="s">
        <v>24</v>
      </c>
      <c r="M293" t="s">
        <v>171</v>
      </c>
      <c r="N293" t="s">
        <v>1349</v>
      </c>
    </row>
    <row r="294" spans="1:14">
      <c r="A294" t="s">
        <v>1296</v>
      </c>
      <c r="B294" t="s">
        <v>1350</v>
      </c>
      <c r="C294" t="s">
        <v>201</v>
      </c>
      <c r="D294" t="s">
        <v>422</v>
      </c>
      <c r="E294" t="s">
        <v>1351</v>
      </c>
      <c r="F294" t="s">
        <v>171</v>
      </c>
      <c r="G294">
        <f>HYPERLINK("http://clipc-services.ceda.ac.uk/dreq/u/479c5de8-12cc-11e6-b2bc-ac72891c3257.html","web")</f>
        <v>0</v>
      </c>
      <c r="H294" t="s">
        <v>1352</v>
      </c>
      <c r="I294" t="s">
        <v>21</v>
      </c>
      <c r="J294" t="s">
        <v>1353</v>
      </c>
      <c r="K294" t="s">
        <v>1311</v>
      </c>
      <c r="L294" t="s">
        <v>24</v>
      </c>
      <c r="M294" t="s">
        <v>171</v>
      </c>
      <c r="N294" t="s">
        <v>1354</v>
      </c>
    </row>
    <row r="295" spans="1:14">
      <c r="A295" t="s">
        <v>1296</v>
      </c>
      <c r="B295" t="s">
        <v>1355</v>
      </c>
      <c r="C295" t="s">
        <v>201</v>
      </c>
      <c r="D295" t="s">
        <v>422</v>
      </c>
      <c r="E295" t="s">
        <v>1356</v>
      </c>
      <c r="F295" t="s">
        <v>171</v>
      </c>
      <c r="G295">
        <f>HYPERLINK("http://clipc-services.ceda.ac.uk/dreq/u/c4c0cce59536f11df06a045fa8d0c091.html","web")</f>
        <v>0</v>
      </c>
      <c r="H295" t="s">
        <v>1357</v>
      </c>
      <c r="I295" t="s">
        <v>21</v>
      </c>
      <c r="J295" t="s">
        <v>1358</v>
      </c>
      <c r="K295" t="s">
        <v>1311</v>
      </c>
      <c r="L295" t="s">
        <v>24</v>
      </c>
      <c r="M295" t="s">
        <v>171</v>
      </c>
      <c r="N295" t="s">
        <v>1359</v>
      </c>
    </row>
    <row r="296" spans="1:14">
      <c r="A296" t="s">
        <v>1296</v>
      </c>
      <c r="B296" t="s">
        <v>1360</v>
      </c>
      <c r="C296" t="s">
        <v>201</v>
      </c>
      <c r="D296" t="s">
        <v>422</v>
      </c>
      <c r="E296" t="s">
        <v>1361</v>
      </c>
      <c r="F296" t="s">
        <v>40</v>
      </c>
      <c r="G296">
        <f>HYPERLINK("http://clipc-services.ceda.ac.uk/dreq/u/a41ce7d71eb9622c88b8f18438cbe36c.html","web")</f>
        <v>0</v>
      </c>
      <c r="H296" t="s">
        <v>1362</v>
      </c>
      <c r="I296" t="s">
        <v>21</v>
      </c>
      <c r="J296" t="s">
        <v>1363</v>
      </c>
      <c r="K296" t="s">
        <v>1311</v>
      </c>
      <c r="L296" t="s">
        <v>24</v>
      </c>
      <c r="M296" t="s">
        <v>40</v>
      </c>
      <c r="N296" t="s">
        <v>1364</v>
      </c>
    </row>
    <row r="297" spans="1:14">
      <c r="A297" t="s">
        <v>1296</v>
      </c>
      <c r="B297" t="s">
        <v>1365</v>
      </c>
      <c r="C297" t="s">
        <v>201</v>
      </c>
      <c r="D297" t="s">
        <v>422</v>
      </c>
      <c r="E297" t="s">
        <v>1366</v>
      </c>
      <c r="F297" t="s">
        <v>40</v>
      </c>
      <c r="G297">
        <f>HYPERLINK("http://clipc-services.ceda.ac.uk/dreq/u/f507e49404f47a6255539751483d8bdc.html","web")</f>
        <v>0</v>
      </c>
      <c r="H297" t="s">
        <v>1367</v>
      </c>
      <c r="I297" t="s">
        <v>21</v>
      </c>
      <c r="J297" t="s">
        <v>1368</v>
      </c>
      <c r="K297" t="s">
        <v>1311</v>
      </c>
      <c r="L297" t="s">
        <v>24</v>
      </c>
      <c r="M297" t="s">
        <v>40</v>
      </c>
      <c r="N297" t="s">
        <v>1369</v>
      </c>
    </row>
    <row r="298" spans="1:14">
      <c r="A298" t="s">
        <v>1296</v>
      </c>
      <c r="B298" t="s">
        <v>1370</v>
      </c>
      <c r="C298" t="s">
        <v>201</v>
      </c>
      <c r="D298" t="s">
        <v>422</v>
      </c>
      <c r="E298" t="s">
        <v>1371</v>
      </c>
      <c r="F298" t="s">
        <v>40</v>
      </c>
      <c r="G298">
        <f>HYPERLINK("http://clipc-services.ceda.ac.uk/dreq/u/02e08dbdee260db0debd5685cb62934f.html","web")</f>
        <v>0</v>
      </c>
      <c r="H298" t="s">
        <v>1372</v>
      </c>
      <c r="I298" t="s">
        <v>21</v>
      </c>
      <c r="J298" t="s">
        <v>1373</v>
      </c>
      <c r="K298" t="s">
        <v>1311</v>
      </c>
      <c r="L298" t="s">
        <v>24</v>
      </c>
      <c r="M298" t="s">
        <v>40</v>
      </c>
      <c r="N298" t="s">
        <v>1374</v>
      </c>
    </row>
    <row r="299" spans="1:14">
      <c r="A299" t="s">
        <v>1296</v>
      </c>
      <c r="B299" t="s">
        <v>1375</v>
      </c>
      <c r="C299" t="s">
        <v>201</v>
      </c>
      <c r="D299" t="s">
        <v>422</v>
      </c>
      <c r="E299" t="s">
        <v>1376</v>
      </c>
      <c r="F299" t="s">
        <v>40</v>
      </c>
      <c r="G299">
        <f>HYPERLINK("http://clipc-services.ceda.ac.uk/dreq/u/4f1bd1a2-12cc-11e6-b2bc-ac72891c3257.html","web")</f>
        <v>0</v>
      </c>
      <c r="H299" t="s">
        <v>1377</v>
      </c>
      <c r="I299" t="s">
        <v>21</v>
      </c>
      <c r="J299" t="s">
        <v>1378</v>
      </c>
      <c r="K299" t="s">
        <v>1311</v>
      </c>
      <c r="L299" t="s">
        <v>24</v>
      </c>
      <c r="M299" t="s">
        <v>40</v>
      </c>
      <c r="N299" t="s">
        <v>1379</v>
      </c>
    </row>
    <row r="300" spans="1:14">
      <c r="A300" t="s">
        <v>1296</v>
      </c>
      <c r="B300" t="s">
        <v>1380</v>
      </c>
      <c r="C300" t="s">
        <v>201</v>
      </c>
      <c r="D300" t="s">
        <v>422</v>
      </c>
      <c r="E300" t="s">
        <v>1381</v>
      </c>
      <c r="F300" t="s">
        <v>40</v>
      </c>
      <c r="G300">
        <f>HYPERLINK("http://clipc-services.ceda.ac.uk/dreq/u/14d70240caeb3a95922af16eca2d497b.html","web")</f>
        <v>0</v>
      </c>
      <c r="H300" t="s">
        <v>1382</v>
      </c>
      <c r="I300" t="s">
        <v>21</v>
      </c>
      <c r="J300" t="s">
        <v>1383</v>
      </c>
      <c r="K300" t="s">
        <v>1311</v>
      </c>
      <c r="L300" t="s">
        <v>24</v>
      </c>
      <c r="M300" t="s">
        <v>40</v>
      </c>
      <c r="N300" t="s">
        <v>1384</v>
      </c>
    </row>
    <row r="301" spans="1:14">
      <c r="A301" t="s">
        <v>1296</v>
      </c>
      <c r="B301" t="s">
        <v>1385</v>
      </c>
      <c r="C301" t="s">
        <v>16</v>
      </c>
      <c r="D301" t="s">
        <v>422</v>
      </c>
      <c r="E301" t="s">
        <v>1386</v>
      </c>
      <c r="F301" t="s">
        <v>729</v>
      </c>
      <c r="G301">
        <f>HYPERLINK("http://clipc-services.ceda.ac.uk/dreq/u/a336fa5c0a328636d04ea8f648dcd7c7.html","web")</f>
        <v>0</v>
      </c>
      <c r="H301" t="s">
        <v>1387</v>
      </c>
      <c r="I301" t="s">
        <v>21</v>
      </c>
      <c r="J301" t="s">
        <v>1388</v>
      </c>
      <c r="K301" t="s">
        <v>1300</v>
      </c>
      <c r="L301" t="s">
        <v>435</v>
      </c>
      <c r="M301" t="s">
        <v>729</v>
      </c>
      <c r="N301" t="s">
        <v>1389</v>
      </c>
    </row>
    <row r="302" spans="1:14">
      <c r="A302" t="s">
        <v>1296</v>
      </c>
      <c r="B302" t="s">
        <v>1390</v>
      </c>
      <c r="C302" t="s">
        <v>16</v>
      </c>
      <c r="D302" t="s">
        <v>422</v>
      </c>
      <c r="E302" t="s">
        <v>1391</v>
      </c>
      <c r="F302" t="s">
        <v>729</v>
      </c>
      <c r="G302">
        <f>HYPERLINK("http://clipc-services.ceda.ac.uk/dreq/u/683b8f723c94f4a3b3e65569b975d648.html","web")</f>
        <v>0</v>
      </c>
      <c r="H302" t="s">
        <v>1392</v>
      </c>
      <c r="I302" t="s">
        <v>21</v>
      </c>
      <c r="J302" t="s">
        <v>1388</v>
      </c>
      <c r="K302" t="s">
        <v>1300</v>
      </c>
      <c r="L302" t="s">
        <v>435</v>
      </c>
      <c r="M302" t="s">
        <v>729</v>
      </c>
      <c r="N302" t="s">
        <v>1393</v>
      </c>
    </row>
    <row r="303" spans="1:14">
      <c r="A303" t="s">
        <v>1296</v>
      </c>
      <c r="B303" t="s">
        <v>1394</v>
      </c>
      <c r="C303" t="s">
        <v>16</v>
      </c>
      <c r="D303" t="s">
        <v>422</v>
      </c>
      <c r="E303" t="s">
        <v>835</v>
      </c>
      <c r="F303" t="s">
        <v>729</v>
      </c>
      <c r="G303">
        <f>HYPERLINK("http://clipc-services.ceda.ac.uk/dreq/u/57235dfe47c3e04ac63a3c850ef16458.html","web")</f>
        <v>0</v>
      </c>
      <c r="H303" t="s">
        <v>1395</v>
      </c>
      <c r="I303" t="s">
        <v>21</v>
      </c>
      <c r="J303" t="s">
        <v>1396</v>
      </c>
      <c r="K303" t="s">
        <v>1300</v>
      </c>
      <c r="L303" t="s">
        <v>435</v>
      </c>
      <c r="M303" t="s">
        <v>729</v>
      </c>
      <c r="N303" t="s">
        <v>1397</v>
      </c>
    </row>
    <row r="304" spans="1:14">
      <c r="A304" t="s">
        <v>1296</v>
      </c>
      <c r="B304" t="s">
        <v>989</v>
      </c>
      <c r="C304" t="s">
        <v>28</v>
      </c>
      <c r="D304" t="s">
        <v>422</v>
      </c>
      <c r="E304" t="s">
        <v>990</v>
      </c>
      <c r="F304">
        <v>1</v>
      </c>
      <c r="G304">
        <f>HYPERLINK("http://clipc-services.ceda.ac.uk/dreq/u/b50af258aff9f9ca19fdf1ec4b039a55.html","web")</f>
        <v>0</v>
      </c>
      <c r="H304" t="s">
        <v>991</v>
      </c>
      <c r="I304" t="s">
        <v>21</v>
      </c>
      <c r="J304" t="s">
        <v>992</v>
      </c>
      <c r="K304" t="s">
        <v>1398</v>
      </c>
      <c r="L304" t="s">
        <v>435</v>
      </c>
      <c r="M304">
        <v>1</v>
      </c>
      <c r="N304" t="s">
        <v>994</v>
      </c>
    </row>
    <row r="305" spans="1:14">
      <c r="A305" t="s">
        <v>1296</v>
      </c>
      <c r="B305" t="s">
        <v>999</v>
      </c>
      <c r="C305" t="s">
        <v>16</v>
      </c>
      <c r="D305" t="s">
        <v>422</v>
      </c>
      <c r="E305" t="s">
        <v>1000</v>
      </c>
      <c r="F305" t="s">
        <v>431</v>
      </c>
      <c r="G305">
        <f>HYPERLINK("http://clipc-services.ceda.ac.uk/dreq/u/54eb2f6651441ff52f9aea4d43a83024.html","web")</f>
        <v>0</v>
      </c>
      <c r="H305" t="s">
        <v>1001</v>
      </c>
      <c r="I305" t="s">
        <v>21</v>
      </c>
      <c r="J305" t="s">
        <v>1002</v>
      </c>
      <c r="K305" t="s">
        <v>1334</v>
      </c>
      <c r="L305" t="s">
        <v>435</v>
      </c>
      <c r="M305" t="s">
        <v>431</v>
      </c>
      <c r="N305" t="s">
        <v>1004</v>
      </c>
    </row>
    <row r="306" spans="1:14">
      <c r="A306" t="s">
        <v>1296</v>
      </c>
      <c r="B306" t="s">
        <v>1009</v>
      </c>
      <c r="C306" t="s">
        <v>201</v>
      </c>
      <c r="D306" t="s">
        <v>422</v>
      </c>
      <c r="E306" t="s">
        <v>1010</v>
      </c>
      <c r="F306" t="s">
        <v>431</v>
      </c>
      <c r="G306">
        <f>HYPERLINK("http://clipc-services.ceda.ac.uk/dreq/u/5880ab9386066d5d620774a46840cc25.html","web")</f>
        <v>0</v>
      </c>
      <c r="H306" t="s">
        <v>1011</v>
      </c>
      <c r="I306" t="s">
        <v>21</v>
      </c>
      <c r="J306" t="s">
        <v>1012</v>
      </c>
      <c r="K306" t="s">
        <v>1298</v>
      </c>
      <c r="L306" t="s">
        <v>435</v>
      </c>
      <c r="M306" t="s">
        <v>431</v>
      </c>
      <c r="N306" t="s">
        <v>1013</v>
      </c>
    </row>
    <row r="307" spans="1:14">
      <c r="A307" t="s">
        <v>1296</v>
      </c>
      <c r="B307" t="s">
        <v>1018</v>
      </c>
      <c r="C307" t="s">
        <v>16</v>
      </c>
      <c r="D307" t="s">
        <v>422</v>
      </c>
      <c r="E307" t="s">
        <v>1019</v>
      </c>
      <c r="F307" t="s">
        <v>431</v>
      </c>
      <c r="G307">
        <f>HYPERLINK("http://clipc-services.ceda.ac.uk/dreq/u/87f531b94bd9ca68e33e89d7e3e81be4.html","web")</f>
        <v>0</v>
      </c>
      <c r="H307" t="s">
        <v>1020</v>
      </c>
      <c r="I307" t="s">
        <v>21</v>
      </c>
      <c r="J307" t="s">
        <v>1021</v>
      </c>
      <c r="K307" t="s">
        <v>1297</v>
      </c>
      <c r="L307" t="s">
        <v>435</v>
      </c>
      <c r="M307" t="s">
        <v>431</v>
      </c>
      <c r="N307" t="s">
        <v>1022</v>
      </c>
    </row>
    <row r="308" spans="1:14">
      <c r="A308" t="s">
        <v>1296</v>
      </c>
      <c r="B308" t="s">
        <v>1026</v>
      </c>
      <c r="C308" t="s">
        <v>201</v>
      </c>
      <c r="D308" t="s">
        <v>422</v>
      </c>
      <c r="E308" t="s">
        <v>1027</v>
      </c>
      <c r="F308" t="s">
        <v>431</v>
      </c>
      <c r="G308">
        <f>HYPERLINK("http://clipc-services.ceda.ac.uk/dreq/u/9a7cb6c8481412d525ba1101f82b892d.html","web")</f>
        <v>0</v>
      </c>
      <c r="H308" t="s">
        <v>1001</v>
      </c>
      <c r="I308" t="s">
        <v>21</v>
      </c>
      <c r="J308" t="s">
        <v>1028</v>
      </c>
      <c r="K308" t="s">
        <v>1298</v>
      </c>
      <c r="L308" t="s">
        <v>435</v>
      </c>
      <c r="M308" t="s">
        <v>431</v>
      </c>
      <c r="N308" t="s">
        <v>1029</v>
      </c>
    </row>
    <row r="309" spans="1:14">
      <c r="A309" t="s">
        <v>1296</v>
      </c>
      <c r="B309" t="s">
        <v>1033</v>
      </c>
      <c r="C309" t="s">
        <v>16</v>
      </c>
      <c r="D309" t="s">
        <v>422</v>
      </c>
      <c r="E309" t="s">
        <v>1034</v>
      </c>
      <c r="F309" t="s">
        <v>431</v>
      </c>
      <c r="G309">
        <f>HYPERLINK("http://clipc-services.ceda.ac.uk/dreq/u/6cde3055df67931d84608fc5b7694f65.html","web")</f>
        <v>0</v>
      </c>
      <c r="H309" t="s">
        <v>1035</v>
      </c>
      <c r="I309" t="s">
        <v>21</v>
      </c>
      <c r="J309" t="s">
        <v>1036</v>
      </c>
      <c r="K309" t="s">
        <v>1297</v>
      </c>
      <c r="L309" t="s">
        <v>435</v>
      </c>
      <c r="M309" t="s">
        <v>431</v>
      </c>
      <c r="N309" t="s">
        <v>1037</v>
      </c>
    </row>
    <row r="310" spans="1:14">
      <c r="A310" t="s">
        <v>1296</v>
      </c>
      <c r="B310" t="s">
        <v>1399</v>
      </c>
      <c r="C310" t="s">
        <v>16</v>
      </c>
      <c r="D310" t="s">
        <v>422</v>
      </c>
      <c r="E310" t="s">
        <v>1400</v>
      </c>
      <c r="F310" t="s">
        <v>729</v>
      </c>
      <c r="G310">
        <f>HYPERLINK("http://clipc-services.ceda.ac.uk/dreq/u/a3dd8da8b39dde98682ad859d8f5f5c2.html","web")</f>
        <v>0</v>
      </c>
      <c r="H310" t="s">
        <v>1401</v>
      </c>
      <c r="I310" t="s">
        <v>21</v>
      </c>
      <c r="J310" t="s">
        <v>1402</v>
      </c>
      <c r="K310" t="s">
        <v>1300</v>
      </c>
      <c r="L310" t="s">
        <v>435</v>
      </c>
      <c r="M310" t="s">
        <v>729</v>
      </c>
      <c r="N310" t="s">
        <v>1403</v>
      </c>
    </row>
    <row r="311" spans="1:14">
      <c r="A311" t="s">
        <v>1296</v>
      </c>
      <c r="B311" t="s">
        <v>1041</v>
      </c>
      <c r="C311" t="s">
        <v>28</v>
      </c>
      <c r="D311" t="s">
        <v>422</v>
      </c>
      <c r="E311" t="s">
        <v>1042</v>
      </c>
      <c r="F311" t="s">
        <v>431</v>
      </c>
      <c r="G311">
        <f>HYPERLINK("http://clipc-services.ceda.ac.uk/dreq/u/72366111fcb3d2a0d14dc917e8fca8eb.html","web")</f>
        <v>0</v>
      </c>
      <c r="H311" t="s">
        <v>1043</v>
      </c>
      <c r="I311" t="s">
        <v>21</v>
      </c>
      <c r="J311" t="s">
        <v>1044</v>
      </c>
      <c r="K311" t="s">
        <v>1306</v>
      </c>
      <c r="L311" t="s">
        <v>435</v>
      </c>
      <c r="M311" t="s">
        <v>431</v>
      </c>
      <c r="N311" t="s">
        <v>1045</v>
      </c>
    </row>
    <row r="312" spans="1:14">
      <c r="A312" t="s">
        <v>1296</v>
      </c>
      <c r="B312" t="s">
        <v>1049</v>
      </c>
      <c r="C312" t="s">
        <v>16</v>
      </c>
      <c r="D312" t="s">
        <v>422</v>
      </c>
      <c r="E312" t="s">
        <v>1050</v>
      </c>
      <c r="F312" t="s">
        <v>729</v>
      </c>
      <c r="G312">
        <f>HYPERLINK("http://clipc-services.ceda.ac.uk/dreq/u/41cef8aa37d1f0164ae061f293d4361c.html","web")</f>
        <v>0</v>
      </c>
      <c r="H312" t="s">
        <v>1051</v>
      </c>
      <c r="I312" t="s">
        <v>21</v>
      </c>
      <c r="J312" t="s">
        <v>1052</v>
      </c>
      <c r="K312" t="s">
        <v>1298</v>
      </c>
      <c r="L312" t="s">
        <v>435</v>
      </c>
      <c r="M312" t="s">
        <v>729</v>
      </c>
      <c r="N312" t="s">
        <v>1053</v>
      </c>
    </row>
    <row r="313" spans="1:14">
      <c r="A313" t="s">
        <v>1296</v>
      </c>
      <c r="B313" t="s">
        <v>1404</v>
      </c>
      <c r="C313" t="s">
        <v>201</v>
      </c>
      <c r="D313" t="s">
        <v>422</v>
      </c>
      <c r="E313" t="s">
        <v>856</v>
      </c>
      <c r="F313" t="s">
        <v>729</v>
      </c>
      <c r="G313">
        <f>HYPERLINK("http://clipc-services.ceda.ac.uk/dreq/u/e525bed4-dd83-11e5-9194-ac72891c3257.html","web")</f>
        <v>0</v>
      </c>
      <c r="H313" t="s">
        <v>1405</v>
      </c>
      <c r="I313" t="s">
        <v>21</v>
      </c>
      <c r="J313" t="s">
        <v>1406</v>
      </c>
      <c r="K313" t="s">
        <v>1300</v>
      </c>
      <c r="L313" t="s">
        <v>435</v>
      </c>
      <c r="M313" t="s">
        <v>729</v>
      </c>
      <c r="N313" t="s">
        <v>1407</v>
      </c>
    </row>
    <row r="314" spans="1:14">
      <c r="A314" t="s">
        <v>1296</v>
      </c>
      <c r="B314" t="s">
        <v>1408</v>
      </c>
      <c r="C314" t="s">
        <v>201</v>
      </c>
      <c r="D314" t="s">
        <v>422</v>
      </c>
      <c r="E314" t="s">
        <v>861</v>
      </c>
      <c r="F314" t="s">
        <v>729</v>
      </c>
      <c r="G314">
        <f>HYPERLINK("http://clipc-services.ceda.ac.uk/dreq/u/e5278b06-dd83-11e5-9194-ac72891c3257.html","web")</f>
        <v>0</v>
      </c>
      <c r="H314" t="s">
        <v>1409</v>
      </c>
      <c r="I314" t="s">
        <v>21</v>
      </c>
      <c r="J314" t="s">
        <v>1410</v>
      </c>
      <c r="K314" t="s">
        <v>1300</v>
      </c>
      <c r="L314" t="s">
        <v>435</v>
      </c>
      <c r="M314" t="s">
        <v>729</v>
      </c>
      <c r="N314" t="s">
        <v>1411</v>
      </c>
    </row>
    <row r="315" spans="1:14">
      <c r="A315" t="s">
        <v>1296</v>
      </c>
      <c r="B315" t="s">
        <v>1412</v>
      </c>
      <c r="C315" t="s">
        <v>16</v>
      </c>
      <c r="D315" t="s">
        <v>422</v>
      </c>
      <c r="E315" t="s">
        <v>1413</v>
      </c>
      <c r="F315" t="s">
        <v>729</v>
      </c>
      <c r="G315">
        <f>HYPERLINK("http://clipc-services.ceda.ac.uk/dreq/u/6b8715466e3423119e9642776eacb693.html","web")</f>
        <v>0</v>
      </c>
      <c r="H315" t="s">
        <v>1414</v>
      </c>
      <c r="I315" t="s">
        <v>21</v>
      </c>
      <c r="J315" t="s">
        <v>1415</v>
      </c>
      <c r="K315" t="s">
        <v>1416</v>
      </c>
      <c r="L315" t="s">
        <v>435</v>
      </c>
      <c r="M315" t="s">
        <v>729</v>
      </c>
      <c r="N315" t="s">
        <v>1417</v>
      </c>
    </row>
    <row r="316" spans="1:14">
      <c r="A316" t="s">
        <v>1296</v>
      </c>
      <c r="B316" t="s">
        <v>1074</v>
      </c>
      <c r="C316" t="s">
        <v>16</v>
      </c>
      <c r="D316" t="s">
        <v>422</v>
      </c>
      <c r="E316" t="s">
        <v>1075</v>
      </c>
      <c r="F316" t="s">
        <v>431</v>
      </c>
      <c r="G316">
        <f>HYPERLINK("http://clipc-services.ceda.ac.uk/dreq/u/82b5e315b8be441e26a9c45e95fe7573.html","web")</f>
        <v>0</v>
      </c>
      <c r="H316" t="s">
        <v>1076</v>
      </c>
      <c r="I316" t="s">
        <v>21</v>
      </c>
      <c r="J316" t="s">
        <v>1077</v>
      </c>
      <c r="K316" t="s">
        <v>1297</v>
      </c>
      <c r="L316" t="s">
        <v>24</v>
      </c>
      <c r="M316" t="s">
        <v>431</v>
      </c>
      <c r="N316" t="s">
        <v>1078</v>
      </c>
    </row>
    <row r="317" spans="1:14">
      <c r="A317" t="s">
        <v>1296</v>
      </c>
      <c r="B317" t="s">
        <v>1079</v>
      </c>
      <c r="C317" t="s">
        <v>28</v>
      </c>
      <c r="D317" t="s">
        <v>422</v>
      </c>
      <c r="E317" t="s">
        <v>1080</v>
      </c>
      <c r="F317" t="s">
        <v>431</v>
      </c>
      <c r="G317">
        <f>HYPERLINK("http://clipc-services.ceda.ac.uk/dreq/u/56a5fa6dd6b7c4aa711f362d5d5414f6.html","web")</f>
        <v>0</v>
      </c>
      <c r="H317" t="s">
        <v>1081</v>
      </c>
      <c r="I317" t="s">
        <v>21</v>
      </c>
      <c r="J317" t="s">
        <v>1082</v>
      </c>
      <c r="K317" t="s">
        <v>1299</v>
      </c>
      <c r="L317" t="s">
        <v>435</v>
      </c>
      <c r="M317" t="s">
        <v>431</v>
      </c>
      <c r="N317" t="s">
        <v>1083</v>
      </c>
    </row>
    <row r="318" spans="1:14">
      <c r="A318" t="s">
        <v>1296</v>
      </c>
      <c r="B318" t="s">
        <v>1418</v>
      </c>
      <c r="C318" t="s">
        <v>201</v>
      </c>
      <c r="D318" t="s">
        <v>38</v>
      </c>
      <c r="E318" t="s">
        <v>1419</v>
      </c>
      <c r="F318" t="s">
        <v>1420</v>
      </c>
      <c r="G318">
        <f>HYPERLINK("http://clipc-services.ceda.ac.uk/dreq/u/180d4bd9a18a9d5ecf3d45690b8e9c75.html","web")</f>
        <v>0</v>
      </c>
      <c r="H318" t="s">
        <v>1421</v>
      </c>
      <c r="I318" t="s">
        <v>21</v>
      </c>
      <c r="J318" t="s">
        <v>1422</v>
      </c>
      <c r="K318" t="s">
        <v>1297</v>
      </c>
      <c r="L318" t="s">
        <v>24</v>
      </c>
      <c r="M318" t="s">
        <v>1420</v>
      </c>
      <c r="N318" t="s">
        <v>1423</v>
      </c>
    </row>
    <row r="319" spans="1:14">
      <c r="A319" t="s">
        <v>1296</v>
      </c>
      <c r="B319" t="s">
        <v>1128</v>
      </c>
      <c r="C319" t="s">
        <v>28</v>
      </c>
      <c r="D319" t="s">
        <v>422</v>
      </c>
      <c r="E319" t="s">
        <v>1129</v>
      </c>
      <c r="F319" t="s">
        <v>431</v>
      </c>
      <c r="G319">
        <f>HYPERLINK("http://clipc-services.ceda.ac.uk/dreq/u/d90bac355dae4e53a6d0e5df81a090ad.html","web")</f>
        <v>0</v>
      </c>
      <c r="H319" t="s">
        <v>1130</v>
      </c>
      <c r="I319" t="s">
        <v>21</v>
      </c>
      <c r="J319" t="s">
        <v>1131</v>
      </c>
      <c r="K319" t="s">
        <v>1306</v>
      </c>
      <c r="L319" t="s">
        <v>435</v>
      </c>
      <c r="M319" t="s">
        <v>431</v>
      </c>
      <c r="N319" t="s">
        <v>1132</v>
      </c>
    </row>
    <row r="320" spans="1:14">
      <c r="A320" t="s">
        <v>1296</v>
      </c>
      <c r="B320" t="s">
        <v>1424</v>
      </c>
      <c r="C320" t="s">
        <v>201</v>
      </c>
      <c r="D320" t="s">
        <v>38</v>
      </c>
      <c r="E320" t="s">
        <v>1425</v>
      </c>
      <c r="F320" t="s">
        <v>171</v>
      </c>
      <c r="G320">
        <f>HYPERLINK("http://clipc-services.ceda.ac.uk/dreq/u/dfd869cd3463de6a57b2a9e10605efe7.html","web")</f>
        <v>0</v>
      </c>
      <c r="H320" t="s">
        <v>1426</v>
      </c>
      <c r="I320" t="s">
        <v>21</v>
      </c>
      <c r="J320" t="s">
        <v>1427</v>
      </c>
      <c r="K320" t="s">
        <v>1311</v>
      </c>
      <c r="L320" t="s">
        <v>24</v>
      </c>
      <c r="M320" t="s">
        <v>171</v>
      </c>
      <c r="N320" t="s">
        <v>1428</v>
      </c>
    </row>
    <row r="321" spans="1:14">
      <c r="A321" t="s">
        <v>1296</v>
      </c>
      <c r="B321" t="s">
        <v>1242</v>
      </c>
      <c r="C321" t="s">
        <v>201</v>
      </c>
      <c r="D321" t="s">
        <v>422</v>
      </c>
      <c r="E321" t="s">
        <v>1243</v>
      </c>
      <c r="F321" t="s">
        <v>431</v>
      </c>
      <c r="G321">
        <f>HYPERLINK("http://clipc-services.ceda.ac.uk/dreq/u/30a7a10d4c71066f19eae9a89ddfafba.html","web")</f>
        <v>0</v>
      </c>
      <c r="H321" t="s">
        <v>1244</v>
      </c>
      <c r="I321" t="s">
        <v>21</v>
      </c>
      <c r="J321" t="s">
        <v>1245</v>
      </c>
      <c r="K321" t="s">
        <v>1429</v>
      </c>
      <c r="L321" t="s">
        <v>435</v>
      </c>
      <c r="M321" t="s">
        <v>431</v>
      </c>
      <c r="N321" t="s">
        <v>1246</v>
      </c>
    </row>
    <row r="322" spans="1:14">
      <c r="A322" t="s">
        <v>1296</v>
      </c>
      <c r="B322" t="s">
        <v>1251</v>
      </c>
      <c r="C322" t="s">
        <v>201</v>
      </c>
      <c r="D322" t="s">
        <v>422</v>
      </c>
      <c r="E322" t="s">
        <v>1252</v>
      </c>
      <c r="F322" t="s">
        <v>431</v>
      </c>
      <c r="G322">
        <f>HYPERLINK("http://clipc-services.ceda.ac.uk/dreq/u/e9dc036ef43db84bc4651ce95b0fed94.html","web")</f>
        <v>0</v>
      </c>
      <c r="H322" t="s">
        <v>1253</v>
      </c>
      <c r="I322" t="s">
        <v>21</v>
      </c>
      <c r="J322" t="s">
        <v>1254</v>
      </c>
      <c r="K322" t="s">
        <v>1429</v>
      </c>
      <c r="L322" t="s">
        <v>435</v>
      </c>
      <c r="M322" t="s">
        <v>431</v>
      </c>
      <c r="N322" t="s">
        <v>1255</v>
      </c>
    </row>
    <row r="323" spans="1:14">
      <c r="A323" t="s">
        <v>1296</v>
      </c>
      <c r="B323" t="s">
        <v>1265</v>
      </c>
      <c r="C323" t="s">
        <v>16</v>
      </c>
      <c r="D323" t="s">
        <v>422</v>
      </c>
      <c r="E323" t="s">
        <v>1266</v>
      </c>
      <c r="F323" t="s">
        <v>431</v>
      </c>
      <c r="G323">
        <f>HYPERLINK("http://clipc-services.ceda.ac.uk/dreq/u/be62c57dff12142bf51fc73c70cfb050.html","web")</f>
        <v>0</v>
      </c>
      <c r="H323" t="s">
        <v>1253</v>
      </c>
      <c r="I323" t="s">
        <v>21</v>
      </c>
      <c r="J323" t="s">
        <v>1267</v>
      </c>
      <c r="K323" t="s">
        <v>1306</v>
      </c>
      <c r="L323" t="s">
        <v>435</v>
      </c>
      <c r="M323" t="s">
        <v>431</v>
      </c>
      <c r="N323" t="s">
        <v>1269</v>
      </c>
    </row>
    <row r="325" spans="1:14">
      <c r="A325" t="s">
        <v>1430</v>
      </c>
      <c r="B325" t="s">
        <v>1318</v>
      </c>
      <c r="C325" t="s">
        <v>16</v>
      </c>
      <c r="D325" t="s">
        <v>422</v>
      </c>
      <c r="E325" t="s">
        <v>600</v>
      </c>
      <c r="F325" t="s">
        <v>594</v>
      </c>
      <c r="G325">
        <f>HYPERLINK("http://clipc-services.ceda.ac.uk/dreq/u/71480abb30ae62d262fcea6cfdd753cf.html","web")</f>
        <v>0</v>
      </c>
      <c r="H325" t="s">
        <v>1319</v>
      </c>
      <c r="I325" t="s">
        <v>21</v>
      </c>
      <c r="J325" t="s">
        <v>1320</v>
      </c>
      <c r="K325" t="s">
        <v>1431</v>
      </c>
      <c r="L325" t="s">
        <v>435</v>
      </c>
      <c r="M325" t="s">
        <v>594</v>
      </c>
      <c r="N325" t="s">
        <v>1321</v>
      </c>
    </row>
    <row r="326" spans="1:14">
      <c r="A326" t="s">
        <v>1430</v>
      </c>
      <c r="B326" t="s">
        <v>1322</v>
      </c>
      <c r="C326" t="s">
        <v>28</v>
      </c>
      <c r="D326" t="s">
        <v>422</v>
      </c>
      <c r="E326" t="s">
        <v>1323</v>
      </c>
      <c r="F326" t="s">
        <v>594</v>
      </c>
      <c r="G326">
        <f>HYPERLINK("http://clipc-services.ceda.ac.uk/dreq/u/e52528e8-dd83-11e5-9194-ac72891c3257.html","web")</f>
        <v>0</v>
      </c>
      <c r="H326" t="s">
        <v>1324</v>
      </c>
      <c r="I326" t="s">
        <v>21</v>
      </c>
      <c r="J326" t="s">
        <v>608</v>
      </c>
      <c r="K326" t="s">
        <v>1431</v>
      </c>
      <c r="L326" t="s">
        <v>435</v>
      </c>
      <c r="M326" t="s">
        <v>594</v>
      </c>
      <c r="N326" t="s">
        <v>609</v>
      </c>
    </row>
    <row r="327" spans="1:14">
      <c r="A327" t="s">
        <v>1430</v>
      </c>
      <c r="B327" t="s">
        <v>1325</v>
      </c>
      <c r="C327" t="s">
        <v>16</v>
      </c>
      <c r="D327" t="s">
        <v>422</v>
      </c>
      <c r="E327" t="s">
        <v>1326</v>
      </c>
      <c r="F327" t="s">
        <v>594</v>
      </c>
      <c r="G327">
        <f>HYPERLINK("http://clipc-services.ceda.ac.uk/dreq/u/6fc1dd9341ca569ad866695db9878618.html","web")</f>
        <v>0</v>
      </c>
      <c r="H327" t="s">
        <v>622</v>
      </c>
      <c r="I327" t="s">
        <v>21</v>
      </c>
      <c r="J327" t="s">
        <v>608</v>
      </c>
      <c r="K327" t="s">
        <v>1431</v>
      </c>
      <c r="L327" t="s">
        <v>435</v>
      </c>
      <c r="M327" t="s">
        <v>594</v>
      </c>
      <c r="N327" t="s">
        <v>1327</v>
      </c>
    </row>
    <row r="328" spans="1:14">
      <c r="A328" t="s">
        <v>1430</v>
      </c>
      <c r="B328" t="s">
        <v>1328</v>
      </c>
      <c r="C328" t="s">
        <v>16</v>
      </c>
      <c r="D328" t="s">
        <v>422</v>
      </c>
      <c r="E328" t="s">
        <v>1329</v>
      </c>
      <c r="F328" t="s">
        <v>594</v>
      </c>
      <c r="G328">
        <f>HYPERLINK("http://clipc-services.ceda.ac.uk/dreq/u/60f0a8f8a0311f9c386e64e0b62cf3bd.html","web")</f>
        <v>0</v>
      </c>
      <c r="H328" t="s">
        <v>622</v>
      </c>
      <c r="I328" t="s">
        <v>21</v>
      </c>
      <c r="J328" t="s">
        <v>608</v>
      </c>
      <c r="K328" t="s">
        <v>1431</v>
      </c>
      <c r="L328" t="s">
        <v>435</v>
      </c>
      <c r="M328" t="s">
        <v>594</v>
      </c>
      <c r="N328" t="s">
        <v>1330</v>
      </c>
    </row>
    <row r="329" spans="1:14">
      <c r="A329" t="s">
        <v>1430</v>
      </c>
      <c r="B329" t="s">
        <v>1331</v>
      </c>
      <c r="C329" t="s">
        <v>16</v>
      </c>
      <c r="D329" t="s">
        <v>422</v>
      </c>
      <c r="E329" t="s">
        <v>1332</v>
      </c>
      <c r="F329" t="s">
        <v>594</v>
      </c>
      <c r="G329">
        <f>HYPERLINK("http://clipc-services.ceda.ac.uk/dreq/u/236430ceeb7aa3d23577b3a03d13f7fb.html","web")</f>
        <v>0</v>
      </c>
      <c r="H329" t="s">
        <v>1333</v>
      </c>
      <c r="I329" t="s">
        <v>21</v>
      </c>
      <c r="J329" t="s">
        <v>608</v>
      </c>
      <c r="K329" t="s">
        <v>1431</v>
      </c>
      <c r="L329" t="s">
        <v>435</v>
      </c>
      <c r="M329" t="s">
        <v>594</v>
      </c>
      <c r="N329" t="s">
        <v>614</v>
      </c>
    </row>
    <row r="330" spans="1:14">
      <c r="A330" t="s">
        <v>1430</v>
      </c>
      <c r="B330" t="s">
        <v>1432</v>
      </c>
      <c r="C330" t="s">
        <v>28</v>
      </c>
      <c r="D330" t="s">
        <v>38</v>
      </c>
      <c r="E330" t="s">
        <v>1433</v>
      </c>
      <c r="F330" t="s">
        <v>40</v>
      </c>
      <c r="G330">
        <f>HYPERLINK("http://clipc-services.ceda.ac.uk/dreq/u/591505ae-9e49-11e5-803c-0d0b866b59f3.html","web")</f>
        <v>0</v>
      </c>
      <c r="H330" t="s">
        <v>1434</v>
      </c>
      <c r="I330" t="s">
        <v>21</v>
      </c>
      <c r="J330" t="s">
        <v>1435</v>
      </c>
      <c r="K330" t="s">
        <v>1436</v>
      </c>
      <c r="L330" t="s">
        <v>24</v>
      </c>
      <c r="M330" t="s">
        <v>40</v>
      </c>
      <c r="N330" t="s">
        <v>1437</v>
      </c>
    </row>
    <row r="331" spans="1:14">
      <c r="A331" t="s">
        <v>1430</v>
      </c>
      <c r="B331" t="s">
        <v>1335</v>
      </c>
      <c r="C331" t="s">
        <v>16</v>
      </c>
      <c r="D331" t="s">
        <v>422</v>
      </c>
      <c r="E331" t="s">
        <v>1336</v>
      </c>
      <c r="F331" t="s">
        <v>171</v>
      </c>
      <c r="G331">
        <f>HYPERLINK("http://clipc-services.ceda.ac.uk/dreq/u/c4b3f6005f73f2fc2d0e348fdff3c2bc.html","web")</f>
        <v>0</v>
      </c>
      <c r="H331" t="s">
        <v>1337</v>
      </c>
      <c r="I331" t="s">
        <v>21</v>
      </c>
      <c r="J331" t="s">
        <v>1338</v>
      </c>
      <c r="K331" t="s">
        <v>1438</v>
      </c>
      <c r="L331" t="s">
        <v>24</v>
      </c>
      <c r="M331" t="s">
        <v>171</v>
      </c>
      <c r="N331" t="s">
        <v>1339</v>
      </c>
    </row>
    <row r="332" spans="1:14">
      <c r="A332" t="s">
        <v>1430</v>
      </c>
      <c r="B332" t="s">
        <v>1340</v>
      </c>
      <c r="C332" t="s">
        <v>16</v>
      </c>
      <c r="D332" t="s">
        <v>422</v>
      </c>
      <c r="E332" t="s">
        <v>1341</v>
      </c>
      <c r="F332" t="s">
        <v>171</v>
      </c>
      <c r="G332">
        <f>HYPERLINK("http://clipc-services.ceda.ac.uk/dreq/u/c172481027367670eaf1e53fb8d2e841.html","web")</f>
        <v>0</v>
      </c>
      <c r="H332" t="s">
        <v>1342</v>
      </c>
      <c r="I332" t="s">
        <v>21</v>
      </c>
      <c r="J332" t="s">
        <v>1343</v>
      </c>
      <c r="K332" t="s">
        <v>1438</v>
      </c>
      <c r="L332" t="s">
        <v>24</v>
      </c>
      <c r="M332" t="s">
        <v>171</v>
      </c>
      <c r="N332" t="s">
        <v>1344</v>
      </c>
    </row>
    <row r="333" spans="1:14">
      <c r="A333" t="s">
        <v>1430</v>
      </c>
      <c r="B333" t="s">
        <v>1345</v>
      </c>
      <c r="C333" t="s">
        <v>16</v>
      </c>
      <c r="D333" t="s">
        <v>422</v>
      </c>
      <c r="E333" t="s">
        <v>1346</v>
      </c>
      <c r="F333" t="s">
        <v>171</v>
      </c>
      <c r="G333">
        <f>HYPERLINK("http://clipc-services.ceda.ac.uk/dreq/u/7c5c71f969a6318b3fa5ff2875272caf.html","web")</f>
        <v>0</v>
      </c>
      <c r="H333" t="s">
        <v>1347</v>
      </c>
      <c r="I333" t="s">
        <v>21</v>
      </c>
      <c r="J333" t="s">
        <v>1348</v>
      </c>
      <c r="K333" t="s">
        <v>1438</v>
      </c>
      <c r="L333" t="s">
        <v>24</v>
      </c>
      <c r="M333" t="s">
        <v>171</v>
      </c>
      <c r="N333" t="s">
        <v>1349</v>
      </c>
    </row>
    <row r="334" spans="1:14">
      <c r="A334" t="s">
        <v>1430</v>
      </c>
      <c r="B334" t="s">
        <v>1350</v>
      </c>
      <c r="C334" t="s">
        <v>16</v>
      </c>
      <c r="D334" t="s">
        <v>422</v>
      </c>
      <c r="E334" t="s">
        <v>1351</v>
      </c>
      <c r="F334" t="s">
        <v>171</v>
      </c>
      <c r="G334">
        <f>HYPERLINK("http://clipc-services.ceda.ac.uk/dreq/u/479c5de8-12cc-11e6-b2bc-ac72891c3257.html","web")</f>
        <v>0</v>
      </c>
      <c r="H334" t="s">
        <v>1352</v>
      </c>
      <c r="I334" t="s">
        <v>21</v>
      </c>
      <c r="J334" t="s">
        <v>1353</v>
      </c>
      <c r="K334" t="s">
        <v>1438</v>
      </c>
      <c r="L334" t="s">
        <v>24</v>
      </c>
      <c r="M334" t="s">
        <v>171</v>
      </c>
      <c r="N334" t="s">
        <v>1354</v>
      </c>
    </row>
    <row r="335" spans="1:14">
      <c r="A335" t="s">
        <v>1430</v>
      </c>
      <c r="B335" t="s">
        <v>1355</v>
      </c>
      <c r="C335" t="s">
        <v>16</v>
      </c>
      <c r="D335" t="s">
        <v>422</v>
      </c>
      <c r="E335" t="s">
        <v>1356</v>
      </c>
      <c r="F335" t="s">
        <v>171</v>
      </c>
      <c r="G335">
        <f>HYPERLINK("http://clipc-services.ceda.ac.uk/dreq/u/c4c0cce59536f11df06a045fa8d0c091.html","web")</f>
        <v>0</v>
      </c>
      <c r="H335" t="s">
        <v>1357</v>
      </c>
      <c r="I335" t="s">
        <v>21</v>
      </c>
      <c r="J335" t="s">
        <v>1358</v>
      </c>
      <c r="K335" t="s">
        <v>1438</v>
      </c>
      <c r="L335" t="s">
        <v>24</v>
      </c>
      <c r="M335" t="s">
        <v>171</v>
      </c>
      <c r="N335" t="s">
        <v>1359</v>
      </c>
    </row>
    <row r="336" spans="1:14">
      <c r="A336" t="s">
        <v>1430</v>
      </c>
      <c r="B336" t="s">
        <v>1360</v>
      </c>
      <c r="C336" t="s">
        <v>16</v>
      </c>
      <c r="D336" t="s">
        <v>422</v>
      </c>
      <c r="E336" t="s">
        <v>1361</v>
      </c>
      <c r="F336" t="s">
        <v>40</v>
      </c>
      <c r="G336">
        <f>HYPERLINK("http://clipc-services.ceda.ac.uk/dreq/u/a41ce7d71eb9622c88b8f18438cbe36c.html","web")</f>
        <v>0</v>
      </c>
      <c r="H336" t="s">
        <v>1362</v>
      </c>
      <c r="I336" t="s">
        <v>21</v>
      </c>
      <c r="J336" t="s">
        <v>1363</v>
      </c>
      <c r="K336" t="s">
        <v>1438</v>
      </c>
      <c r="L336" t="s">
        <v>24</v>
      </c>
      <c r="M336" t="s">
        <v>40</v>
      </c>
      <c r="N336" t="s">
        <v>1364</v>
      </c>
    </row>
    <row r="337" spans="1:14">
      <c r="A337" t="s">
        <v>1430</v>
      </c>
      <c r="B337" t="s">
        <v>1365</v>
      </c>
      <c r="C337" t="s">
        <v>16</v>
      </c>
      <c r="D337" t="s">
        <v>422</v>
      </c>
      <c r="E337" t="s">
        <v>1366</v>
      </c>
      <c r="F337" t="s">
        <v>40</v>
      </c>
      <c r="G337">
        <f>HYPERLINK("http://clipc-services.ceda.ac.uk/dreq/u/f507e49404f47a6255539751483d8bdc.html","web")</f>
        <v>0</v>
      </c>
      <c r="H337" t="s">
        <v>1367</v>
      </c>
      <c r="I337" t="s">
        <v>21</v>
      </c>
      <c r="J337" t="s">
        <v>1368</v>
      </c>
      <c r="K337" t="s">
        <v>1438</v>
      </c>
      <c r="L337" t="s">
        <v>24</v>
      </c>
      <c r="M337" t="s">
        <v>40</v>
      </c>
      <c r="N337" t="s">
        <v>1369</v>
      </c>
    </row>
    <row r="338" spans="1:14">
      <c r="A338" t="s">
        <v>1430</v>
      </c>
      <c r="B338" t="s">
        <v>1370</v>
      </c>
      <c r="C338" t="s">
        <v>16</v>
      </c>
      <c r="D338" t="s">
        <v>422</v>
      </c>
      <c r="E338" t="s">
        <v>1371</v>
      </c>
      <c r="F338" t="s">
        <v>40</v>
      </c>
      <c r="G338">
        <f>HYPERLINK("http://clipc-services.ceda.ac.uk/dreq/u/02e08dbdee260db0debd5685cb62934f.html","web")</f>
        <v>0</v>
      </c>
      <c r="H338" t="s">
        <v>1372</v>
      </c>
      <c r="I338" t="s">
        <v>21</v>
      </c>
      <c r="J338" t="s">
        <v>1373</v>
      </c>
      <c r="K338" t="s">
        <v>1438</v>
      </c>
      <c r="L338" t="s">
        <v>24</v>
      </c>
      <c r="M338" t="s">
        <v>40</v>
      </c>
      <c r="N338" t="s">
        <v>1374</v>
      </c>
    </row>
    <row r="339" spans="1:14">
      <c r="A339" t="s">
        <v>1430</v>
      </c>
      <c r="B339" t="s">
        <v>1375</v>
      </c>
      <c r="C339" t="s">
        <v>16</v>
      </c>
      <c r="D339" t="s">
        <v>422</v>
      </c>
      <c r="E339" t="s">
        <v>1376</v>
      </c>
      <c r="F339" t="s">
        <v>40</v>
      </c>
      <c r="G339">
        <f>HYPERLINK("http://clipc-services.ceda.ac.uk/dreq/u/4f1bd1a2-12cc-11e6-b2bc-ac72891c3257.html","web")</f>
        <v>0</v>
      </c>
      <c r="H339" t="s">
        <v>1377</v>
      </c>
      <c r="I339" t="s">
        <v>21</v>
      </c>
      <c r="J339" t="s">
        <v>1378</v>
      </c>
      <c r="K339" t="s">
        <v>1438</v>
      </c>
      <c r="L339" t="s">
        <v>24</v>
      </c>
      <c r="M339" t="s">
        <v>40</v>
      </c>
      <c r="N339" t="s">
        <v>1379</v>
      </c>
    </row>
    <row r="340" spans="1:14">
      <c r="A340" t="s">
        <v>1430</v>
      </c>
      <c r="B340" t="s">
        <v>1380</v>
      </c>
      <c r="C340" t="s">
        <v>16</v>
      </c>
      <c r="D340" t="s">
        <v>422</v>
      </c>
      <c r="E340" t="s">
        <v>1381</v>
      </c>
      <c r="F340" t="s">
        <v>40</v>
      </c>
      <c r="G340">
        <f>HYPERLINK("http://clipc-services.ceda.ac.uk/dreq/u/14d70240caeb3a95922af16eca2d497b.html","web")</f>
        <v>0</v>
      </c>
      <c r="H340" t="s">
        <v>1382</v>
      </c>
      <c r="I340" t="s">
        <v>21</v>
      </c>
      <c r="J340" t="s">
        <v>1383</v>
      </c>
      <c r="K340" t="s">
        <v>1438</v>
      </c>
      <c r="L340" t="s">
        <v>24</v>
      </c>
      <c r="M340" t="s">
        <v>40</v>
      </c>
      <c r="N340" t="s">
        <v>1384</v>
      </c>
    </row>
    <row r="341" spans="1:14">
      <c r="A341" t="s">
        <v>1430</v>
      </c>
      <c r="B341" t="s">
        <v>1404</v>
      </c>
      <c r="C341" t="s">
        <v>201</v>
      </c>
      <c r="D341" t="s">
        <v>422</v>
      </c>
      <c r="E341" t="s">
        <v>856</v>
      </c>
      <c r="F341" t="s">
        <v>729</v>
      </c>
      <c r="G341">
        <f>HYPERLINK("http://clipc-services.ceda.ac.uk/dreq/u/e525bed4-dd83-11e5-9194-ac72891c3257.html","web")</f>
        <v>0</v>
      </c>
      <c r="H341" t="s">
        <v>1405</v>
      </c>
      <c r="I341" t="s">
        <v>21</v>
      </c>
      <c r="J341" t="s">
        <v>1406</v>
      </c>
      <c r="K341" t="s">
        <v>1431</v>
      </c>
      <c r="L341" t="s">
        <v>435</v>
      </c>
      <c r="M341" t="s">
        <v>729</v>
      </c>
      <c r="N341" t="s">
        <v>1407</v>
      </c>
    </row>
    <row r="342" spans="1:14">
      <c r="A342" t="s">
        <v>1430</v>
      </c>
      <c r="B342" t="s">
        <v>1408</v>
      </c>
      <c r="C342" t="s">
        <v>201</v>
      </c>
      <c r="D342" t="s">
        <v>422</v>
      </c>
      <c r="E342" t="s">
        <v>861</v>
      </c>
      <c r="F342" t="s">
        <v>729</v>
      </c>
      <c r="G342">
        <f>HYPERLINK("http://clipc-services.ceda.ac.uk/dreq/u/e5278b06-dd83-11e5-9194-ac72891c3257.html","web")</f>
        <v>0</v>
      </c>
      <c r="H342" t="s">
        <v>1409</v>
      </c>
      <c r="I342" t="s">
        <v>21</v>
      </c>
      <c r="J342" t="s">
        <v>1410</v>
      </c>
      <c r="K342" t="s">
        <v>1431</v>
      </c>
      <c r="L342" t="s">
        <v>435</v>
      </c>
      <c r="M342" t="s">
        <v>729</v>
      </c>
      <c r="N342" t="s">
        <v>1411</v>
      </c>
    </row>
    <row r="343" spans="1:14">
      <c r="A343" t="s">
        <v>1430</v>
      </c>
      <c r="B343" t="s">
        <v>1418</v>
      </c>
      <c r="C343" t="s">
        <v>16</v>
      </c>
      <c r="D343" t="s">
        <v>38</v>
      </c>
      <c r="E343" t="s">
        <v>1419</v>
      </c>
      <c r="F343" t="s">
        <v>1420</v>
      </c>
      <c r="G343">
        <f>HYPERLINK("http://clipc-services.ceda.ac.uk/dreq/u/180d4bd9a18a9d5ecf3d45690b8e9c75.html","web")</f>
        <v>0</v>
      </c>
      <c r="H343" t="s">
        <v>1421</v>
      </c>
      <c r="I343" t="s">
        <v>21</v>
      </c>
      <c r="J343" t="s">
        <v>1422</v>
      </c>
      <c r="K343" t="s">
        <v>1439</v>
      </c>
      <c r="L343" t="s">
        <v>24</v>
      </c>
      <c r="M343" t="s">
        <v>1420</v>
      </c>
      <c r="N343" t="s">
        <v>1423</v>
      </c>
    </row>
    <row r="344" spans="1:14">
      <c r="A344" t="s">
        <v>1430</v>
      </c>
      <c r="B344" t="s">
        <v>1440</v>
      </c>
      <c r="C344" t="s">
        <v>28</v>
      </c>
      <c r="D344" t="s">
        <v>38</v>
      </c>
      <c r="E344" t="s">
        <v>1441</v>
      </c>
      <c r="F344" t="s">
        <v>165</v>
      </c>
      <c r="G344">
        <f>HYPERLINK("http://clipc-services.ceda.ac.uk/dreq/u/46bc4ce008d1306ea0780510304cfa88.html","web")</f>
        <v>0</v>
      </c>
      <c r="H344" t="s">
        <v>1442</v>
      </c>
      <c r="I344" t="s">
        <v>21</v>
      </c>
      <c r="J344" t="s">
        <v>1443</v>
      </c>
      <c r="K344" t="s">
        <v>1444</v>
      </c>
      <c r="L344" t="s">
        <v>24</v>
      </c>
      <c r="M344" t="s">
        <v>165</v>
      </c>
      <c r="N344" t="s">
        <v>1445</v>
      </c>
    </row>
    <row r="345" spans="1:14">
      <c r="A345" t="s">
        <v>1430</v>
      </c>
      <c r="B345" t="s">
        <v>1446</v>
      </c>
      <c r="C345" t="s">
        <v>28</v>
      </c>
      <c r="D345" t="s">
        <v>38</v>
      </c>
      <c r="E345" t="s">
        <v>1447</v>
      </c>
      <c r="F345" t="s">
        <v>31</v>
      </c>
      <c r="G345">
        <f>HYPERLINK("http://clipc-services.ceda.ac.uk/dreq/u/b5bc9b1fa92a35cec5989eeac3d77d1a.html","web")</f>
        <v>0</v>
      </c>
      <c r="H345" t="s">
        <v>1448</v>
      </c>
      <c r="I345" t="s">
        <v>21</v>
      </c>
      <c r="J345" t="s">
        <v>1449</v>
      </c>
      <c r="K345" t="s">
        <v>1444</v>
      </c>
      <c r="L345" t="s">
        <v>24</v>
      </c>
      <c r="M345" t="s">
        <v>31</v>
      </c>
      <c r="N345" t="s">
        <v>1450</v>
      </c>
    </row>
    <row r="346" spans="1:14">
      <c r="A346" t="s">
        <v>1430</v>
      </c>
      <c r="B346" t="s">
        <v>1451</v>
      </c>
      <c r="C346" t="s">
        <v>28</v>
      </c>
      <c r="D346" t="s">
        <v>1452</v>
      </c>
      <c r="E346" t="s">
        <v>1453</v>
      </c>
      <c r="F346" t="s">
        <v>31</v>
      </c>
      <c r="G346">
        <f>HYPERLINK("http://clipc-services.ceda.ac.uk/dreq/u/59130bf0-9e49-11e5-803c-0d0b866b59f3.html","web")</f>
        <v>0</v>
      </c>
      <c r="H346" t="s">
        <v>1454</v>
      </c>
      <c r="I346" t="s">
        <v>21</v>
      </c>
      <c r="J346" t="s">
        <v>1455</v>
      </c>
      <c r="K346" t="s">
        <v>1456</v>
      </c>
      <c r="L346" t="s">
        <v>24</v>
      </c>
      <c r="M346" t="s">
        <v>31</v>
      </c>
      <c r="N346" t="s">
        <v>1457</v>
      </c>
    </row>
    <row r="347" spans="1:14">
      <c r="A347" t="s">
        <v>1430</v>
      </c>
      <c r="B347" t="s">
        <v>1458</v>
      </c>
      <c r="C347" t="s">
        <v>28</v>
      </c>
      <c r="D347" t="s">
        <v>1459</v>
      </c>
      <c r="E347" t="s">
        <v>1460</v>
      </c>
      <c r="F347" t="s">
        <v>31</v>
      </c>
      <c r="G347">
        <f>HYPERLINK("http://clipc-services.ceda.ac.uk/dreq/u/590d2b9a-9e49-11e5-803c-0d0b866b59f3.html","web")</f>
        <v>0</v>
      </c>
      <c r="H347" t="s">
        <v>1461</v>
      </c>
      <c r="I347" t="s">
        <v>21</v>
      </c>
      <c r="J347" t="s">
        <v>1462</v>
      </c>
      <c r="K347" t="s">
        <v>1456</v>
      </c>
      <c r="L347" t="s">
        <v>24</v>
      </c>
      <c r="M347" t="s">
        <v>31</v>
      </c>
      <c r="N347" t="s">
        <v>1463</v>
      </c>
    </row>
    <row r="348" spans="1:14">
      <c r="A348" t="s">
        <v>1430</v>
      </c>
      <c r="B348" t="s">
        <v>1464</v>
      </c>
      <c r="C348" t="s">
        <v>28</v>
      </c>
      <c r="D348" t="s">
        <v>1465</v>
      </c>
      <c r="E348" t="s">
        <v>1466</v>
      </c>
      <c r="F348" t="s">
        <v>31</v>
      </c>
      <c r="G348">
        <f>HYPERLINK("http://clipc-services.ceda.ac.uk/dreq/u/590eda94-9e49-11e5-803c-0d0b866b59f3.html","web")</f>
        <v>0</v>
      </c>
      <c r="H348" t="s">
        <v>1467</v>
      </c>
      <c r="I348" t="s">
        <v>21</v>
      </c>
      <c r="J348" t="s">
        <v>1468</v>
      </c>
      <c r="K348" t="s">
        <v>1456</v>
      </c>
      <c r="L348" t="s">
        <v>24</v>
      </c>
      <c r="M348" t="s">
        <v>31</v>
      </c>
      <c r="N348" t="s">
        <v>1469</v>
      </c>
    </row>
    <row r="350" spans="1:14">
      <c r="A350" t="s">
        <v>1470</v>
      </c>
      <c r="B350" t="s">
        <v>510</v>
      </c>
      <c r="C350" t="s">
        <v>201</v>
      </c>
      <c r="D350" t="s">
        <v>38</v>
      </c>
      <c r="E350" t="s">
        <v>511</v>
      </c>
      <c r="F350" t="s">
        <v>488</v>
      </c>
      <c r="G350">
        <f>HYPERLINK("http://clipc-services.ceda.ac.uk/dreq/u/1c757370cf83e5619efc0de4d1241f47.html","web")</f>
        <v>0</v>
      </c>
      <c r="H350" t="s">
        <v>508</v>
      </c>
      <c r="I350" t="s">
        <v>21</v>
      </c>
      <c r="J350" t="s">
        <v>512</v>
      </c>
      <c r="K350" t="s">
        <v>1471</v>
      </c>
      <c r="L350" t="s">
        <v>435</v>
      </c>
      <c r="M350" t="s">
        <v>488</v>
      </c>
      <c r="N350" t="s">
        <v>492</v>
      </c>
    </row>
    <row r="351" spans="1:14">
      <c r="A351" t="s">
        <v>1470</v>
      </c>
      <c r="B351" t="s">
        <v>1472</v>
      </c>
      <c r="C351" t="s">
        <v>28</v>
      </c>
      <c r="D351" t="s">
        <v>38</v>
      </c>
      <c r="E351" t="s">
        <v>1473</v>
      </c>
      <c r="F351" t="s">
        <v>165</v>
      </c>
      <c r="G351">
        <f>HYPERLINK("http://clipc-services.ceda.ac.uk/dreq/u/5f8dc9362d17e2daa42dd6f0f38afb76.html","web")</f>
        <v>0</v>
      </c>
      <c r="H351" t="s">
        <v>1474</v>
      </c>
      <c r="I351" t="s">
        <v>21</v>
      </c>
      <c r="J351" t="s">
        <v>1475</v>
      </c>
      <c r="K351" t="s">
        <v>1476</v>
      </c>
      <c r="L351" t="s">
        <v>24</v>
      </c>
      <c r="M351" t="s">
        <v>165</v>
      </c>
      <c r="N351" t="s">
        <v>1477</v>
      </c>
    </row>
    <row r="352" spans="1:14">
      <c r="A352" t="s">
        <v>1470</v>
      </c>
      <c r="B352" t="s">
        <v>1005</v>
      </c>
      <c r="C352" t="s">
        <v>201</v>
      </c>
      <c r="D352" t="s">
        <v>38</v>
      </c>
      <c r="E352" t="s">
        <v>1006</v>
      </c>
      <c r="F352" t="s">
        <v>431</v>
      </c>
      <c r="G352">
        <f>HYPERLINK("http://clipc-services.ceda.ac.uk/dreq/u/314e3eb73c9ccbdd132899317d87d856.html","web")</f>
        <v>0</v>
      </c>
      <c r="H352" t="s">
        <v>1007</v>
      </c>
      <c r="I352" t="s">
        <v>21</v>
      </c>
      <c r="J352" t="s">
        <v>1008</v>
      </c>
      <c r="K352" t="s">
        <v>1478</v>
      </c>
      <c r="L352" t="s">
        <v>435</v>
      </c>
      <c r="M352" t="s">
        <v>431</v>
      </c>
      <c r="N352" t="s">
        <v>1004</v>
      </c>
    </row>
    <row r="353" spans="1:14">
      <c r="A353" t="s">
        <v>1470</v>
      </c>
      <c r="B353" t="s">
        <v>1109</v>
      </c>
      <c r="C353" t="s">
        <v>201</v>
      </c>
      <c r="D353" t="s">
        <v>38</v>
      </c>
      <c r="E353" t="s">
        <v>1110</v>
      </c>
      <c r="F353">
        <v>0.001</v>
      </c>
      <c r="G353">
        <f>HYPERLINK("http://clipc-services.ceda.ac.uk/dreq/u/74a9891bcab2667dbcb66574c6370c86.html","web")</f>
        <v>0</v>
      </c>
      <c r="H353" t="s">
        <v>1111</v>
      </c>
      <c r="I353" t="s">
        <v>21</v>
      </c>
      <c r="J353" t="s">
        <v>1097</v>
      </c>
      <c r="K353" t="s">
        <v>1471</v>
      </c>
      <c r="L353" t="s">
        <v>24</v>
      </c>
      <c r="M353">
        <v>0.001</v>
      </c>
      <c r="N353" t="s">
        <v>1113</v>
      </c>
    </row>
    <row r="354" spans="1:14">
      <c r="A354" t="s">
        <v>1470</v>
      </c>
      <c r="B354" t="s">
        <v>1118</v>
      </c>
      <c r="C354" t="s">
        <v>201</v>
      </c>
      <c r="D354" t="s">
        <v>38</v>
      </c>
      <c r="E354" t="s">
        <v>1119</v>
      </c>
      <c r="F354">
        <v>1e-06</v>
      </c>
      <c r="G354">
        <f>HYPERLINK("http://clipc-services.ceda.ac.uk/dreq/u/d4eb6956-b00f-11e6-a1f0-ac72891c3257.html","web")</f>
        <v>0</v>
      </c>
      <c r="H354" t="s">
        <v>1120</v>
      </c>
      <c r="I354" t="s">
        <v>21</v>
      </c>
      <c r="J354" t="s">
        <v>1097</v>
      </c>
      <c r="K354" t="s">
        <v>1471</v>
      </c>
      <c r="L354" t="s">
        <v>24</v>
      </c>
      <c r="M354">
        <v>1e-06</v>
      </c>
      <c r="N354" t="s">
        <v>1121</v>
      </c>
    </row>
    <row r="355" spans="1:14">
      <c r="A355" t="s">
        <v>1470</v>
      </c>
      <c r="B355" t="s">
        <v>27</v>
      </c>
      <c r="C355" t="s">
        <v>201</v>
      </c>
      <c r="D355" t="s">
        <v>38</v>
      </c>
      <c r="E355" t="s">
        <v>30</v>
      </c>
      <c r="F355" t="s">
        <v>31</v>
      </c>
      <c r="G355">
        <f>HYPERLINK("http://clipc-services.ceda.ac.uk/dreq/u/0e5d376315a376cd2b1e37f440fe43d3.html","web")</f>
        <v>0</v>
      </c>
      <c r="H355" t="s">
        <v>32</v>
      </c>
      <c r="I355" t="s">
        <v>21</v>
      </c>
      <c r="J355" t="s">
        <v>33</v>
      </c>
      <c r="K355" t="s">
        <v>1479</v>
      </c>
      <c r="L355" t="s">
        <v>24</v>
      </c>
      <c r="M355" t="s">
        <v>31</v>
      </c>
      <c r="N355" t="s">
        <v>35</v>
      </c>
    </row>
    <row r="356" spans="1:14">
      <c r="A356" t="s">
        <v>1470</v>
      </c>
      <c r="B356" t="s">
        <v>1177</v>
      </c>
      <c r="C356" t="s">
        <v>201</v>
      </c>
      <c r="D356" t="s">
        <v>38</v>
      </c>
      <c r="E356" t="s">
        <v>1178</v>
      </c>
      <c r="F356" t="s">
        <v>1179</v>
      </c>
      <c r="G356">
        <f>HYPERLINK("http://clipc-services.ceda.ac.uk/dreq/u/d1b497a4f7f4cb666757ec97d152079e.html","web")</f>
        <v>0</v>
      </c>
      <c r="H356" t="s">
        <v>1180</v>
      </c>
      <c r="I356" t="s">
        <v>21</v>
      </c>
      <c r="J356" t="s">
        <v>1181</v>
      </c>
      <c r="K356" t="s">
        <v>1480</v>
      </c>
      <c r="L356" t="s">
        <v>24</v>
      </c>
      <c r="M356" t="s">
        <v>1179</v>
      </c>
      <c r="N356" t="s">
        <v>1182</v>
      </c>
    </row>
    <row r="358" spans="1:14">
      <c r="A358" t="s">
        <v>1481</v>
      </c>
      <c r="B358" t="s">
        <v>1482</v>
      </c>
      <c r="C358" t="s">
        <v>201</v>
      </c>
      <c r="D358" t="s">
        <v>1483</v>
      </c>
      <c r="E358" t="s">
        <v>1484</v>
      </c>
      <c r="F358" t="s">
        <v>56</v>
      </c>
      <c r="G358">
        <f>HYPERLINK("http://clipc-services.ceda.ac.uk/dreq/u/1cf6c7fa0adedf95b3eaad5fb3f96b1c.html","web")</f>
        <v>0</v>
      </c>
      <c r="H358" t="s">
        <v>1485</v>
      </c>
      <c r="I358" t="s">
        <v>21</v>
      </c>
      <c r="J358" t="s">
        <v>1486</v>
      </c>
      <c r="K358" t="s">
        <v>1487</v>
      </c>
      <c r="L358" t="s">
        <v>24</v>
      </c>
      <c r="M358" t="s">
        <v>56</v>
      </c>
      <c r="N358" t="s">
        <v>1488</v>
      </c>
    </row>
    <row r="359" spans="1:14">
      <c r="A359" t="s">
        <v>1481</v>
      </c>
      <c r="B359" t="s">
        <v>1489</v>
      </c>
      <c r="C359" t="s">
        <v>201</v>
      </c>
      <c r="D359" t="s">
        <v>1483</v>
      </c>
      <c r="E359" t="s">
        <v>1490</v>
      </c>
      <c r="F359" t="s">
        <v>56</v>
      </c>
      <c r="G359">
        <f>HYPERLINK("http://clipc-services.ceda.ac.uk/dreq/u/b02d071fff99f2632aa8ac5e83e92215.html","web")</f>
        <v>0</v>
      </c>
      <c r="H359" t="s">
        <v>1485</v>
      </c>
      <c r="I359" t="s">
        <v>21</v>
      </c>
      <c r="J359" t="s">
        <v>1491</v>
      </c>
      <c r="K359" t="s">
        <v>1487</v>
      </c>
      <c r="L359" t="s">
        <v>24</v>
      </c>
      <c r="M359" t="s">
        <v>56</v>
      </c>
      <c r="N359" t="s">
        <v>1492</v>
      </c>
    </row>
    <row r="360" spans="1:14">
      <c r="A360" t="s">
        <v>1481</v>
      </c>
      <c r="B360" t="s">
        <v>1493</v>
      </c>
      <c r="C360" t="s">
        <v>201</v>
      </c>
      <c r="D360" t="s">
        <v>1483</v>
      </c>
      <c r="E360" t="s">
        <v>1494</v>
      </c>
      <c r="F360" t="s">
        <v>56</v>
      </c>
      <c r="G360">
        <f>HYPERLINK("http://clipc-services.ceda.ac.uk/dreq/u/478c43820503be64675fb49227d2f999.html","web")</f>
        <v>0</v>
      </c>
      <c r="H360" t="s">
        <v>1495</v>
      </c>
      <c r="I360" t="s">
        <v>21</v>
      </c>
      <c r="J360" t="s">
        <v>1496</v>
      </c>
      <c r="K360" t="s">
        <v>1487</v>
      </c>
      <c r="L360" t="s">
        <v>24</v>
      </c>
      <c r="M360" t="s">
        <v>56</v>
      </c>
      <c r="N360" t="s">
        <v>1497</v>
      </c>
    </row>
    <row r="361" spans="1:14">
      <c r="A361" t="s">
        <v>1481</v>
      </c>
      <c r="B361" t="s">
        <v>1307</v>
      </c>
      <c r="C361" t="s">
        <v>201</v>
      </c>
      <c r="D361" t="s">
        <v>1498</v>
      </c>
      <c r="E361" t="s">
        <v>1308</v>
      </c>
      <c r="F361" t="s">
        <v>56</v>
      </c>
      <c r="G361">
        <f>HYPERLINK("http://clipc-services.ceda.ac.uk/dreq/u/120719dde7f96f9bc088acd33b97967f.html","web")</f>
        <v>0</v>
      </c>
      <c r="H361" t="s">
        <v>1309</v>
      </c>
      <c r="I361" t="s">
        <v>21</v>
      </c>
      <c r="J361" t="s">
        <v>1310</v>
      </c>
      <c r="K361" t="s">
        <v>1499</v>
      </c>
      <c r="L361" t="s">
        <v>24</v>
      </c>
      <c r="M361" t="s">
        <v>56</v>
      </c>
      <c r="N361" t="s">
        <v>1312</v>
      </c>
    </row>
    <row r="362" spans="1:14">
      <c r="A362" t="s">
        <v>1481</v>
      </c>
      <c r="B362" t="s">
        <v>1500</v>
      </c>
      <c r="C362" t="s">
        <v>201</v>
      </c>
      <c r="D362" t="s">
        <v>1498</v>
      </c>
      <c r="E362" t="s">
        <v>1501</v>
      </c>
      <c r="F362" t="s">
        <v>56</v>
      </c>
      <c r="G362">
        <f>HYPERLINK("http://clipc-services.ceda.ac.uk/dreq/u/5f19c4be9ae133db06403c986c8136d6.html","web")</f>
        <v>0</v>
      </c>
      <c r="H362" t="s">
        <v>1502</v>
      </c>
      <c r="I362" t="s">
        <v>21</v>
      </c>
      <c r="J362" t="s">
        <v>1503</v>
      </c>
      <c r="K362" t="s">
        <v>1499</v>
      </c>
      <c r="L362" t="s">
        <v>24</v>
      </c>
      <c r="M362" t="s">
        <v>56</v>
      </c>
      <c r="N362" t="s">
        <v>1504</v>
      </c>
    </row>
    <row r="363" spans="1:14">
      <c r="A363" t="s">
        <v>1481</v>
      </c>
      <c r="B363" t="s">
        <v>1505</v>
      </c>
      <c r="C363" t="s">
        <v>201</v>
      </c>
      <c r="D363" t="s">
        <v>1498</v>
      </c>
      <c r="E363" t="s">
        <v>1506</v>
      </c>
      <c r="F363" t="s">
        <v>56</v>
      </c>
      <c r="G363">
        <f>HYPERLINK("http://clipc-services.ceda.ac.uk/dreq/u/9e50f2bc84a18f56a9c317be11770663.html","web")</f>
        <v>0</v>
      </c>
      <c r="H363" t="s">
        <v>1507</v>
      </c>
      <c r="I363" t="s">
        <v>21</v>
      </c>
      <c r="J363" t="s">
        <v>1508</v>
      </c>
      <c r="K363" t="s">
        <v>1509</v>
      </c>
      <c r="L363" t="s">
        <v>24</v>
      </c>
      <c r="M363" t="s">
        <v>56</v>
      </c>
      <c r="N363" t="s">
        <v>1510</v>
      </c>
    </row>
    <row r="364" spans="1:14">
      <c r="A364" t="s">
        <v>1481</v>
      </c>
      <c r="B364" t="s">
        <v>1313</v>
      </c>
      <c r="C364" t="s">
        <v>201</v>
      </c>
      <c r="D364" t="s">
        <v>1498</v>
      </c>
      <c r="E364" t="s">
        <v>1314</v>
      </c>
      <c r="F364" t="s">
        <v>56</v>
      </c>
      <c r="G364">
        <f>HYPERLINK("http://clipc-services.ceda.ac.uk/dreq/u/52b1076476b074a18a91b9da1baa6bc3.html","web")</f>
        <v>0</v>
      </c>
      <c r="H364" t="s">
        <v>1315</v>
      </c>
      <c r="I364" t="s">
        <v>21</v>
      </c>
      <c r="J364" t="s">
        <v>1316</v>
      </c>
      <c r="K364" t="s">
        <v>1499</v>
      </c>
      <c r="L364" t="s">
        <v>24</v>
      </c>
      <c r="M364" t="s">
        <v>56</v>
      </c>
      <c r="N364" t="s">
        <v>1317</v>
      </c>
    </row>
    <row r="365" spans="1:14">
      <c r="A365" t="s">
        <v>1481</v>
      </c>
      <c r="B365" t="s">
        <v>1511</v>
      </c>
      <c r="C365" t="s">
        <v>201</v>
      </c>
      <c r="D365" t="s">
        <v>1498</v>
      </c>
      <c r="E365" t="s">
        <v>1512</v>
      </c>
      <c r="F365" t="s">
        <v>56</v>
      </c>
      <c r="G365">
        <f>HYPERLINK("http://clipc-services.ceda.ac.uk/dreq/u/70094996b08eba1d39c13d30dc44b30f.html","web")</f>
        <v>0</v>
      </c>
      <c r="H365" t="s">
        <v>1507</v>
      </c>
      <c r="I365" t="s">
        <v>21</v>
      </c>
      <c r="J365" t="s">
        <v>1513</v>
      </c>
      <c r="K365" t="s">
        <v>1509</v>
      </c>
      <c r="L365" t="s">
        <v>24</v>
      </c>
      <c r="M365" t="s">
        <v>56</v>
      </c>
      <c r="N365" t="s">
        <v>1514</v>
      </c>
    </row>
    <row r="366" spans="1:14">
      <c r="A366" t="s">
        <v>1481</v>
      </c>
      <c r="B366" t="s">
        <v>1515</v>
      </c>
      <c r="C366" t="s">
        <v>201</v>
      </c>
      <c r="D366" t="s">
        <v>1498</v>
      </c>
      <c r="E366" t="s">
        <v>1516</v>
      </c>
      <c r="F366" t="s">
        <v>171</v>
      </c>
      <c r="G366">
        <f>HYPERLINK("http://clipc-services.ceda.ac.uk/dreq/u/abb3f8b62cc0e93f4ef5487c41ef10cb.html","web")</f>
        <v>0</v>
      </c>
      <c r="H366" t="s">
        <v>1517</v>
      </c>
      <c r="I366" t="s">
        <v>21</v>
      </c>
      <c r="J366" t="s">
        <v>1518</v>
      </c>
      <c r="K366" t="s">
        <v>1509</v>
      </c>
      <c r="L366" t="s">
        <v>24</v>
      </c>
      <c r="M366" t="s">
        <v>171</v>
      </c>
      <c r="N366" t="s">
        <v>1519</v>
      </c>
    </row>
    <row r="367" spans="1:14">
      <c r="A367" t="s">
        <v>1481</v>
      </c>
      <c r="B367" t="s">
        <v>1520</v>
      </c>
      <c r="C367" t="s">
        <v>201</v>
      </c>
      <c r="D367" t="s">
        <v>1483</v>
      </c>
      <c r="E367" t="s">
        <v>1521</v>
      </c>
      <c r="F367" t="s">
        <v>171</v>
      </c>
      <c r="G367">
        <f>HYPERLINK("http://clipc-services.ceda.ac.uk/dreq/u/f56a3a44b60650b58309b1d8cf58b913.html","web")</f>
        <v>0</v>
      </c>
      <c r="H367" t="s">
        <v>1522</v>
      </c>
      <c r="I367" t="s">
        <v>21</v>
      </c>
      <c r="J367" t="s">
        <v>1523</v>
      </c>
      <c r="K367" t="s">
        <v>1487</v>
      </c>
      <c r="L367" t="s">
        <v>24</v>
      </c>
      <c r="M367" t="s">
        <v>171</v>
      </c>
      <c r="N367" t="s">
        <v>1524</v>
      </c>
    </row>
    <row r="368" spans="1:14">
      <c r="A368" t="s">
        <v>1481</v>
      </c>
      <c r="B368" t="s">
        <v>1525</v>
      </c>
      <c r="C368" t="s">
        <v>201</v>
      </c>
      <c r="D368" t="s">
        <v>1483</v>
      </c>
      <c r="E368" t="s">
        <v>1526</v>
      </c>
      <c r="F368" t="s">
        <v>171</v>
      </c>
      <c r="G368">
        <f>HYPERLINK("http://clipc-services.ceda.ac.uk/dreq/u/bb27046ce21470dfbbecdd4f7eca546a.html","web")</f>
        <v>0</v>
      </c>
      <c r="H368" t="s">
        <v>1527</v>
      </c>
      <c r="I368" t="s">
        <v>21</v>
      </c>
      <c r="J368" t="s">
        <v>1528</v>
      </c>
      <c r="K368" t="s">
        <v>1487</v>
      </c>
      <c r="L368" t="s">
        <v>24</v>
      </c>
      <c r="M368" t="s">
        <v>171</v>
      </c>
      <c r="N368" t="s">
        <v>1529</v>
      </c>
    </row>
    <row r="369" spans="1:14">
      <c r="A369" t="s">
        <v>1481</v>
      </c>
      <c r="B369" t="s">
        <v>1424</v>
      </c>
      <c r="C369" t="s">
        <v>201</v>
      </c>
      <c r="D369" t="s">
        <v>1498</v>
      </c>
      <c r="E369" t="s">
        <v>1425</v>
      </c>
      <c r="F369" t="s">
        <v>171</v>
      </c>
      <c r="G369">
        <f>HYPERLINK("http://clipc-services.ceda.ac.uk/dreq/u/dfd869cd3463de6a57b2a9e10605efe7.html","web")</f>
        <v>0</v>
      </c>
      <c r="H369" t="s">
        <v>1426</v>
      </c>
      <c r="I369" t="s">
        <v>21</v>
      </c>
      <c r="J369" t="s">
        <v>1427</v>
      </c>
      <c r="K369" t="s">
        <v>1509</v>
      </c>
      <c r="L369" t="s">
        <v>24</v>
      </c>
      <c r="M369" t="s">
        <v>171</v>
      </c>
      <c r="N369" t="s">
        <v>1428</v>
      </c>
    </row>
    <row r="370" spans="1:14">
      <c r="A370" t="s">
        <v>1481</v>
      </c>
      <c r="B370" t="s">
        <v>1236</v>
      </c>
      <c r="C370" t="s">
        <v>28</v>
      </c>
      <c r="D370" t="s">
        <v>1530</v>
      </c>
      <c r="E370" t="s">
        <v>1238</v>
      </c>
      <c r="F370" t="s">
        <v>165</v>
      </c>
      <c r="G370">
        <f>HYPERLINK("http://clipc-services.ceda.ac.uk/dreq/u/e4f788872546d474c64f89798a4cb8cb.html","web")</f>
        <v>0</v>
      </c>
      <c r="H370" t="s">
        <v>1239</v>
      </c>
      <c r="I370" t="s">
        <v>21</v>
      </c>
      <c r="J370" t="s">
        <v>1240</v>
      </c>
      <c r="K370" t="s">
        <v>1487</v>
      </c>
      <c r="L370" t="s">
        <v>24</v>
      </c>
      <c r="M370" t="s">
        <v>165</v>
      </c>
      <c r="N370" t="s">
        <v>1241</v>
      </c>
    </row>
    <row r="372" spans="1:14">
      <c r="A372" t="s">
        <v>1531</v>
      </c>
      <c r="B372" t="s">
        <v>1532</v>
      </c>
      <c r="C372" t="s">
        <v>28</v>
      </c>
      <c r="D372" t="s">
        <v>1533</v>
      </c>
      <c r="E372" t="s">
        <v>1534</v>
      </c>
      <c r="F372" t="s">
        <v>933</v>
      </c>
      <c r="G372">
        <f>HYPERLINK("http://clipc-services.ceda.ac.uk/dreq/u/62c5b9728a01c0031e3a788ac4c8eff5.html","web")</f>
        <v>0</v>
      </c>
      <c r="H372" t="s">
        <v>1535</v>
      </c>
      <c r="I372" t="s">
        <v>21</v>
      </c>
      <c r="J372" t="s">
        <v>1536</v>
      </c>
      <c r="K372" t="s">
        <v>1537</v>
      </c>
      <c r="L372" t="s">
        <v>24</v>
      </c>
      <c r="M372" t="s">
        <v>933</v>
      </c>
      <c r="N372" t="s">
        <v>1538</v>
      </c>
    </row>
    <row r="373" spans="1:14">
      <c r="A373" t="s">
        <v>1531</v>
      </c>
      <c r="B373" t="s">
        <v>1539</v>
      </c>
      <c r="C373" t="s">
        <v>28</v>
      </c>
      <c r="D373" t="s">
        <v>1533</v>
      </c>
      <c r="E373" t="s">
        <v>1540</v>
      </c>
      <c r="F373">
        <v>1</v>
      </c>
      <c r="G373">
        <f>HYPERLINK("http://clipc-services.ceda.ac.uk/dreq/u/1d3ef4c73895a317948f1f3870f65834.html","web")</f>
        <v>0</v>
      </c>
      <c r="H373" t="s">
        <v>1541</v>
      </c>
      <c r="I373" t="s">
        <v>21</v>
      </c>
      <c r="J373" t="s">
        <v>1542</v>
      </c>
      <c r="K373" t="s">
        <v>1543</v>
      </c>
      <c r="L373" t="s">
        <v>24</v>
      </c>
      <c r="M373">
        <v>1</v>
      </c>
      <c r="N373" t="s">
        <v>1544</v>
      </c>
    </row>
    <row r="374" spans="1:14">
      <c r="A374" t="s">
        <v>1531</v>
      </c>
      <c r="B374" t="s">
        <v>1545</v>
      </c>
      <c r="C374" t="s">
        <v>28</v>
      </c>
      <c r="D374" t="s">
        <v>1533</v>
      </c>
      <c r="E374" t="s">
        <v>1546</v>
      </c>
      <c r="F374" t="s">
        <v>165</v>
      </c>
      <c r="G374">
        <f>HYPERLINK("http://clipc-services.ceda.ac.uk/dreq/u/f1b8ddb539cb96eb65453dce4c8bb978.html","web")</f>
        <v>0</v>
      </c>
      <c r="H374" t="s">
        <v>1239</v>
      </c>
      <c r="I374" t="s">
        <v>21</v>
      </c>
      <c r="J374" t="s">
        <v>1547</v>
      </c>
      <c r="K374" t="s">
        <v>1537</v>
      </c>
      <c r="L374" t="s">
        <v>24</v>
      </c>
      <c r="M374" t="s">
        <v>165</v>
      </c>
      <c r="N374" t="s">
        <v>1548</v>
      </c>
    </row>
    <row r="375" spans="1:14">
      <c r="A375" t="s">
        <v>1531</v>
      </c>
      <c r="B375" t="s">
        <v>760</v>
      </c>
      <c r="C375" t="s">
        <v>28</v>
      </c>
      <c r="D375" t="s">
        <v>1533</v>
      </c>
      <c r="E375" t="s">
        <v>761</v>
      </c>
      <c r="F375" t="s">
        <v>171</v>
      </c>
      <c r="G375">
        <f>HYPERLINK("http://clipc-services.ceda.ac.uk/dreq/u/1418ccb847c5c235176620baf22d7b33.html","web")</f>
        <v>0</v>
      </c>
      <c r="H375" t="s">
        <v>762</v>
      </c>
      <c r="I375" t="s">
        <v>21</v>
      </c>
      <c r="J375" t="s">
        <v>763</v>
      </c>
      <c r="K375" t="s">
        <v>1549</v>
      </c>
      <c r="L375" t="s">
        <v>24</v>
      </c>
      <c r="M375" t="s">
        <v>171</v>
      </c>
      <c r="N375" t="s">
        <v>765</v>
      </c>
    </row>
    <row r="376" spans="1:14">
      <c r="A376" t="s">
        <v>1531</v>
      </c>
      <c r="B376" t="s">
        <v>901</v>
      </c>
      <c r="C376" t="s">
        <v>28</v>
      </c>
      <c r="D376" t="s">
        <v>1550</v>
      </c>
      <c r="E376" t="s">
        <v>902</v>
      </c>
      <c r="F376" t="s">
        <v>256</v>
      </c>
      <c r="G376">
        <f>HYPERLINK("http://clipc-services.ceda.ac.uk/dreq/u/9122e7b627c429163fd0857dc366e14e.html","web")</f>
        <v>0</v>
      </c>
      <c r="H376" t="s">
        <v>903</v>
      </c>
      <c r="I376" t="s">
        <v>21</v>
      </c>
      <c r="J376" t="s">
        <v>904</v>
      </c>
      <c r="K376" t="s">
        <v>1551</v>
      </c>
      <c r="L376" t="s">
        <v>24</v>
      </c>
      <c r="M376" t="s">
        <v>256</v>
      </c>
      <c r="N376" t="s">
        <v>906</v>
      </c>
    </row>
    <row r="377" spans="1:14">
      <c r="A377" t="s">
        <v>1531</v>
      </c>
      <c r="B377" t="s">
        <v>1552</v>
      </c>
      <c r="C377" t="s">
        <v>28</v>
      </c>
      <c r="D377" t="s">
        <v>1553</v>
      </c>
      <c r="E377" t="s">
        <v>1554</v>
      </c>
      <c r="F377" t="s">
        <v>82</v>
      </c>
      <c r="G377">
        <f>HYPERLINK("http://clipc-services.ceda.ac.uk/dreq/u/20e7d22ad09b324af00f41f6060701a7.html","web")</f>
        <v>0</v>
      </c>
      <c r="H377" t="s">
        <v>1555</v>
      </c>
      <c r="I377" t="s">
        <v>21</v>
      </c>
      <c r="J377" t="s">
        <v>1556</v>
      </c>
      <c r="K377" t="s">
        <v>1537</v>
      </c>
      <c r="L377" t="s">
        <v>24</v>
      </c>
      <c r="M377" t="s">
        <v>82</v>
      </c>
      <c r="N377" t="s">
        <v>1557</v>
      </c>
    </row>
    <row r="378" spans="1:14">
      <c r="A378" t="s">
        <v>1531</v>
      </c>
      <c r="B378" t="s">
        <v>1161</v>
      </c>
      <c r="C378" t="s">
        <v>16</v>
      </c>
      <c r="D378" t="s">
        <v>1550</v>
      </c>
      <c r="E378" t="s">
        <v>1162</v>
      </c>
      <c r="F378" t="s">
        <v>165</v>
      </c>
      <c r="G378">
        <f>HYPERLINK("http://clipc-services.ceda.ac.uk/dreq/u/5aea9677ebbb40076a0e0b3b11fdb46f.html","web")</f>
        <v>0</v>
      </c>
      <c r="H378" t="s">
        <v>1163</v>
      </c>
      <c r="I378" t="s">
        <v>21</v>
      </c>
      <c r="J378" t="s">
        <v>1164</v>
      </c>
      <c r="K378" t="s">
        <v>1558</v>
      </c>
      <c r="L378" t="s">
        <v>24</v>
      </c>
      <c r="M378" t="s">
        <v>165</v>
      </c>
      <c r="N378" t="s">
        <v>1166</v>
      </c>
    </row>
    <row r="380" spans="1:14">
      <c r="A380" t="s">
        <v>1559</v>
      </c>
      <c r="B380" t="s">
        <v>919</v>
      </c>
      <c r="C380" t="s">
        <v>16</v>
      </c>
      <c r="D380" t="s">
        <v>38</v>
      </c>
      <c r="E380" t="s">
        <v>920</v>
      </c>
      <c r="F380" t="s">
        <v>165</v>
      </c>
      <c r="G380">
        <f>HYPERLINK("http://clipc-services.ceda.ac.uk/dreq/u/b1ac17c786f782027deb9a5985ad106e.html","web")</f>
        <v>0</v>
      </c>
      <c r="H380" t="s">
        <v>921</v>
      </c>
      <c r="I380" t="s">
        <v>21</v>
      </c>
      <c r="J380" t="s">
        <v>922</v>
      </c>
      <c r="K380" t="s">
        <v>1456</v>
      </c>
      <c r="L380" t="s">
        <v>24</v>
      </c>
      <c r="M380" t="s">
        <v>165</v>
      </c>
      <c r="N380" t="s">
        <v>923</v>
      </c>
    </row>
    <row r="381" spans="1:14">
      <c r="A381" t="s">
        <v>1559</v>
      </c>
      <c r="B381" t="s">
        <v>1440</v>
      </c>
      <c r="C381" t="s">
        <v>16</v>
      </c>
      <c r="D381" t="s">
        <v>38</v>
      </c>
      <c r="E381" t="s">
        <v>1441</v>
      </c>
      <c r="F381" t="s">
        <v>165</v>
      </c>
      <c r="G381">
        <f>HYPERLINK("http://clipc-services.ceda.ac.uk/dreq/u/46bc4ce008d1306ea0780510304cfa88.html","web")</f>
        <v>0</v>
      </c>
      <c r="H381" t="s">
        <v>1442</v>
      </c>
      <c r="I381" t="s">
        <v>21</v>
      </c>
      <c r="J381" t="s">
        <v>1443</v>
      </c>
      <c r="K381" t="s">
        <v>1456</v>
      </c>
      <c r="L381" t="s">
        <v>24</v>
      </c>
      <c r="M381" t="s">
        <v>165</v>
      </c>
      <c r="N381" t="s">
        <v>1445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2019-03-10T16:41:58Z</dcterms:created>
  <dcterms:modified xsi:type="dcterms:W3CDTF">2019-03-10T16:41:58Z</dcterms:modified>
</cp:coreProperties>
</file>