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<sst xmlns="http://schemas.openxmlformats.org/spreadsheetml/2006/main" count="6258" uniqueCount="1759">
  <si>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</si>
  <si>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</si>
  <si>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</si>
  <si>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</si>
  <si>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</si>
  <si>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</si>
  <si>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</si>
  <si>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</si>
  <si>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</si>
  <si>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</si>
  <si>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</si>
  <si>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</si>
  <si>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</si>
  <si>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</si>
  <si>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</si>
  <si>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tntr27</t>
  </si>
  <si>
    <t>3</t>
  </si>
  <si>
    <t>longitude latitude plev27 time1</t>
  </si>
  <si>
    <t>Tendency of Air Temperature Due to Radiative Heating</t>
  </si>
  <si>
    <t>K s-1</t>
  </si>
  <si>
    <t>Tendency of Air Temperature due to Radiative Heating</t>
  </si>
  <si>
    <t>HighResMIP</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</si>
  <si>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</si>
  <si>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</si>
  <si>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</si>
  <si>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</si>
  <si>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</si>
  <si>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</si>
  <si>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</si>
  <si>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</si>
  <si>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</si>
  <si>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</si>
  <si>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</si>
  <si>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Efx</t>
  </si>
  <si>
    <t>fldcapacity</t>
  </si>
  <si>
    <t>1</t>
  </si>
  <si>
    <t>longitude latitude sdepth</t>
  </si>
  <si>
    <t>Field Capacity</t>
  </si>
  <si>
    <t>%</t>
  </si>
  <si>
    <t>The field capacity of soil is the maximum content of water it can retain against gravitational drainage. Provide as a percentage of the soil volume.</t>
  </si>
  <si>
    <t>LS3MIP</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</si>
  <si>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</si>
  <si>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</si>
  <si>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</si>
  <si>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</si>
  <si>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</si>
  <si>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</si>
  <si>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kg m-2</t>
  </si>
  <si>
    <t>Mass of carbon in roots.</t>
  </si>
  <si>
    <t>sftflf</t>
  </si>
  <si>
    <t>2</t>
  </si>
  <si>
    <t>longitude latitude</t>
  </si>
  <si>
    <t>Floating Ice Shelf Area Percentage</t>
  </si>
  <si>
    <t>Percentage of grid cell covered by floating ice shelf, the component of the ice sheet that is flowing over sea water</t>
  </si>
  <si>
    <t>CMIP,ISMIP6</t>
  </si>
  <si>
    <t>vegHeight</t>
  </si>
  <si>
    <t>Height of the Vegetation Canopy</t>
  </si>
  <si>
    <t>m</t>
  </si>
  <si>
    <t>Vegetation height averaged over all vegetation types and over the vegetated fraction of a grid cell.</t>
  </si>
  <si>
    <t>CMIP,DCPP,PAMIP,PMIP</t>
  </si>
  <si>
    <t>wilt</t>
  </si>
  <si>
    <t>Wilting Point</t>
  </si>
  <si>
    <t xml:space="preserve">Percentage water content of soil by volume at the wilting point. The wilting point of soil is the water content below which plants cannot extract sufficient water to balance their loss through transpiration. </t>
  </si>
  <si>
    <t>6hrLev</t>
  </si>
  <si>
    <t>bs550aer</t>
  </si>
  <si>
    <t>longitude latitude alevel time1 lambda550nm</t>
  </si>
  <si>
    <t>Aerosol Backscatter Coefficient</t>
  </si>
  <si>
    <t>m-1 sr-1</t>
  </si>
  <si>
    <t>Aerosol  Backscatter at 550nm and 180 degrees, computed from extinction and lidar ratio</t>
  </si>
  <si>
    <t>AerChemMIP</t>
  </si>
  <si>
    <t>IfxAnt</t>
  </si>
  <si>
    <t>hfgeoubed</t>
  </si>
  <si>
    <t>xant yant</t>
  </si>
  <si>
    <t>Geothermal Heat Flux Beneath Land Ice</t>
  </si>
  <si>
    <t>W m-2</t>
  </si>
  <si>
    <t>Upward geothermal heat flux per unit area into the base of grounded land ice. This is related to the geothermal heat flux out of the bedrock, but may be modified by horizontal transport due to run-off and by melting at the interface.</t>
  </si>
  <si>
    <t>ISMIP6</t>
  </si>
  <si>
    <t>lithk</t>
  </si>
  <si>
    <t>Ice Sheet Thickness</t>
  </si>
  <si>
    <t>The thickness of the ice sheet</t>
  </si>
  <si>
    <t>topg</t>
  </si>
  <si>
    <t>Bedrock Altitude</t>
  </si>
  <si>
    <t>The bedrock topography beneath the land ice</t>
  </si>
  <si>
    <t>Oyr</t>
  </si>
  <si>
    <t>arag</t>
  </si>
  <si>
    <t>longitude latitude olevel time</t>
  </si>
  <si>
    <t>Aragonite Concentration</t>
  </si>
  <si>
    <t>mol m-3</t>
  </si>
  <si>
    <t>Sum of particulate aragonite components (e.g. Phytoplankton, Detrital, etc.)</t>
  </si>
  <si>
    <t>AerChemMIP,CMIP,GeoMIP,LUMIP,OMIP,PMIP,VIACSAB</t>
  </si>
  <si>
    <t>bacc</t>
  </si>
  <si>
    <t>Bacterial Carbon Concentration</t>
  </si>
  <si>
    <t>Sum of bacterial carbon component concentrations</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</si>
  <si>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</si>
  <si>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</si>
  <si>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</si>
  <si>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</si>
  <si>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</si>
  <si>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</si>
  <si>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</si>
  <si>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</si>
  <si>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</si>
  <si>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</si>
  <si>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</si>
  <si>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</si>
  <si>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</si>
  <si>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</si>
  <si>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</si>
  <si>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</si>
  <si>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</si>
  <si>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</si>
  <si>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</si>
  <si>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</si>
  <si>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chlcalc</t>
  </si>
  <si>
    <t>Mass Concentration of Calcareous Phytoplankton Expressed as Chlorophyll in Sea Water</t>
  </si>
  <si>
    <t>kg m-3</t>
  </si>
  <si>
    <t>chlorophyll concentration from the calcite-producing phytoplankton component alone</t>
  </si>
  <si>
    <t>AerChemMIP,CMIP,GeoMIP,LUMIP,OMIP</t>
  </si>
  <si>
    <t>chldiaz</t>
  </si>
  <si>
    <t>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</si>
  <si>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</si>
  <si>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</si>
  <si>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</si>
  <si>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</si>
  <si>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</si>
  <si>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</si>
  <si>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</si>
  <si>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</si>
  <si>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</si>
  <si>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</si>
  <si>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</si>
  <si>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</si>
  <si>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</si>
  <si>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</si>
  <si>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</si>
  <si>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</si>
  <si>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</si>
  <si>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</si>
  <si>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</si>
  <si>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</si>
  <si>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</si>
  <si>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</si>
  <si>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</si>
  <si>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</si>
  <si>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</si>
  <si>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</si>
  <si>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</si>
  <si>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</si>
  <si>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</si>
  <si>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</si>
  <si>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</si>
  <si>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</si>
  <si>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longitude latitude time</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</si>
  <si>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</si>
  <si>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</si>
  <si>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dissi13c</t>
  </si>
  <si>
    <t>Dissolved Inorganic Carbon-13 Concentration</t>
  </si>
  <si>
    <t>Dissolved inorganic carbon-13 (CO3+HCO3+H2CO3) concentration</t>
  </si>
  <si>
    <t>dissi14cabio</t>
  </si>
  <si>
    <t>Abiotic Dissolved Inorganic Carbon-14 Concentration</t>
  </si>
  <si>
    <t>Abiotic Dissolved inorganic carbon-14 (CO3+HCO3+H2CO3) concentration</t>
  </si>
  <si>
    <t>dissicabio</t>
  </si>
  <si>
    <t>Abiotic Dissolved Inorganic Carbon Concentration</t>
  </si>
  <si>
    <t>Abiotic Dissolved inorganic carbon (CO3+HCO3+H2CO3) concentration</t>
  </si>
  <si>
    <t>dmso</t>
  </si>
  <si>
    <t>Mole Concentration of Dimethyl Sulphide in Sea Water</t>
  </si>
  <si>
    <t>Mole concentration of dimethyl sulphide in water</t>
  </si>
  <si>
    <t>exparag</t>
  </si>
  <si>
    <t>Downward Flux of Aragonite</t>
  </si>
  <si>
    <t>mol m-2 s-1</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</si>
  <si>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</si>
  <si>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</si>
  <si>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</si>
  <si>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</si>
  <si>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</si>
  <si>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</si>
  <si>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</si>
  <si>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fg13co2</t>
  </si>
  <si>
    <t>Surface Downward Mass Flux of Carbon-13 as 13CO2 [kgC m-2 s-1]</t>
  </si>
  <si>
    <t>kg m-2 s-1</t>
  </si>
  <si>
    <t>Gas exchange flux of carbon-13 as CO2 (positive into ocean)</t>
  </si>
  <si>
    <t>fg14co2abio</t>
  </si>
  <si>
    <t>Surface Downward Mass Flux of Carbon-14 as Abiotic 14CO2 [kgC m-2 s-1]</t>
  </si>
  <si>
    <t>Gas exchange flux of abiotic 14CO2 (positive into ocean)</t>
  </si>
  <si>
    <t>fgco2abio</t>
  </si>
  <si>
    <t>Surface Downward Mass Flux of Carbon as Abiotic CO2 [kgC m-2 s-1]</t>
  </si>
  <si>
    <t>Gas exchange flux of abiotic CO2 (positive into ocean)</t>
  </si>
  <si>
    <t>fgco2nat</t>
  </si>
  <si>
    <t>Surface Downward Mass Flux of Carbon as Natural CO2 [kgC m-2 s-1]</t>
  </si>
  <si>
    <t>Gas exchange flux of natural CO2 (positive into ocean)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</si>
  <si>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</si>
  <si>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</si>
  <si>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</si>
  <si>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</si>
  <si>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</si>
  <si>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</si>
  <si>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</si>
  <si>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</si>
  <si>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</si>
  <si>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</si>
  <si>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</si>
  <si>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</si>
  <si>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</si>
  <si>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</si>
  <si>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</si>
  <si>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</si>
  <si>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</si>
  <si>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</si>
  <si>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</si>
  <si>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</si>
  <si>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</si>
  <si>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</si>
  <si>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</si>
  <si>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</si>
  <si>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</si>
  <si>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</si>
  <si>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</si>
  <si>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</si>
  <si>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</si>
  <si>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</si>
  <si>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</si>
  <si>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</si>
  <si>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</si>
  <si>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</si>
  <si>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</si>
  <si>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Aragonite Production</t>
  </si>
  <si>
    <t>Production rate of Aragonite, a mineral that is a polymorph of calcium carbonate. The chemical formula of aragonite is CaCO3.</t>
  </si>
  <si>
    <t>phabio</t>
  </si>
  <si>
    <t>Abiotic pH</t>
  </si>
  <si>
    <t>negative log10 of hydrogen ion concentration with the concentration expressed as mol H kg-1 (abiotic component)..</t>
  </si>
  <si>
    <t>phnat</t>
  </si>
  <si>
    <t>Natural pH</t>
  </si>
  <si>
    <t>negative log10 of hydrogen ion concentration with the concentration expressed as mol H kg-1.</t>
  </si>
  <si>
    <t>phycalc</t>
  </si>
  <si>
    <t>Mole Concentration of Calcareous Phytoplankton Expressed as Carbon in Sea Water</t>
  </si>
  <si>
    <t>carbon concentration from calcareous (calcite-producing) phytoplankton component alone</t>
  </si>
  <si>
    <t>phydiaz</t>
  </si>
  <si>
    <t>Mole Concentration of Diazotrophs Expressed as Carbon in Sea Water</t>
  </si>
  <si>
    <t>carbon concentration from the diazotrophic phytoplankton component alone</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</si>
  <si>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</si>
  <si>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</si>
  <si>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</si>
  <si>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</si>
  <si>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</si>
  <si>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</si>
  <si>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</si>
  <si>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</si>
  <si>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</si>
  <si>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</si>
  <si>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</si>
  <si>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</si>
  <si>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</si>
  <si>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</si>
  <si>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</si>
  <si>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ppcalc</t>
  </si>
  <si>
    <t>Net Primary Mole Productivity of Carbon by Calcareous Phytoplankton</t>
  </si>
  <si>
    <t>Primary (organic carbon) production by the calcite-producing phytoplankton component alone</t>
  </si>
  <si>
    <t>ppdiaz</t>
  </si>
  <si>
    <t>Net Primary Mole Productivity of Carbon by Diazotrophs</t>
  </si>
  <si>
    <t>Primary (organic carbon) production by the diazotrophic phytoplankton component alone</t>
  </si>
  <si>
    <t>pppico</t>
  </si>
  <si>
    <t>Net Primary Mole Productivity of Carbon by Picophytoplankton</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</si>
  <si>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</si>
  <si>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</si>
  <si>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</si>
  <si>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</si>
  <si>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</si>
  <si>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</si>
  <si>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</si>
  <si>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</si>
  <si>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</si>
  <si>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</si>
  <si>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</si>
  <si>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</si>
  <si>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</si>
  <si>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</si>
  <si>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</si>
  <si>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ImonGre</t>
  </si>
  <si>
    <t>acabf</t>
  </si>
  <si>
    <t>xgre ygre time</t>
  </si>
  <si>
    <t>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</si>
  <si>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</si>
  <si>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icem</t>
  </si>
  <si>
    <t>Surface Ice Melt Flux</t>
  </si>
  <si>
    <t>Loss of ice mass resulting from surface melting. Computed as the total surface melt water on the land ice portion of the grid cell divided by land ice area in the grid cell.</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</si>
  <si>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</si>
  <si>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</si>
  <si>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</si>
  <si>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</si>
  <si>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</si>
  <si>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</si>
  <si>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</si>
  <si>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</si>
  <si>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</si>
  <si>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</si>
  <si>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</si>
  <si>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</si>
  <si>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</si>
  <si>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</si>
  <si>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K</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</si>
  <si>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</si>
  <si>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</si>
  <si>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</si>
  <si>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</si>
  <si>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</si>
  <si>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</si>
  <si>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Upper boundary temperature that is used to force ice sheet models. It is the temperature at the base of the snowpack models, and does not vary with seasons. Report surface temperature of ice sheet where snow thickness is zero</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</si>
  <si>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</si>
  <si>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</si>
  <si>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</si>
  <si>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</si>
  <si>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</si>
  <si>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Mass flux of surface meltwater which refreezes within the snowpack. Computed as the total refreezing on the land ice portion of the grid cell divided by land ice area in the grid cell.</t>
  </si>
  <si>
    <t>snicem</t>
  </si>
  <si>
    <t>Surface Snow and Ice Melt Flux</t>
  </si>
  <si>
    <t>Loss of snow and ice mass resulting from surface melting. Computed as the total surface melt on the land ice portion of the grid cell divided by land ice area in the grid cell.</t>
  </si>
  <si>
    <t>CFday</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</si>
  <si>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</si>
  <si>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</si>
  <si>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</si>
  <si>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</si>
  <si>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</si>
  <si>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</si>
  <si>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</si>
  <si>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</si>
  <si>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clcalipso</t>
  </si>
  <si>
    <t>longitude latitude alt40 time</t>
  </si>
  <si>
    <t>CALIPSO Percentage Cloud Cover</t>
  </si>
  <si>
    <t>Percentage cloud cover in CALIPSO standard atmospheric layers.</t>
  </si>
  <si>
    <t>clisccp</t>
  </si>
  <si>
    <t>longitude latitude plev7c tau time</t>
  </si>
  <si>
    <t>ISCCP Cloud Area Percentage</t>
  </si>
  <si>
    <t>Percentage cloud cover in optical depth categories.</t>
  </si>
  <si>
    <t>mc</t>
  </si>
  <si>
    <t>longitude latitude alevhalf time</t>
  </si>
  <si>
    <t>Convective Mass Flux</t>
  </si>
  <si>
    <t>The net mass flux should represent the difference between the updraft and downdraft components.  The flux is computed as the mass divided by the area of the grid cell.</t>
  </si>
  <si>
    <t>Eyr</t>
  </si>
  <si>
    <t>zfullo</t>
  </si>
  <si>
    <t>Depth Below Geoid of Ocean Layer</t>
  </si>
  <si>
    <t>Depth below geoid</t>
  </si>
  <si>
    <t>C4MIP,DCPP,LUMIP,PAMIP</t>
  </si>
  <si>
    <t>EdayZ</t>
  </si>
  <si>
    <t>epfy</t>
  </si>
  <si>
    <t>latitude plev39 time</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</si>
  <si>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</si>
  <si>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</si>
  <si>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</si>
  <si>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DynVarMIP</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</si>
  <si>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</si>
  <si>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</si>
  <si>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</si>
  <si>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</si>
  <si>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</si>
  <si>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</si>
  <si>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</si>
  <si>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utendepfd</t>
  </si>
  <si>
    <t>Tendency of Eastward Wind Due to Eliassen-Palm Flux Divergence</t>
  </si>
  <si>
    <t>Tendency of the zonal mean zonal wind due to the divergence of the Eliassen-Palm flux.</t>
  </si>
  <si>
    <t>utendvtem</t>
  </si>
  <si>
    <t>Tendency of Eastward Wind Due to TEM Northward Advection and Coriolis Term</t>
  </si>
  <si>
    <t>m s-1 d-1</t>
  </si>
  <si>
    <t>Tendency of zonally averaged eastward wind, by the residual northward wind advection (on the native model grid). Reference: Andrews et al (1987): Middle Atmospheric Dynamics. Academic Press.</t>
  </si>
  <si>
    <t>utendwtem</t>
  </si>
  <si>
    <t>Tendency of Eastward Wind Due to TEM Upward Advection</t>
  </si>
  <si>
    <t>Tendency of zonally averaged eastward wind, by the residual upward wind advection (on the native model grid). Reference: Andrews et al (1987): Middle Atmospheric Dynamics. Academic Press.</t>
  </si>
  <si>
    <t>vtem</t>
  </si>
  <si>
    <t>Transformed Eulerian Mean Northward Wind</t>
  </si>
  <si>
    <t>m s-1</t>
  </si>
  <si>
    <t>Transformed Eulerian Mean Diagnostics v*, meridional component of the residual meridional circulation (v*, w*) derived from 6 hr or higher frequency data fields (use instantaneous daily fields or 12 hr fields if the 6 hr data are not available).</t>
  </si>
  <si>
    <t>wtem</t>
  </si>
  <si>
    <t>Transformed Eulerian Mean Upward Wind</t>
  </si>
  <si>
    <t>Transformed Eulerian Mean Diagnostics w*, upward component of the residual meridional circulation (v*, w*) derived from 6 hr or higher frequency data fields (use instantaneous daily fields or 12 hr fields if the 6 hr data are not available). Scale height: 6950 m</t>
  </si>
  <si>
    <t>LImon</t>
  </si>
  <si>
    <t>acabfIs</t>
  </si>
  <si>
    <t>Ice Sheet Surface Mass Balance Flux</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</si>
  <si>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</si>
  <si>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</si>
  <si>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</si>
  <si>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</si>
  <si>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</si>
  <si>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</si>
  <si>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</si>
  <si>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litemptopIs</t>
  </si>
  <si>
    <t>Ice Sheet Temperature at Top of Ice Sheet Model</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</si>
  <si>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</si>
  <si>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</si>
  <si>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</si>
  <si>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</si>
  <si>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snicefreezIs</t>
  </si>
  <si>
    <t>Ice Sheet Surface Snow and Ice Refreeze Flux</t>
  </si>
  <si>
    <t>snicemIs</t>
  </si>
  <si>
    <t>Ice Sheet Surface Snow and Ice Melt Flux</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</si>
  <si>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</si>
  <si>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</si>
  <si>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</si>
  <si>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</si>
  <si>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</si>
  <si>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</si>
  <si>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</si>
  <si>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</si>
  <si>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</si>
  <si>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</si>
  <si>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ci</t>
  </si>
  <si>
    <t>Fraction of Time Convection Occurs in Cell</t>
  </si>
  <si>
    <t>Fraction of time that convection occurs in the grid cell.</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</si>
  <si>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</si>
  <si>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</si>
  <si>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</si>
  <si>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</si>
  <si>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</si>
  <si>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</si>
  <si>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</si>
  <si>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fco2fos</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</si>
  <si>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</si>
  <si>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</si>
  <si>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</si>
  <si>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</si>
  <si>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</si>
  <si>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</si>
  <si>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</si>
  <si>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</si>
  <si>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</si>
  <si>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</si>
  <si>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</si>
  <si>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</si>
  <si>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</si>
  <si>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</si>
  <si>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</si>
  <si>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</si>
  <si>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</si>
  <si>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</si>
  <si>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</si>
  <si>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</si>
  <si>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</si>
  <si>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</si>
  <si>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</si>
  <si>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</si>
  <si>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</si>
  <si>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</si>
  <si>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</si>
  <si>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</si>
  <si>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</si>
  <si>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</si>
  <si>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</si>
  <si>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</si>
  <si>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</si>
  <si>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</si>
  <si>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</si>
  <si>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</si>
  <si>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sci</t>
  </si>
  <si>
    <t>Fraction of Time Shallow Convection Occurs</t>
  </si>
  <si>
    <t>Fraction of time that shallow convection occurs in the grid cell.</t>
  </si>
  <si>
    <t>tnhusa</t>
  </si>
  <si>
    <t>Tendency of Specific Humidity Due to Advection</t>
  </si>
  <si>
    <t>s-1</t>
  </si>
  <si>
    <t>Tendency of Specific Humidity due to Advection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</si>
  <si>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</si>
  <si>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</si>
  <si>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</si>
  <si>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</si>
  <si>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</si>
  <si>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</si>
  <si>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</si>
  <si>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</si>
  <si>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tnta</t>
  </si>
  <si>
    <t>Tendency of Air Temperature Due to Advection</t>
  </si>
  <si>
    <t>Tendency of Air Temperature due to Advection</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</si>
  <si>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</si>
  <si>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</si>
  <si>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</si>
  <si>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3hr</t>
  </si>
  <si>
    <t>rsdsdiff</t>
  </si>
  <si>
    <t>Surface Diffuse Downwelling Shortwave Radiation</t>
  </si>
  <si>
    <t>Surface downwelling solar irradiance from diffuse radiation for UV calculations.</t>
  </si>
  <si>
    <t>CMIP,HighResMIP,VIACSAB</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</si>
  <si>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</si>
  <si>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</si>
  <si>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</si>
  <si>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</si>
  <si>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</si>
  <si>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</si>
  <si>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</si>
  <si>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</si>
  <si>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</si>
  <si>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</si>
  <si>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</si>
  <si>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</si>
  <si>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</si>
  <si>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</si>
  <si>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</si>
  <si>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</si>
  <si>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</si>
  <si>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</si>
  <si>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</si>
  <si>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</si>
  <si>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</si>
  <si>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</si>
  <si>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</si>
  <si>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</si>
  <si>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</si>
  <si>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</si>
  <si>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</si>
  <si>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</si>
  <si>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</si>
  <si>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</si>
  <si>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</si>
  <si>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</si>
  <si>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</si>
  <si>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</si>
  <si>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Percentage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</si>
  <si>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</si>
  <si>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</si>
  <si>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</si>
  <si>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</si>
  <si>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</si>
  <si>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</si>
  <si>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</si>
  <si>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</si>
  <si>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</si>
  <si>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</si>
  <si>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</si>
  <si>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</si>
  <si>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</si>
  <si>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</si>
  <si>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</si>
  <si>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</si>
  <si>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</si>
  <si>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</si>
  <si>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</si>
  <si>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</si>
  <si>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</si>
  <si>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</si>
  <si>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</si>
  <si>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Percentage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</si>
  <si>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</si>
  <si>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</si>
  <si>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</si>
  <si>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</si>
  <si>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CFmon</t>
  </si>
  <si>
    <t>clc</t>
  </si>
  <si>
    <t>longitude latitude alevel time</t>
  </si>
  <si>
    <t>Convective Cloud Area Percentage</t>
  </si>
  <si>
    <t>Include only convective cloud.</t>
  </si>
  <si>
    <t>AerChemMIP,CFMIP,DAMIP,GeoMIP,HighResMIP,PMIP</t>
  </si>
  <si>
    <t>AerChemMIP,CFMIP,DAMIP,HighResMIP,RFMIP,VIACSAB</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</si>
  <si>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</si>
  <si>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</si>
  <si>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</si>
  <si>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</si>
  <si>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</si>
  <si>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</si>
  <si>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</si>
  <si>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AerChemMIP,CFMIP,DAMIP,HighResMIP,PMIP,RFMIP,VIACSAB</t>
  </si>
  <si>
    <t>cls</t>
  </si>
  <si>
    <t>Percentage Cover of Stratiform Cloud</t>
  </si>
  <si>
    <t>Cloud area fraction (reported as a percentage) for the whole atmospheric column due to stratiform clouds, as seen from the surface or the top of the atmosphere. Includes both large-scale and convective cloud.</t>
  </si>
  <si>
    <t>AerChemMIP,CFMIP,GeoMIP,HighResMIP,PMIP</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</si>
  <si>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</si>
  <si>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</si>
  <si>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</si>
  <si>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</si>
  <si>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</si>
  <si>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</si>
  <si>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</si>
  <si>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</si>
  <si>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</si>
  <si>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</si>
  <si>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</si>
  <si>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</si>
  <si>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</si>
  <si>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</si>
  <si>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</si>
  <si>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</si>
  <si>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</si>
  <si>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</si>
  <si>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</si>
  <si>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</si>
  <si>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</si>
  <si>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</si>
  <si>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</si>
  <si>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</si>
  <si>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</si>
  <si>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</si>
  <si>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</si>
  <si>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</si>
  <si>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</si>
  <si>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</si>
  <si>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</si>
  <si>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</si>
  <si>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</si>
  <si>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</si>
  <si>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</si>
  <si>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</si>
  <si>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</si>
  <si>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</si>
  <si>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</si>
  <si>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</si>
  <si>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</si>
  <si>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</si>
  <si>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</si>
  <si>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</si>
  <si>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</si>
  <si>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</si>
  <si>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</si>
  <si>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</si>
  <si>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</si>
  <si>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</si>
  <si>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</si>
  <si>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</si>
  <si>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</si>
  <si>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</si>
  <si>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</si>
  <si>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</si>
  <si>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</si>
  <si>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</si>
  <si>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Omon</t>
  </si>
  <si>
    <t>AerChemMIP,C4MIP,CMIP,GMMIP,GeoMIP,HighResMIP,LS3MIP,OMIP</t>
  </si>
  <si>
    <t>aragos</t>
  </si>
  <si>
    <t>Surface Aragonite Concentration</t>
  </si>
  <si>
    <t>sum of particulate aragonite components (e.g. Phytoplankton, Detrital, etc.)</t>
  </si>
  <si>
    <t>baccos</t>
  </si>
  <si>
    <t>Surface Bacterial Carbon Concentration</t>
  </si>
  <si>
    <t>AerChemMIP,C4MIP,GMMIP,GeoMIP,OMIP</t>
  </si>
  <si>
    <t>chlcalcos</t>
  </si>
  <si>
    <t>Surface Mass Concentration of Calcareous Phytoplankton Expressed as Chlorophyll in Sea Water</t>
  </si>
  <si>
    <t>AerChemMIP,C4MIP,CMIP,GMMIP,GeoMIP,HighResMIP,LS3MIP,OMIP,VIACSAB</t>
  </si>
  <si>
    <t>chldiazos</t>
  </si>
  <si>
    <t>Surface Mass Concentration of Diazotrophs Expressed as Chlorophyll in Sea Water</t>
  </si>
  <si>
    <t>chlorophyll concentration from the diazotrophic phytoplankton component alone</t>
  </si>
  <si>
    <t>chlpicoos</t>
  </si>
  <si>
    <t>Surface Mass Concentration of Picophytoplankton Expressed as Chlorophyll in Sea Water</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</si>
  <si>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</si>
  <si>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</si>
  <si>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</si>
  <si>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</si>
  <si>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</si>
  <si>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</si>
  <si>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</si>
  <si>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</si>
  <si>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</si>
  <si>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AerChemMIP,C4MIP,CMIP,GMMIP,GeoMIP,LUMIP,OMIP,PMIP</t>
  </si>
  <si>
    <t>dissi13cos</t>
  </si>
  <si>
    <t>Surface Dissolved Inorganic Carbon-13 Concentration</t>
  </si>
  <si>
    <t>Near surface dissolved inorganic carbon-13 (CO3+HCO3+H2CO3) concentration</t>
  </si>
  <si>
    <t>AerChemMIP,C4MIP,CMIP,GMMIP,GeoMIP,HighResMIP,LS3MIP,OMIP,PMIP</t>
  </si>
  <si>
    <t>AerChemMIP,C4MIP,DAMIP,GMMIP,GeoMIP,OMIP</t>
  </si>
  <si>
    <t>dissi14cabioos</t>
  </si>
  <si>
    <t>Surface Abiotic Dissolved Inorganic Carbon-14 Concentration</t>
  </si>
  <si>
    <t>AerChemMIP,C4MIP,CMIP,DAMIP,GMMIP,GeoMIP,OMIP</t>
  </si>
  <si>
    <t>dissicabioos</t>
  </si>
  <si>
    <t>Surface Abiotic Dissolved Inorganic Carbon Concentration</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</si>
  <si>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</si>
  <si>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</si>
  <si>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</si>
  <si>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</si>
  <si>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</si>
  <si>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</si>
  <si>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</si>
  <si>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</si>
  <si>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</si>
  <si>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</si>
  <si>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</si>
  <si>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</si>
  <si>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</si>
  <si>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</si>
  <si>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</si>
  <si>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</si>
  <si>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</si>
  <si>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</si>
  <si>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</si>
  <si>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</si>
  <si>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</si>
  <si>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</si>
  <si>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</si>
  <si>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</si>
  <si>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</si>
  <si>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</si>
  <si>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</si>
  <si>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</si>
  <si>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</si>
  <si>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</si>
  <si>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</si>
  <si>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</si>
  <si>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</si>
  <si>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</si>
  <si>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</si>
  <si>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</si>
  <si>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</si>
  <si>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</si>
  <si>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</si>
  <si>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AerChemMIP,C4MIP,CMIP,GMMIP,GeoMIP,HighResMIP,LS3MIP,LUMIP,OMIP,PMIP</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</si>
  <si>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</si>
  <si>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</si>
  <si>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</si>
  <si>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</si>
  <si>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</si>
  <si>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</si>
  <si>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</si>
  <si>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</si>
  <si>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</si>
  <si>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</si>
  <si>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</si>
  <si>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</si>
  <si>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</si>
  <si>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</si>
  <si>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</si>
  <si>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</si>
  <si>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</si>
  <si>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</si>
  <si>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</si>
  <si>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</si>
  <si>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</si>
  <si>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</si>
  <si>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</si>
  <si>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</si>
  <si>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</si>
  <si>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</si>
  <si>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</si>
  <si>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</si>
  <si>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</si>
  <si>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</si>
  <si>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</si>
  <si>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</si>
  <si>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</si>
  <si>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</si>
  <si>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</si>
  <si>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</si>
  <si>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</si>
  <si>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</si>
  <si>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</si>
  <si>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</si>
  <si>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</si>
  <si>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</si>
  <si>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</si>
  <si>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</si>
  <si>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</si>
  <si>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</si>
  <si>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</si>
  <si>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</si>
  <si>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</si>
  <si>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</si>
  <si>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</si>
  <si>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Vertically integrated POC</t>
  </si>
  <si>
    <t>intppdiaz</t>
  </si>
  <si>
    <t>Vertically integrated primary (organic carbon) production by the diazotrophs alone</t>
  </si>
  <si>
    <t>intpppico</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</si>
  <si>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</si>
  <si>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</si>
  <si>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</si>
  <si>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</si>
  <si>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</si>
  <si>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</si>
  <si>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</si>
  <si>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</si>
  <si>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</si>
  <si>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</si>
  <si>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</si>
  <si>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</si>
  <si>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</si>
  <si>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</si>
  <si>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</si>
  <si>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</si>
  <si>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</si>
  <si>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</si>
  <si>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</si>
  <si>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</si>
  <si>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</si>
  <si>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</si>
  <si>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</si>
  <si>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</si>
  <si>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</si>
  <si>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</si>
  <si>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</si>
  <si>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</si>
  <si>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</si>
  <si>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</si>
  <si>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</si>
  <si>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</si>
  <si>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</si>
  <si>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</si>
  <si>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</si>
  <si>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</si>
  <si>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</si>
  <si>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</si>
  <si>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</si>
  <si>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</si>
  <si>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</si>
  <si>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</si>
  <si>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</si>
  <si>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</si>
  <si>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</si>
  <si>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</si>
  <si>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</si>
  <si>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</si>
  <si>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</si>
  <si>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</si>
  <si>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</si>
  <si>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</si>
  <si>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o2satos</t>
  </si>
  <si>
    <t>Surface Dissolved Oxygen Concentration at Saturation</t>
  </si>
  <si>
    <t>ocfriver</t>
  </si>
  <si>
    <t>Flux of Organic Carbon into Ocean Surface by Runoff</t>
  </si>
  <si>
    <t>Organic Carbon supply to ocean through runoff (separate from gas exchange)</t>
  </si>
  <si>
    <t>phabioos</t>
  </si>
  <si>
    <t>Surface Abiotic pH</t>
  </si>
  <si>
    <t>phnatos</t>
  </si>
  <si>
    <t>Surface Natural pH</t>
  </si>
  <si>
    <t>phycalcos</t>
  </si>
  <si>
    <t>Surface Mole Concentration of Calcareous Phytoplankton Expressed as Carbon in Sea Water</t>
  </si>
  <si>
    <t>phydiazos</t>
  </si>
  <si>
    <t>Surface Mole Concentration of Diazotrophs Expressed as Carbon in Sea Water</t>
  </si>
  <si>
    <t>phynos</t>
  </si>
  <si>
    <t>Surface Mole Concentration of Phytoplankton Nitrogen in Sea Water</t>
  </si>
  <si>
    <t>phypicoos</t>
  </si>
  <si>
    <t>Surface Mole Concentration of Picophytoplankton Expressed as Carbon in Sea Water</t>
  </si>
  <si>
    <t>phypos</t>
  </si>
  <si>
    <t>Surface Mole Concentration of Total Phytoplankton Expressed as Phosphorus in Sea Water</t>
  </si>
  <si>
    <t>ponos</t>
  </si>
  <si>
    <t>Surface Mole Concentration of Particulate Organic Matter Expressed as Nitrogen in Sea Water</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</si>
  <si>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</si>
  <si>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</si>
  <si>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</si>
  <si>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</si>
  <si>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</si>
  <si>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</si>
  <si>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</si>
  <si>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</si>
  <si>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</si>
  <si>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</si>
  <si>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</si>
  <si>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</si>
  <si>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</si>
  <si>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</si>
  <si>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</si>
  <si>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</si>
  <si>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</si>
  <si>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</si>
  <si>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</si>
  <si>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</si>
  <si>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</si>
  <si>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</si>
  <si>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</si>
  <si>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</si>
  <si>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</si>
  <si>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</si>
  <si>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</si>
  <si>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</si>
  <si>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</si>
  <si>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</si>
  <si>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</si>
  <si>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</si>
  <si>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</si>
  <si>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</si>
  <si>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AerChemMIP,C4MIP,CFMIP,CMIP,DAMIP,GMMIP,GeoMIP,HighResMIP,LS3MIP,OMIP,VIACSAB</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</si>
  <si>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</si>
  <si>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</si>
  <si>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</si>
  <si>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</si>
  <si>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</si>
  <si>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</si>
  <si>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</si>
  <si>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</si>
  <si>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</si>
  <si>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IfxGre</t>
  </si>
  <si>
    <t>xgre ygre</t>
  </si>
  <si>
    <t>EmonZ</t>
  </si>
  <si>
    <t>DAMIP,DCPP,DynVarMIP,HighResMIP,PAMIP,VolMIP</t>
  </si>
  <si>
    <t>jo2</t>
  </si>
  <si>
    <t>Photolysis Rate of Diatomic Molecular Oxygen</t>
  </si>
  <si>
    <t>Rate of photolysis of molecular oxygen to atomic oxygen (o2 -&gt; o1d+o)</t>
  </si>
  <si>
    <t>DAMIP</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</si>
  <si>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</si>
  <si>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</si>
  <si>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</si>
  <si>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</si>
  <si>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</si>
  <si>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</si>
  <si>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</si>
  <si>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</si>
  <si>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</si>
  <si>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vmrox</t>
  </si>
  <si>
    <t>Mole Fraction of Odd Oxygen (O, O3 and O1D)</t>
  </si>
  <si>
    <t>mol mol-1</t>
  </si>
  <si>
    <t>Mole Fraction of Ox</t>
  </si>
  <si>
    <t>xgwdparam</t>
  </si>
  <si>
    <t>Eastward Gravity Wave Drag</t>
  </si>
  <si>
    <t>Parameterised x-component of gravity wave drag</t>
  </si>
  <si>
    <t>ygwdparam</t>
  </si>
  <si>
    <t>Northward Gravity Wave Drag</t>
  </si>
  <si>
    <t>Parameterised y- component of gravity wave drag</t>
  </si>
  <si>
    <t>zmtnt</t>
  </si>
  <si>
    <t>Zonal Mean Diabatic Heating Rates</t>
  </si>
  <si>
    <t>The diabatic heating rates due to all the processes that may change potential temperature</t>
  </si>
  <si>
    <t>Amon</t>
  </si>
  <si>
    <t>AerChemMIP,C4MIP,CFMIP,CMIP,DAMIP,FAFMIP,GMMIP,GeoMIP,HighResMIP,LS3MIP,LUMIP,RFMIP,VolMIP</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</si>
  <si>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</si>
  <si>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</si>
  <si>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</si>
  <si>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</si>
  <si>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</si>
  <si>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</si>
  <si>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</si>
  <si>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</si>
  <si>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</si>
  <si>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</si>
  <si>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</si>
  <si>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</si>
  <si>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AerChemMIP,C4MIP,CFMIP,CMIP,DAMIP,FAFMIP,GMMIP,GeoMIP,HighResMIP,ISMIP6,LS3MIP,LUMIP,PMIP,RFMIP,VIACSAB,VolMIP</t>
  </si>
  <si>
    <t>co2Clim</t>
  </si>
  <si>
    <t>longitude latitude plev19 time2</t>
  </si>
  <si>
    <t>Mole Fraction of CO2</t>
  </si>
  <si>
    <t>Mole fraction is used in the construction mole_fraction_of_X_in_Y, where X is a material constituent of Y.</t>
  </si>
  <si>
    <t>AerChemMIP,C4MIP,CFMIP,CMIP,DAMIP,FAFMIP,GMMIP,GeoMIP,HighResMIP,LS3MIP,LUMIP,PMIP,RFMIP,VolMIP</t>
  </si>
  <si>
    <t>co2massClim</t>
  </si>
  <si>
    <t>time2</t>
  </si>
  <si>
    <t>Total Atmospheric Mass of CO2</t>
  </si>
  <si>
    <t>kg</t>
  </si>
  <si>
    <t>Total atmospheric mass of Carbon Dioxide</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</si>
  <si>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</si>
  <si>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</si>
  <si>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</si>
  <si>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</si>
  <si>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AerChemMIP,C4MIP,CFMIP,CMIP,DAMIP,FAFMIP,GMMIP,GeoMIP,HighResMIP,LS3MIP,LUMIP,RFMIP,VIACSAB,VolMIP</t>
  </si>
  <si>
    <t>n2o</t>
  </si>
  <si>
    <t>longitude latitude plev19 time</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</si>
  <si>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</si>
  <si>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</si>
  <si>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</si>
  <si>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</si>
  <si>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</si>
  <si>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</si>
  <si>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</si>
  <si>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</si>
  <si>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AerChemMIP,C4MIP,CFMIP,CMIP,DAMIP,FAFMIP,GMMIP,GeoMIP,HighResMIP,ISMIP6,LS3MIP,LUMIP,RFMIP,VIACSAB,VolMIP</t>
  </si>
  <si>
    <t>6hrPlev</t>
  </si>
  <si>
    <t>prhmax</t>
  </si>
  <si>
    <t>Maximum Hourly Precipitation Rate</t>
  </si>
  <si>
    <t>In accordance with common usage in geophysical disciplines, 'flux' implies per unit area, called 'flux density' in physics.</t>
  </si>
  <si>
    <t>DCPP,PAMIP</t>
  </si>
  <si>
    <t>wsgmax100m</t>
  </si>
  <si>
    <t>longitude latitude time height100m</t>
  </si>
  <si>
    <t>Maximum Wind Speed of Gust at 100m</t>
  </si>
  <si>
    <t>Wind speed gust maximum at 100m above surface</t>
  </si>
  <si>
    <t>VIACSAB</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</si>
  <si>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</si>
  <si>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</si>
  <si>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</si>
  <si>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</si>
  <si>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</si>
  <si>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</si>
  <si>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</si>
  <si>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</si>
  <si>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</si>
  <si>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</si>
  <si>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</si>
  <si>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</si>
  <si>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</si>
  <si>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chepasoa</t>
  </si>
  <si>
    <t>Total Net Production of Anthropogenic Secondary Organic Aerosol</t>
  </si>
  <si>
    <t>anthropogenic part of chepsoa</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</si>
  <si>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</si>
  <si>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</si>
  <si>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</si>
  <si>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</si>
  <si>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</si>
  <si>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</si>
  <si>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</si>
  <si>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</si>
  <si>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</si>
  <si>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</si>
  <si>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</si>
  <si>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</si>
  <si>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</si>
  <si>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</si>
  <si>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</si>
  <si>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</si>
  <si>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</si>
  <si>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</si>
  <si>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</si>
  <si>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</si>
  <si>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</si>
  <si>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</si>
  <si>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</si>
  <si>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</si>
  <si>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</si>
  <si>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</si>
  <si>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</si>
  <si>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</si>
  <si>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</si>
  <si>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</si>
  <si>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</si>
  <si>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</si>
  <si>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</si>
  <si>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</si>
  <si>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</si>
  <si>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</si>
  <si>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</si>
  <si>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</si>
  <si>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</si>
  <si>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</si>
  <si>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</si>
  <si>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</si>
  <si>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</si>
  <si>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ttop</t>
  </si>
  <si>
    <t>Air Temperature at Cloud Top</t>
  </si>
  <si>
    <t>cloud_top refers to the top of the highest cloud. Air temperature is the bulk temperature of the air, not the surface (skin) temperature.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</si>
  <si>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</si>
  <si>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</si>
  <si>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</si>
  <si>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</si>
  <si>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</si>
  <si>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</si>
  <si>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</si>
  <si>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</si>
  <si>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</si>
  <si>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</si>
  <si>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</si>
  <si>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</si>
  <si>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</si>
  <si>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</si>
  <si>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</si>
  <si>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</si>
  <si>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</si>
  <si>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</si>
  <si>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</si>
  <si>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</si>
  <si>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</si>
  <si>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</si>
  <si>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</si>
  <si>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CFMIP</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</si>
  <si>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</si>
  <si>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</si>
  <si>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</si>
  <si>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</si>
  <si>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</si>
  <si>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</si>
  <si>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</si>
  <si>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</si>
  <si>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plev7c tau time1</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</si>
  <si>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</si>
  <si>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</si>
  <si>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</si>
  <si>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</si>
  <si>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</si>
  <si>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</si>
  <si>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</si>
  <si>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</si>
  <si>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</si>
  <si>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</si>
  <si>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</si>
  <si>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</si>
  <si>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longitude latitude alevel time1</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</si>
  <si>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</si>
  <si>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</si>
  <si>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</si>
  <si>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</si>
  <si>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alevhalf time1</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</si>
  <si>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</si>
  <si>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</si>
  <si>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</si>
  <si>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</si>
  <si>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</si>
  <si>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</si>
  <si>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</si>
  <si>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</si>
  <si>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</si>
  <si>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</si>
  <si>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longitude latitude time1</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</si>
  <si>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</si>
  <si>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</si>
  <si>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</si>
  <si>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</si>
  <si>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</si>
  <si>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</si>
  <si>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</si>
  <si>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</si>
  <si>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</si>
  <si>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</si>
  <si>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</si>
  <si>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</si>
  <si>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</si>
  <si>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</si>
  <si>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</si>
  <si>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</si>
  <si>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</si>
  <si>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</si>
  <si>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</si>
  <si>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</si>
  <si>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</si>
  <si>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</si>
  <si>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</si>
  <si>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</si>
  <si>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</si>
  <si>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</si>
  <si>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</si>
  <si>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</si>
  <si>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</si>
  <si>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</si>
  <si>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</si>
  <si>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</si>
  <si>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</si>
  <si>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longitude latitude plev7h time1</t>
  </si>
  <si>
    <t>Esubhr</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</si>
  <si>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</si>
  <si>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</si>
  <si>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</si>
  <si>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reffclis</t>
  </si>
  <si>
    <t>Hydrometeor Effective Radius of Stratiform Cloud Ice</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</si>
  <si>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</si>
  <si>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</si>
  <si>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</si>
  <si>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</si>
  <si>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</si>
  <si>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</si>
  <si>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</si>
  <si>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</si>
  <si>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</si>
  <si>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</si>
  <si>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</si>
  <si>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</si>
  <si>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</si>
  <si>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</si>
  <si>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</si>
  <si>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</si>
  <si>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</si>
  <si>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</si>
  <si>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</si>
  <si>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</si>
  <si>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</si>
  <si>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</si>
  <si>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</si>
  <si>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</si>
  <si>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</si>
  <si>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</si>
  <si>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</si>
  <si>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</si>
  <si>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</si>
  <si>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</si>
  <si>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</si>
  <si>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</si>
  <si>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</si>
  <si>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</si>
  <si>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</si>
  <si>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</si>
  <si>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</si>
  <si>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</si>
  <si>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</si>
  <si>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</si>
  <si>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</si>
  <si>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</si>
  <si>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</si>
  <si>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</si>
  <si>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</si>
  <si>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</si>
  <si>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</si>
  <si>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</si>
  <si>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</si>
  <si>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</si>
  <si>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</si>
  <si>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</si>
  <si>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</si>
  <si>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</si>
  <si>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</si>
  <si>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</si>
  <si>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</si>
  <si>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</si>
  <si>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</si>
  <si>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</si>
  <si>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</si>
  <si>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</si>
  <si>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</si>
  <si>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Ofx</t>
  </si>
  <si>
    <t>ugrido</t>
  </si>
  <si>
    <t>UGRID Grid Specification</t>
  </si>
  <si>
    <t>Ony required for models with unstructured grids: this label should be used for a file containing information about the grid structure, following the UGRID convention.</t>
  </si>
  <si>
    <t>CMIP</t>
  </si>
  <si>
    <t>longitude latitude olevel</t>
  </si>
  <si>
    <t>AerChemMIP,C4MIP,CMIP,DCPP,GMMIP,GeoMIP,OMIP,PAMIP,PMIP,VIACSAB</t>
  </si>
  <si>
    <t>6hrPlevPt</t>
  </si>
  <si>
    <t>cldicemxrat27</t>
  </si>
  <si>
    <t>Cloud Ice Mixing Ratio</t>
  </si>
  <si>
    <t>Cloud ice mixing ratio</t>
  </si>
  <si>
    <t>cldwatmxrat27</t>
  </si>
  <si>
    <t>Cloud Water Mixing Ratio</t>
  </si>
  <si>
    <t>Cloud water mixing ratio</t>
  </si>
  <si>
    <t>dtauc</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</si>
  <si>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</si>
  <si>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</si>
  <si>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</si>
  <si>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</si>
  <si>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</si>
  <si>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</si>
  <si>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</si>
  <si>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</si>
  <si>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</si>
  <si>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</si>
  <si>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</si>
  <si>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</si>
  <si>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</si>
  <si>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</si>
  <si>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</si>
  <si>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Wet Bulb Potential Temperature</t>
  </si>
  <si>
    <t>Wet bulb potential temperature</t>
  </si>
  <si>
    <t>Eday</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</si>
  <si>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</si>
  <si>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</si>
  <si>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</si>
  <si>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</si>
  <si>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</si>
  <si>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</si>
  <si>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</si>
  <si>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</si>
  <si>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</si>
  <si>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</si>
  <si>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</si>
  <si>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</si>
  <si>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</si>
  <si>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</si>
  <si>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</si>
  <si>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</si>
  <si>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</si>
  <si>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</si>
  <si>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</si>
  <si>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</si>
  <si>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</si>
  <si>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</si>
  <si>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</si>
  <si>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</si>
  <si>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</si>
  <si>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</si>
  <si>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</si>
  <si>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</si>
  <si>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</si>
  <si>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</si>
  <si>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</si>
  <si>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</si>
  <si>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</si>
  <si>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</si>
  <si>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</si>
  <si>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</si>
  <si>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</si>
  <si>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</si>
  <si>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</si>
  <si>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</si>
  <si>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</si>
  <si>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</si>
  <si>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</si>
  <si>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</si>
  <si>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</si>
  <si>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</si>
  <si>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</si>
  <si>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</si>
  <si>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</si>
  <si>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</si>
  <si>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</si>
  <si>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</si>
  <si>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</si>
  <si>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</si>
  <si>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</si>
  <si>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</si>
  <si>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</si>
  <si>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</si>
  <si>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</si>
  <si>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</si>
  <si>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</si>
  <si>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</si>
  <si>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</si>
  <si>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</si>
  <si>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</si>
  <si>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</si>
  <si>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</si>
  <si>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</si>
  <si>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</si>
  <si>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</si>
  <si>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</si>
  <si>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</si>
  <si>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</si>
  <si>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</si>
  <si>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</si>
  <si>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</si>
  <si>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</si>
  <si>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</si>
  <si>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</si>
  <si>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</si>
  <si>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</si>
  <si>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</si>
  <si>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</si>
  <si>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</si>
  <si>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</si>
  <si>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</si>
  <si>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</si>
  <si>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AerChemMIP,DynVarMIP,VolMIP</t>
  </si>
  <si>
    <t>vt100</t>
  </si>
  <si>
    <t>latitude time p100</t>
  </si>
  <si>
    <t>Northward Eddy Temperature Flux</t>
  </si>
  <si>
    <t>K m s-1</t>
  </si>
  <si>
    <t>Zonally averaged eddy temperature flux at 100hPa as monthly means derived from daily (or higher frequency) fields.</t>
  </si>
  <si>
    <t>CF3hr</t>
  </si>
  <si>
    <t>demc</t>
  </si>
  <si>
    <t>Convective Cloud Emissivity</t>
  </si>
  <si>
    <t>This is the in-cloud emissivity obtained by considering only the cloudy portion of the grid cell.</t>
  </si>
  <si>
    <t>dems</t>
  </si>
  <si>
    <t>Stratiform Cloud Emissivity</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</si>
  <si>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</si>
  <si>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</si>
  <si>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</si>
  <si>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</si>
  <si>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</si>
  <si>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</si>
  <si>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</si>
  <si>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</si>
  <si>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</si>
  <si>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</si>
  <si>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</si>
  <si>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</si>
  <si>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</si>
  <si>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</si>
  <si>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</si>
  <si>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</si>
  <si>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</si>
  <si>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</si>
  <si>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</si>
  <si>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</si>
  <si>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</si>
  <si>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</si>
  <si>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</si>
  <si>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</si>
  <si>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zfull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</si>
  <si>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</si>
  <si>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</si>
  <si>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</si>
  <si>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</si>
  <si>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</si>
  <si>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</si>
  <si>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E3hr</t>
  </si>
  <si>
    <t>prcsh</t>
  </si>
  <si>
    <t>Precipitation Flux from Shallow Convection</t>
  </si>
  <si>
    <t>Convection precipitation from shallow convection</t>
  </si>
  <si>
    <t>prrc</t>
  </si>
  <si>
    <t>Convective Rainfall Rate</t>
  </si>
  <si>
    <t>Emon</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</si>
  <si>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</si>
  <si>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</si>
  <si>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</si>
  <si>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</si>
  <si>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</si>
  <si>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</si>
  <si>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</si>
  <si>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</si>
  <si>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</si>
  <si>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</si>
  <si>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</si>
  <si>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</si>
  <si>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</si>
  <si>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</si>
  <si>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</si>
  <si>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</si>
  <si>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</si>
  <si>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</si>
  <si>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</si>
  <si>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</si>
  <si>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</si>
  <si>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</si>
  <si>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</si>
  <si>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</si>
  <si>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</si>
  <si>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</si>
  <si>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</si>
  <si>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</si>
  <si>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</si>
  <si>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</si>
  <si>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</si>
  <si>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</si>
  <si>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</si>
  <si>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</si>
  <si>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</si>
  <si>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</si>
  <si>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AerChemMIP,CMIP,FAFMIP,GMMIP,GeoMIP,HighResMIP,LS3MIP,RFMIP,VIACSAB,VolMIP</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</si>
  <si>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</si>
  <si>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</si>
  <si>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</si>
  <si>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</si>
  <si>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</si>
  <si>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</si>
  <si>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</si>
  <si>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</si>
  <si>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</si>
  <si>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</si>
  <si>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</si>
  <si>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</si>
  <si>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</si>
  <si>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</si>
  <si>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</si>
  <si>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</si>
  <si>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</si>
  <si>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</si>
  <si>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</si>
  <si>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</si>
  <si>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</si>
  <si>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</si>
  <si>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</si>
  <si>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</si>
  <si>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</si>
  <si>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</si>
  <si>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</si>
  <si>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</si>
  <si>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</si>
  <si>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clcalipsoliq</t>
  </si>
  <si>
    <t>CALIPSO Liquid Cloud Percentage</t>
  </si>
  <si>
    <t>Percentage liquid water ice cloud cover in CALIPSO standard atmospheric layers.</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</si>
  <si>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</si>
  <si>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</si>
  <si>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</si>
  <si>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</si>
  <si>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</si>
  <si>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</si>
  <si>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climodis</t>
  </si>
  <si>
    <t>MODIS Ice Cloud Area Percentage</t>
  </si>
  <si>
    <t xml:space="preserve">Total ice cloud area fraction (reported as a percentage) for the whole atmospheric column, as seen by the  Moderate Resolution Imaging Spectroradiometer (MODIS). </t>
  </si>
  <si>
    <t>longitude latitude alt16 tau time</t>
  </si>
  <si>
    <t>cltmodis</t>
  </si>
  <si>
    <t>MODIS Total Cloud Cover Percentage</t>
  </si>
  <si>
    <t>Total cloud area fraction (reported as a percentage) for the whole atmospheric column, as seen by the  Moderate Resolution Imaging Spectroradiometer (MODIS). Includes both large-scale and convective cloud.</t>
  </si>
  <si>
    <t>clwmodis</t>
  </si>
  <si>
    <t>MODIS Liquid Cloud Percentage</t>
  </si>
  <si>
    <t>Mass of cloud liquid water, as seen by the  Moderate Resolution Imaging Spectroradiometer (MODIS). Includes both large-scale and convective cloud.</t>
  </si>
  <si>
    <t>co23D</t>
  </si>
  <si>
    <t>3D-Field of Transported CO2</t>
  </si>
  <si>
    <t>kg kg-1</t>
  </si>
  <si>
    <t>report 3D field of model simulated atmospheric CO2 mass mixing ration on model levels</t>
  </si>
  <si>
    <t>co2s</t>
  </si>
  <si>
    <t>Atmosphere CO2</t>
  </si>
  <si>
    <t>1e-06</t>
  </si>
  <si>
    <t>As co2, but only at the surface</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</si>
  <si>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</si>
  <si>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</si>
  <si>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</si>
  <si>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</si>
  <si>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</si>
  <si>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</si>
  <si>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</si>
  <si>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</si>
  <si>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</si>
  <si>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</si>
  <si>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</si>
  <si>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</si>
  <si>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</si>
  <si>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</si>
  <si>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</si>
  <si>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</si>
  <si>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</si>
  <si>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</si>
  <si>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</si>
  <si>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</si>
  <si>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</si>
  <si>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fN2O</t>
  </si>
  <si>
    <t>Total Land N2O Flux</t>
  </si>
  <si>
    <t>Surface upward flux of nitrous oxide (N2O) from vegetation (any living plants e.g. trees, shrubs, grass), litter (dead plant material in or above the soil), soil.</t>
  </si>
  <si>
    <t>fNOx</t>
  </si>
  <si>
    <t>Total Land NOx Flux</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</si>
  <si>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</si>
  <si>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</si>
  <si>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</si>
  <si>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</si>
  <si>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</si>
  <si>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</si>
  <si>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</si>
  <si>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</si>
  <si>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</si>
  <si>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</si>
  <si>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</si>
  <si>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</si>
  <si>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</si>
  <si>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</si>
  <si>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</si>
  <si>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</si>
  <si>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</si>
  <si>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</si>
  <si>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</si>
  <si>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Surface Downward Mass Flux of Carbon-14 as 14CO2 [kgC m-2 s-1]</t>
  </si>
  <si>
    <t>Gas exchange flux of carbon-14 as CO2 (positive into ocean)</t>
  </si>
  <si>
    <t>gppShrub</t>
  </si>
  <si>
    <t>Gross Primary Production on Shrub Tiles as Carbon Mass Flux [kgC m-2 s-1]</t>
  </si>
  <si>
    <t>Total GPP of shrubs in the grid cell</t>
  </si>
  <si>
    <t>gppc13</t>
  </si>
  <si>
    <t>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</si>
  <si>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</si>
  <si>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</si>
  <si>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</si>
  <si>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</si>
  <si>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</si>
  <si>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</si>
  <si>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</si>
  <si>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</si>
  <si>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</si>
  <si>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</si>
  <si>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</si>
  <si>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</si>
  <si>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</si>
  <si>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</si>
  <si>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</si>
  <si>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</si>
  <si>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</si>
  <si>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</si>
  <si>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PMIP</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</si>
  <si>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</si>
  <si>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</si>
  <si>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</si>
  <si>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</si>
  <si>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</si>
  <si>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</si>
  <si>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</si>
  <si>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</si>
  <si>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</si>
  <si>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</si>
  <si>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</si>
  <si>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</si>
  <si>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</si>
  <si>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</si>
  <si>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</si>
  <si>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</si>
  <si>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</si>
  <si>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</si>
  <si>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</si>
  <si>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</si>
  <si>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</si>
  <si>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</si>
  <si>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</si>
  <si>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</si>
  <si>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</si>
  <si>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</si>
  <si>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</si>
  <si>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</si>
  <si>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</si>
  <si>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</si>
  <si>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 [kgC m-2 s-1]</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</si>
  <si>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</si>
  <si>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</si>
  <si>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 [kgC m-2 s-1]</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</si>
  <si>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</si>
  <si>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</si>
  <si>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 as Carbon Mass Flux [kgC m-2 s-1]</t>
  </si>
  <si>
    <t>added for completeness with npp_root</t>
  </si>
  <si>
    <t>nppShrub</t>
  </si>
  <si>
    <t>Net Primary Production on Shrub Tiles as Carbon Mass Flux [kgC m-2 s-1]</t>
  </si>
  <si>
    <t>Total NPP of shrubs in the grid cell</t>
  </si>
  <si>
    <t>nppStem</t>
  </si>
  <si>
    <t>Net Primary Production Allocated to Stem as Carbon Mass Flux [kgC m-2 s-1]</t>
  </si>
  <si>
    <t>FAFMIP</t>
  </si>
  <si>
    <t>od443dust</t>
  </si>
  <si>
    <t>Optical Thickness at 443nm Dust</t>
  </si>
  <si>
    <t>Total aerosol AOD due to dust aerosol at a wavelength of 443 nanometres.</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</si>
  <si>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</si>
  <si>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</si>
  <si>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</si>
  <si>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</si>
  <si>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</si>
  <si>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</si>
  <si>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</si>
  <si>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</si>
  <si>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</si>
  <si>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</si>
  <si>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</si>
  <si>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</si>
  <si>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</si>
  <si>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</si>
  <si>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</si>
  <si>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</si>
  <si>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</si>
  <si>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</si>
  <si>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</si>
  <si>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</si>
  <si>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</si>
  <si>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</si>
  <si>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</si>
  <si>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</si>
  <si>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</si>
  <si>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</si>
  <si>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</si>
  <si>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</si>
  <si>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</si>
  <si>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</si>
  <si>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</si>
  <si>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</si>
  <si>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</si>
  <si>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</si>
  <si>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</si>
  <si>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</si>
  <si>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</si>
  <si>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</si>
  <si>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</si>
  <si>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</si>
  <si>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</si>
  <si>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</si>
  <si>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Vapor Containing Oxygen-17 (H2 17O) in Layer</t>
  </si>
  <si>
    <t>Water vapor path for water molecules that contain oxygen-17 (H2 17O)</t>
  </si>
  <si>
    <t>prw18O</t>
  </si>
  <si>
    <t>Mass of Water Vapor Containing Oxygen-18 (H2 18O) in Layer</t>
  </si>
  <si>
    <t>Water vapor path for water molecules that contain oxygen-18 (H2 18O)</t>
  </si>
  <si>
    <t>prw2H</t>
  </si>
  <si>
    <t>Mass of Water Containing Deuterium (1H 2H O) in Layer</t>
  </si>
  <si>
    <t>Water vapor path for water molecules that contain one atom of the hydrogen-2 isotope (1H 2H O)</t>
  </si>
  <si>
    <t>raShrub</t>
  </si>
  <si>
    <t>Autotrophic Respiration on Shrub Tiles as Carbon Mass Flux [kgC m-2 s-1]</t>
  </si>
  <si>
    <t>Total RA of shrubs in the grid cell</t>
  </si>
  <si>
    <t>rac13</t>
  </si>
  <si>
    <t>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</si>
  <si>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</si>
  <si>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</si>
  <si>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</si>
  <si>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</si>
  <si>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</si>
  <si>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</si>
  <si>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 as Carbon Mass Flux [kgC m-2 s-1]</t>
  </si>
  <si>
    <t>Total RH of grass in the grid cell</t>
  </si>
  <si>
    <t>rhShrub</t>
  </si>
  <si>
    <t>Heterotrophic Respiration on Shrub Tiles as Carbon Mass Flux [kgC m-2 s-1]</t>
  </si>
  <si>
    <t>Total RH of shrubs in the grid cell</t>
  </si>
  <si>
    <t>rhTree</t>
  </si>
  <si>
    <t>Heterotrophic Respiration on Tree Tiles as Carbon Mass Flux [kgC m-2 s-1]</t>
  </si>
  <si>
    <t>Total RH of trees in the grid cell</t>
  </si>
  <si>
    <t>rhc13</t>
  </si>
  <si>
    <t>Carbon-13 Mass Flux into Atmosphere Due to Heterotrophic Respiration on Land [kgC m-2 s-1]</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</si>
  <si>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</si>
  <si>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</si>
  <si>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Carbon-14 Mass Flux into Atmosphere Due to Heterotrophic Respiration on Land [kgC m-2 s-1]</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</si>
  <si>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</si>
  <si>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</si>
  <si>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</si>
  <si>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</si>
  <si>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</si>
  <si>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</si>
  <si>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</si>
  <si>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</si>
  <si>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</si>
  <si>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</si>
  <si>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</si>
  <si>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</si>
  <si>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</si>
  <si>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</si>
  <si>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</si>
  <si>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sw17O</t>
  </si>
  <si>
    <t>Isotopic Ratio of Oxygen-17 in Sea Water</t>
  </si>
  <si>
    <t>Ratio of abundance of oxygen-17 (17O) atoms to oxygen-16 (16O) atoms in sea water</t>
  </si>
  <si>
    <t>sw18O</t>
  </si>
  <si>
    <t>Isotopic Ratio of Oxygen-18 in Sea Water</t>
  </si>
  <si>
    <t>Ratio of abundance of oxygen-18 (18O) atoms to oxygen-16 (16O) atoms in sea water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</si>
  <si>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</si>
  <si>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</si>
  <si>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</si>
  <si>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</si>
  <si>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</si>
  <si>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</si>
  <si>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</si>
  <si>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</si>
  <si>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</si>
  <si>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</si>
  <si>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</si>
  <si>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</si>
  <si>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</si>
  <si>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</si>
  <si>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</si>
  <si>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</si>
  <si>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</si>
  <si>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</si>
  <si>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</si>
  <si>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</si>
  <si>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</si>
  <si>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</si>
  <si>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</si>
  <si>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</si>
  <si>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tntrl27</t>
  </si>
  <si>
    <t>Tendency of Air Temperature Due to Longwave Radiative Heating</t>
  </si>
  <si>
    <t>Tendency of air temperature due to longwave radiative heating</t>
  </si>
  <si>
    <t>tntrs27</t>
  </si>
  <si>
    <t>Tendency of Air Temperature Due to Shortwave Radiative Heating</t>
  </si>
  <si>
    <t>Tendency of air temperature due to shortwave radiative heating</t>
  </si>
  <si>
    <t>tslsiLut</t>
  </si>
  <si>
    <t>Surface Temperature on Landuse Tile</t>
  </si>
  <si>
    <t>Surface temperature (i.e. temperature at which long-wave radiation emitted)</t>
  </si>
  <si>
    <t>uqint</t>
  </si>
  <si>
    <t>Eastward Humidity Transport</t>
  </si>
  <si>
    <t>Column integrated eastward wind times specific humidity</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</si>
  <si>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</si>
  <si>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</si>
  <si>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</si>
  <si>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</si>
  <si>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</si>
  <si>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</si>
  <si>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</si>
  <si>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</si>
  <si>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</si>
  <si>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</si>
  <si>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</si>
  <si>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</si>
  <si>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</si>
  <si>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</si>
  <si>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</si>
  <si>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</si>
  <si>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</si>
  <si>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</si>
  <si>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</si>
  <si>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</si>
  <si>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</si>
  <si>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</si>
  <si>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</si>
  <si>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</si>
  <si>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</si>
  <si>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</si>
  <si>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</si>
  <si>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</si>
  <si>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</si>
  <si>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</si>
  <si>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</si>
  <si>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</si>
  <si>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</si>
  <si>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ImonAnt</t>
  </si>
  <si>
    <t>xant yant time</t>
  </si>
  <si>
    <t>Lmon</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</si>
  <si>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</si>
  <si>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</si>
  <si>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</si>
  <si>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</si>
  <si>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</si>
  <si>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</si>
  <si>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</si>
  <si>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</si>
  <si>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</si>
  <si>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</si>
  <si>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</si>
  <si>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</si>
  <si>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</si>
  <si>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</si>
  <si>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Net Primary Production Allocated to Leaves as Carbon Mass Flux [kgC m-2 s-1]</t>
  </si>
  <si>
    <t>This is the rate of carbon uptake by leaves due to NPP</t>
  </si>
  <si>
    <t>AerChemMIP,C4MIP,CMIP,FAFMIP,GMMIP,GeoMIP,HighResMIP,LS3MIP,LUMIP,RFMIP,VIACSAB,VolMIP</t>
  </si>
  <si>
    <t>nppRoot</t>
  </si>
  <si>
    <t>Net Primary Production Allocated to Roots as Carbon Mass Flux [kgC m-2 s-1]</t>
  </si>
  <si>
    <t>This is the rate of carbon uptake by roots due to NPP</t>
  </si>
  <si>
    <t>nppWood</t>
  </si>
  <si>
    <t>Net Primary Production Allocated to Wood as Carbon Mass Flux [kgC m-2 s-1]</t>
  </si>
  <si>
    <t>This is the rate of carbon uptake by wood due to NPP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</si>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</sst>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728"/>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HYPERLINK("http://clipc-services.ceda.ac.uk/dreq/u/93a0ba1f23bfc41b720ea68951d28144.html","web")</f>
        <v>0</v>
      </c>
      <c r="J3" t="s">
        <v>20</v>
      </c>
      <c r="K3" t="s">
        <v>21</v>
      </c>
      <c r="M3" t="s">
        <v>19</v>
      </c>
    </row>
    <row r="4" spans="1:14">
      <c r="A4" t="s">
        <v>14</v>
      </c>
      <c r="B4" t="s">
        <v>22</v>
      </c>
      <c r="C4" t="s">
        <v>16</v>
      </c>
      <c r="D4" t="s">
        <v>17</v>
      </c>
      <c r="E4" t="s">
        <v>23</v>
      </c>
      <c r="F4" t="s">
        <v>24</v>
      </c>
      <c r="G4">
        <f>HYPERLINK("http://clipc-services.ceda.ac.uk/dreq/u/590e85a8-9e49-11e5-803c-0d0b866b59f3.html","web")</f>
        <v>0</v>
      </c>
      <c r="J4" t="s">
        <v>25</v>
      </c>
      <c r="K4" t="s">
        <v>21</v>
      </c>
      <c r="M4" t="s">
        <v>24</v>
      </c>
    </row>
    <row r="5" spans="1:14">
      <c r="A5" t="s">
        <v>14</v>
      </c>
      <c r="B5" t="s">
        <v>26</v>
      </c>
      <c r="C5" t="s">
        <v>16</v>
      </c>
      <c r="D5" t="s">
        <v>17</v>
      </c>
      <c r="E5" t="s">
        <v>27</v>
      </c>
      <c r="F5" t="s">
        <v>24</v>
      </c>
      <c r="G5">
        <f>HYPERLINK("http://clipc-services.ceda.ac.uk/dreq/u/59170700-9e49-11e5-803c-0d0b866b59f3.html","web")</f>
        <v>0</v>
      </c>
      <c r="J5" t="s">
        <v>28</v>
      </c>
      <c r="K5" t="s">
        <v>21</v>
      </c>
      <c r="M5" t="s">
        <v>24</v>
      </c>
    </row>
    <row r="6" spans="1:14">
      <c r="A6" t="s">
        <v>14</v>
      </c>
      <c r="B6" t="s">
        <v>29</v>
      </c>
      <c r="C6" t="s">
        <v>16</v>
      </c>
      <c r="D6" t="s">
        <v>17</v>
      </c>
      <c r="E6" t="s">
        <v>30</v>
      </c>
      <c r="F6" t="s">
        <v>31</v>
      </c>
      <c r="G6">
        <f>HYPERLINK("http://clipc-services.ceda.ac.uk/dreq/u/51fb29dd55442361fa9c5dbe23aca9c6.html","web")</f>
        <v>0</v>
      </c>
      <c r="J6" t="s">
        <v>32</v>
      </c>
      <c r="K6" t="s">
        <v>21</v>
      </c>
      <c r="M6" t="s">
        <v>31</v>
      </c>
    </row>
    <row r="8" spans="1:14">
      <c r="A8" t="s">
        <v>33</v>
      </c>
      <c r="B8" t="s">
        <v>34</v>
      </c>
      <c r="C8" t="s">
        <v>35</v>
      </c>
      <c r="D8" t="s">
        <v>36</v>
      </c>
      <c r="E8" t="s">
        <v>37</v>
      </c>
      <c r="F8" t="s">
        <v>38</v>
      </c>
      <c r="G8">
        <f>HYPERLINK("http://clipc-services.ceda.ac.uk/dreq/u/7124a0cc-c7b6-11e6-bb2a-ac72891c3257.html","web")</f>
        <v>0</v>
      </c>
      <c r="J8" t="s">
        <v>39</v>
      </c>
      <c r="K8" t="s">
        <v>40</v>
      </c>
      <c r="M8" t="s">
        <v>38</v>
      </c>
    </row>
    <row r="9" spans="1:14">
      <c r="A9" t="s">
        <v>33</v>
      </c>
      <c r="B9" t="s">
        <v>41</v>
      </c>
      <c r="C9" t="s">
        <v>35</v>
      </c>
      <c r="D9" t="s">
        <v>36</v>
      </c>
      <c r="E9" t="s">
        <v>42</v>
      </c>
      <c r="F9" t="s">
        <v>43</v>
      </c>
      <c r="G9">
        <f>HYPERLINK("http://clipc-services.ceda.ac.uk/dreq/u/7124996a-c7b6-11e6-bb2a-ac72891c3257.html","web")</f>
        <v>0</v>
      </c>
      <c r="J9" t="s">
        <v>44</v>
      </c>
      <c r="K9" t="s">
        <v>40</v>
      </c>
      <c r="M9" t="s">
        <v>43</v>
      </c>
    </row>
    <row r="10" spans="1:14">
      <c r="A10" t="s">
        <v>33</v>
      </c>
      <c r="B10" t="s">
        <v>45</v>
      </c>
      <c r="C10" t="s">
        <v>35</v>
      </c>
      <c r="D10" t="s">
        <v>36</v>
      </c>
      <c r="E10" t="s">
        <v>46</v>
      </c>
      <c r="F10" t="s">
        <v>47</v>
      </c>
      <c r="G10">
        <f>HYPERLINK("http://clipc-services.ceda.ac.uk/dreq/u/71249bb8-c7b6-11e6-bb2a-ac72891c3257.html","web")</f>
        <v>0</v>
      </c>
      <c r="J10" t="s">
        <v>48</v>
      </c>
      <c r="K10" t="s">
        <v>40</v>
      </c>
      <c r="M10" t="s">
        <v>47</v>
      </c>
    </row>
    <row r="11" spans="1:14">
      <c r="A11" t="s">
        <v>33</v>
      </c>
      <c r="B11" t="s">
        <v>49</v>
      </c>
      <c r="C11" t="s">
        <v>50</v>
      </c>
      <c r="D11" t="s">
        <v>51</v>
      </c>
      <c r="E11" t="s">
        <v>52</v>
      </c>
      <c r="F11" t="s">
        <v>38</v>
      </c>
      <c r="G11">
        <f>HYPERLINK("http://clipc-services.ceda.ac.uk/dreq/u/590dbe0c-9e49-11e5-803c-0d0b866b59f3.html","web")</f>
        <v>0</v>
      </c>
      <c r="J11" t="s">
        <v>53</v>
      </c>
      <c r="K11" t="s">
        <v>54</v>
      </c>
      <c r="M11" t="s">
        <v>38</v>
      </c>
    </row>
    <row r="12" spans="1:14">
      <c r="A12" t="s">
        <v>33</v>
      </c>
      <c r="B12" t="s">
        <v>55</v>
      </c>
      <c r="C12" t="s">
        <v>50</v>
      </c>
      <c r="D12" t="s">
        <v>51</v>
      </c>
      <c r="E12" t="s">
        <v>56</v>
      </c>
      <c r="F12" t="s">
        <v>57</v>
      </c>
      <c r="G12">
        <f>HYPERLINK("http://clipc-services.ceda.ac.uk/dreq/u/59170cbe-9e49-11e5-803c-0d0b866b59f3.html","web")</f>
        <v>0</v>
      </c>
      <c r="J12" t="s">
        <v>58</v>
      </c>
      <c r="K12" t="s">
        <v>59</v>
      </c>
      <c r="M12" t="s">
        <v>57</v>
      </c>
    </row>
    <row r="13" spans="1:14">
      <c r="A13" t="s">
        <v>33</v>
      </c>
      <c r="B13" t="s">
        <v>60</v>
      </c>
      <c r="C13" t="s">
        <v>35</v>
      </c>
      <c r="D13" t="s">
        <v>36</v>
      </c>
      <c r="E13" t="s">
        <v>61</v>
      </c>
      <c r="F13" t="s">
        <v>38</v>
      </c>
      <c r="G13">
        <f>HYPERLINK("http://clipc-services.ceda.ac.uk/dreq/u/7124926c-c7b6-11e6-bb2a-ac72891c3257.html","web")</f>
        <v>0</v>
      </c>
      <c r="J13" t="s">
        <v>62</v>
      </c>
      <c r="K13" t="s">
        <v>40</v>
      </c>
      <c r="M13" t="s">
        <v>38</v>
      </c>
    </row>
    <row r="15" spans="1:14">
      <c r="A15" t="s">
        <v>63</v>
      </c>
      <c r="B15" t="s">
        <v>64</v>
      </c>
      <c r="C15" t="s">
        <v>35</v>
      </c>
      <c r="D15" t="s">
        <v>65</v>
      </c>
      <c r="E15" t="s">
        <v>66</v>
      </c>
      <c r="F15" t="s">
        <v>67</v>
      </c>
      <c r="G15">
        <f>HYPERLINK("http://clipc-services.ceda.ac.uk/dreq/u/c9a77f2a-c5f0-11e6-ac20-5404a60d96b5.html","web")</f>
        <v>0</v>
      </c>
      <c r="J15" t="s">
        <v>68</v>
      </c>
      <c r="K15" t="s">
        <v>69</v>
      </c>
      <c r="M15" t="s">
        <v>67</v>
      </c>
    </row>
    <row r="17" spans="1:13">
      <c r="A17" t="s">
        <v>70</v>
      </c>
      <c r="B17" t="s">
        <v>71</v>
      </c>
      <c r="C17" t="s">
        <v>16</v>
      </c>
      <c r="D17" t="s">
        <v>72</v>
      </c>
      <c r="E17" t="s">
        <v>73</v>
      </c>
      <c r="F17" t="s">
        <v>74</v>
      </c>
      <c r="G17">
        <f>HYPERLINK("http://clipc-services.ceda.ac.uk/dreq/u/5914a1ea-9e49-11e5-803c-0d0b866b59f3.html","web")</f>
        <v>0</v>
      </c>
      <c r="J17" t="s">
        <v>75</v>
      </c>
      <c r="K17" t="s">
        <v>76</v>
      </c>
      <c r="M17" t="s">
        <v>74</v>
      </c>
    </row>
    <row r="18" spans="1:13">
      <c r="A18" t="s">
        <v>70</v>
      </c>
      <c r="B18" t="s">
        <v>77</v>
      </c>
      <c r="C18" t="s">
        <v>50</v>
      </c>
      <c r="D18" t="s">
        <v>72</v>
      </c>
      <c r="E18" t="s">
        <v>78</v>
      </c>
      <c r="F18" t="s">
        <v>57</v>
      </c>
      <c r="G18">
        <f>HYPERLINK("http://clipc-services.ceda.ac.uk/dreq/u/59176b14-9e49-11e5-803c-0d0b866b59f3.html","web")</f>
        <v>0</v>
      </c>
      <c r="J18" t="s">
        <v>79</v>
      </c>
      <c r="K18" t="s">
        <v>76</v>
      </c>
      <c r="M18" t="s">
        <v>57</v>
      </c>
    </row>
    <row r="19" spans="1:13">
      <c r="A19" t="s">
        <v>70</v>
      </c>
      <c r="B19" t="s">
        <v>80</v>
      </c>
      <c r="C19" t="s">
        <v>50</v>
      </c>
      <c r="D19" t="s">
        <v>72</v>
      </c>
      <c r="E19" t="s">
        <v>81</v>
      </c>
      <c r="F19" t="s">
        <v>57</v>
      </c>
      <c r="G19">
        <f>HYPERLINK("http://clipc-services.ceda.ac.uk/dreq/u/59148cf0-9e49-11e5-803c-0d0b866b59f3.html","web")</f>
        <v>0</v>
      </c>
      <c r="J19" t="s">
        <v>82</v>
      </c>
      <c r="K19" t="s">
        <v>76</v>
      </c>
      <c r="M19" t="s">
        <v>57</v>
      </c>
    </row>
    <row r="21" spans="1:13">
      <c r="A21" t="s">
        <v>83</v>
      </c>
      <c r="B21" t="s">
        <v>84</v>
      </c>
      <c r="C21" t="s">
        <v>50</v>
      </c>
      <c r="D21" t="s">
        <v>85</v>
      </c>
      <c r="E21" t="s">
        <v>86</v>
      </c>
      <c r="F21" t="s">
        <v>87</v>
      </c>
      <c r="G21">
        <f>HYPERLINK("http://clipc-services.ceda.ac.uk/dreq/u/a72a0bcf271db9db3a7fb9b7f3e7b93a.html","web")</f>
        <v>0</v>
      </c>
      <c r="J21" t="s">
        <v>88</v>
      </c>
      <c r="K21" t="s">
        <v>89</v>
      </c>
      <c r="M21" t="s">
        <v>87</v>
      </c>
    </row>
    <row r="22" spans="1:13">
      <c r="A22" t="s">
        <v>83</v>
      </c>
      <c r="B22" t="s">
        <v>90</v>
      </c>
      <c r="C22" t="s">
        <v>16</v>
      </c>
      <c r="D22" t="s">
        <v>85</v>
      </c>
      <c r="E22" t="s">
        <v>91</v>
      </c>
      <c r="F22" t="s">
        <v>87</v>
      </c>
      <c r="G22">
        <f>HYPERLINK("http://clipc-services.ceda.ac.uk/dreq/u/27ad2512525b0c42b7edd88f1dad5955.html","web")</f>
        <v>0</v>
      </c>
      <c r="J22" t="s">
        <v>92</v>
      </c>
      <c r="K22" t="s">
        <v>89</v>
      </c>
      <c r="M22" t="s">
        <v>87</v>
      </c>
    </row>
    <row r="23" spans="1:13">
      <c r="A23" t="s">
        <v>83</v>
      </c>
      <c r="B23" t="s">
        <v>93</v>
      </c>
      <c r="C23" t="s">
        <v>16</v>
      </c>
      <c r="D23" t="s">
        <v>85</v>
      </c>
      <c r="E23" t="s">
        <v>94</v>
      </c>
      <c r="F23" t="s">
        <v>95</v>
      </c>
      <c r="G23">
        <f>HYPERLINK("http://clipc-services.ceda.ac.uk/dreq/u/e5a8a5a5c4ff0920fa237e5274df57ba.html","web")</f>
        <v>0</v>
      </c>
      <c r="J23" t="s">
        <v>96</v>
      </c>
      <c r="K23" t="s">
        <v>97</v>
      </c>
      <c r="M23" t="s">
        <v>95</v>
      </c>
    </row>
    <row r="24" spans="1:13">
      <c r="A24" t="s">
        <v>83</v>
      </c>
      <c r="B24" t="s">
        <v>98</v>
      </c>
      <c r="C24" t="s">
        <v>16</v>
      </c>
      <c r="D24" t="s">
        <v>85</v>
      </c>
      <c r="E24" t="s">
        <v>99</v>
      </c>
      <c r="F24" t="s">
        <v>95</v>
      </c>
      <c r="G24">
        <f>HYPERLINK("http://clipc-services.ceda.ac.uk/dreq/u/1df32c1e9440e03187aa8253e1a0f2d9.html","web")</f>
        <v>0</v>
      </c>
      <c r="J24" t="s">
        <v>100</v>
      </c>
      <c r="K24" t="s">
        <v>97</v>
      </c>
      <c r="M24" t="s">
        <v>95</v>
      </c>
    </row>
    <row r="25" spans="1:13">
      <c r="A25" t="s">
        <v>83</v>
      </c>
      <c r="B25" t="s">
        <v>101</v>
      </c>
      <c r="C25" t="s">
        <v>16</v>
      </c>
      <c r="D25" t="s">
        <v>85</v>
      </c>
      <c r="E25" t="s">
        <v>102</v>
      </c>
      <c r="F25" t="s">
        <v>95</v>
      </c>
      <c r="G25">
        <f>HYPERLINK("http://clipc-services.ceda.ac.uk/dreq/u/6674625c225f14aa8d6795d1df244c28.html","web")</f>
        <v>0</v>
      </c>
      <c r="J25" t="s">
        <v>103</v>
      </c>
      <c r="K25" t="s">
        <v>97</v>
      </c>
      <c r="M25" t="s">
        <v>95</v>
      </c>
    </row>
    <row r="26" spans="1:13">
      <c r="A26" t="s">
        <v>83</v>
      </c>
      <c r="B26" t="s">
        <v>104</v>
      </c>
      <c r="C26" t="s">
        <v>16</v>
      </c>
      <c r="D26" t="s">
        <v>85</v>
      </c>
      <c r="E26" t="s">
        <v>105</v>
      </c>
      <c r="F26" t="s">
        <v>95</v>
      </c>
      <c r="G26">
        <f>HYPERLINK("http://clipc-services.ceda.ac.uk/dreq/u/c075ee7167ef3bc43fef7ce624f960af.html","web")</f>
        <v>0</v>
      </c>
      <c r="J26" t="s">
        <v>106</v>
      </c>
      <c r="K26" t="s">
        <v>97</v>
      </c>
      <c r="M26" t="s">
        <v>95</v>
      </c>
    </row>
    <row r="27" spans="1:13">
      <c r="A27" t="s">
        <v>83</v>
      </c>
      <c r="B27" t="s">
        <v>107</v>
      </c>
      <c r="C27" t="s">
        <v>16</v>
      </c>
      <c r="D27" t="s">
        <v>85</v>
      </c>
      <c r="E27" t="s">
        <v>108</v>
      </c>
      <c r="F27" t="s">
        <v>95</v>
      </c>
      <c r="G27">
        <f>HYPERLINK("http://clipc-services.ceda.ac.uk/dreq/u/cc3eb19e60c00c77520c2cbf58c322b1.html","web")</f>
        <v>0</v>
      </c>
      <c r="J27" t="s">
        <v>109</v>
      </c>
      <c r="K27" t="s">
        <v>97</v>
      </c>
      <c r="M27" t="s">
        <v>95</v>
      </c>
    </row>
    <row r="28" spans="1:13">
      <c r="A28" t="s">
        <v>83</v>
      </c>
      <c r="B28" t="s">
        <v>110</v>
      </c>
      <c r="C28" t="s">
        <v>16</v>
      </c>
      <c r="D28" t="s">
        <v>85</v>
      </c>
      <c r="E28" t="s">
        <v>111</v>
      </c>
      <c r="F28" t="s">
        <v>95</v>
      </c>
      <c r="G28">
        <f>HYPERLINK("http://clipc-services.ceda.ac.uk/dreq/u/2157a343384243be18fe8a06826aecb5.html","web")</f>
        <v>0</v>
      </c>
      <c r="J28" t="s">
        <v>112</v>
      </c>
      <c r="K28" t="s">
        <v>97</v>
      </c>
      <c r="M28" t="s">
        <v>95</v>
      </c>
    </row>
    <row r="29" spans="1:13">
      <c r="A29" t="s">
        <v>83</v>
      </c>
      <c r="B29" t="s">
        <v>113</v>
      </c>
      <c r="C29" t="s">
        <v>50</v>
      </c>
      <c r="D29" t="s">
        <v>85</v>
      </c>
      <c r="E29" t="s">
        <v>114</v>
      </c>
      <c r="F29" t="s">
        <v>115</v>
      </c>
      <c r="G29">
        <f>HYPERLINK("http://clipc-services.ceda.ac.uk/dreq/u/df96c61c07957da1c4e8212f0553fa98.html","web")</f>
        <v>0</v>
      </c>
      <c r="J29" t="s">
        <v>116</v>
      </c>
      <c r="K29" t="s">
        <v>117</v>
      </c>
      <c r="M29" t="s">
        <v>115</v>
      </c>
    </row>
    <row r="30" spans="1:13">
      <c r="A30" t="s">
        <v>83</v>
      </c>
      <c r="B30" t="s">
        <v>118</v>
      </c>
      <c r="C30" t="s">
        <v>50</v>
      </c>
      <c r="D30" t="s">
        <v>85</v>
      </c>
      <c r="E30" t="s">
        <v>119</v>
      </c>
      <c r="F30" t="s">
        <v>115</v>
      </c>
      <c r="G30">
        <f>HYPERLINK("http://clipc-services.ceda.ac.uk/dreq/u/171d617ceca8a4351f53d090c0ead89c.html","web")</f>
        <v>0</v>
      </c>
      <c r="J30" t="s">
        <v>120</v>
      </c>
      <c r="K30" t="s">
        <v>117</v>
      </c>
      <c r="M30" t="s">
        <v>115</v>
      </c>
    </row>
    <row r="31" spans="1:13">
      <c r="A31" t="s">
        <v>83</v>
      </c>
      <c r="B31" t="s">
        <v>121</v>
      </c>
      <c r="C31" t="s">
        <v>50</v>
      </c>
      <c r="D31" t="s">
        <v>85</v>
      </c>
      <c r="E31" t="s">
        <v>122</v>
      </c>
      <c r="F31" t="s">
        <v>115</v>
      </c>
      <c r="G31">
        <f>HYPERLINK("http://clipc-services.ceda.ac.uk/dreq/u/edc3d019be9c383abbd82a4d5fad43ca.html","web")</f>
        <v>0</v>
      </c>
      <c r="J31" t="s">
        <v>123</v>
      </c>
      <c r="K31" t="s">
        <v>117</v>
      </c>
      <c r="M31" t="s">
        <v>115</v>
      </c>
    </row>
    <row r="32" spans="1:13">
      <c r="A32" t="s">
        <v>83</v>
      </c>
      <c r="B32" t="s">
        <v>124</v>
      </c>
      <c r="C32" t="s">
        <v>50</v>
      </c>
      <c r="D32" t="s">
        <v>85</v>
      </c>
      <c r="E32" t="s">
        <v>125</v>
      </c>
      <c r="F32" t="s">
        <v>87</v>
      </c>
      <c r="G32">
        <f>HYPERLINK("http://clipc-services.ceda.ac.uk/dreq/u/c9794182-c5f0-11e6-ac20-5404a60d96b5.html","web")</f>
        <v>0</v>
      </c>
      <c r="J32" t="s">
        <v>126</v>
      </c>
      <c r="K32" t="s">
        <v>117</v>
      </c>
      <c r="M32" t="s">
        <v>87</v>
      </c>
    </row>
    <row r="33" spans="1:13">
      <c r="A33" t="s">
        <v>83</v>
      </c>
      <c r="B33" t="s">
        <v>127</v>
      </c>
      <c r="C33" t="s">
        <v>50</v>
      </c>
      <c r="D33" t="s">
        <v>85</v>
      </c>
      <c r="E33" t="s">
        <v>128</v>
      </c>
      <c r="F33" t="s">
        <v>87</v>
      </c>
      <c r="G33">
        <f>HYPERLINK("http://clipc-services.ceda.ac.uk/dreq/u/c9793390-c5f0-11e6-ac20-5404a60d96b5.html","web")</f>
        <v>0</v>
      </c>
      <c r="J33" t="s">
        <v>129</v>
      </c>
      <c r="K33" t="s">
        <v>117</v>
      </c>
      <c r="M33" t="s">
        <v>87</v>
      </c>
    </row>
    <row r="34" spans="1:13">
      <c r="A34" t="s">
        <v>83</v>
      </c>
      <c r="B34" t="s">
        <v>130</v>
      </c>
      <c r="C34" t="s">
        <v>50</v>
      </c>
      <c r="D34" t="s">
        <v>85</v>
      </c>
      <c r="E34" t="s">
        <v>131</v>
      </c>
      <c r="F34" t="s">
        <v>87</v>
      </c>
      <c r="G34">
        <f>HYPERLINK("http://clipc-services.ceda.ac.uk/dreq/u/065edaa295c376f0e9bc1985bc3f491c.html","web")</f>
        <v>0</v>
      </c>
      <c r="J34" t="s">
        <v>132</v>
      </c>
      <c r="K34" t="s">
        <v>97</v>
      </c>
      <c r="M34" t="s">
        <v>87</v>
      </c>
    </row>
    <row r="35" spans="1:13">
      <c r="A35" t="s">
        <v>83</v>
      </c>
      <c r="B35" t="s">
        <v>133</v>
      </c>
      <c r="C35" t="s">
        <v>50</v>
      </c>
      <c r="D35" t="s">
        <v>85</v>
      </c>
      <c r="E35" t="s">
        <v>134</v>
      </c>
      <c r="F35" t="s">
        <v>95</v>
      </c>
      <c r="G35">
        <f>HYPERLINK("http://clipc-services.ceda.ac.uk/dreq/u/402d88cf81105fe603118df92bb9eecb.html","web")</f>
        <v>0</v>
      </c>
      <c r="J35" t="s">
        <v>135</v>
      </c>
      <c r="K35" t="s">
        <v>97</v>
      </c>
      <c r="M35" t="s">
        <v>95</v>
      </c>
    </row>
    <row r="36" spans="1:13">
      <c r="A36" t="s">
        <v>83</v>
      </c>
      <c r="B36" t="s">
        <v>136</v>
      </c>
      <c r="C36" t="s">
        <v>16</v>
      </c>
      <c r="D36" t="s">
        <v>85</v>
      </c>
      <c r="E36" t="s">
        <v>137</v>
      </c>
      <c r="F36" t="s">
        <v>138</v>
      </c>
      <c r="G36">
        <f>HYPERLINK("http://clipc-services.ceda.ac.uk/dreq/u/84115d24881654a3deceba63b22cba06.html","web")</f>
        <v>0</v>
      </c>
      <c r="J36" t="s">
        <v>139</v>
      </c>
      <c r="K36" t="s">
        <v>140</v>
      </c>
      <c r="M36" t="s">
        <v>138</v>
      </c>
    </row>
    <row r="37" spans="1:13">
      <c r="A37" t="s">
        <v>83</v>
      </c>
      <c r="B37" t="s">
        <v>141</v>
      </c>
      <c r="C37" t="s">
        <v>16</v>
      </c>
      <c r="D37" t="s">
        <v>85</v>
      </c>
      <c r="E37" t="s">
        <v>142</v>
      </c>
      <c r="F37" t="s">
        <v>143</v>
      </c>
      <c r="G37">
        <f>HYPERLINK("http://clipc-services.ceda.ac.uk/dreq/u/64c32fcf490e2e5e9918a5401fa48424.html","web")</f>
        <v>0</v>
      </c>
      <c r="J37" t="s">
        <v>144</v>
      </c>
      <c r="K37" t="s">
        <v>140</v>
      </c>
      <c r="M37" t="s">
        <v>143</v>
      </c>
    </row>
    <row r="38" spans="1:13">
      <c r="A38" t="s">
        <v>83</v>
      </c>
      <c r="B38" t="s">
        <v>145</v>
      </c>
      <c r="C38" t="s">
        <v>16</v>
      </c>
      <c r="D38" t="s">
        <v>85</v>
      </c>
      <c r="E38" t="s">
        <v>146</v>
      </c>
      <c r="F38" t="s">
        <v>143</v>
      </c>
      <c r="G38">
        <f>HYPERLINK("http://clipc-services.ceda.ac.uk/dreq/u/1cf6c7fa0adedf95b3eaad5fb3f96b1c.html","web")</f>
        <v>0</v>
      </c>
      <c r="J38" t="s">
        <v>147</v>
      </c>
      <c r="K38" t="s">
        <v>140</v>
      </c>
      <c r="M38" t="s">
        <v>143</v>
      </c>
    </row>
    <row r="39" spans="1:13">
      <c r="A39" t="s">
        <v>83</v>
      </c>
      <c r="B39" t="s">
        <v>148</v>
      </c>
      <c r="C39" t="s">
        <v>16</v>
      </c>
      <c r="D39" t="s">
        <v>85</v>
      </c>
      <c r="E39" t="s">
        <v>149</v>
      </c>
      <c r="F39" t="s">
        <v>143</v>
      </c>
      <c r="G39">
        <f>HYPERLINK("http://clipc-services.ceda.ac.uk/dreq/u/b02d071fff99f2632aa8ac5e83e92215.html","web")</f>
        <v>0</v>
      </c>
      <c r="J39" t="s">
        <v>150</v>
      </c>
      <c r="K39" t="s">
        <v>140</v>
      </c>
      <c r="M39" t="s">
        <v>143</v>
      </c>
    </row>
    <row r="40" spans="1:13">
      <c r="A40" t="s">
        <v>83</v>
      </c>
      <c r="B40" t="s">
        <v>151</v>
      </c>
      <c r="C40" t="s">
        <v>16</v>
      </c>
      <c r="D40" t="s">
        <v>152</v>
      </c>
      <c r="E40" t="s">
        <v>153</v>
      </c>
      <c r="F40" t="s">
        <v>74</v>
      </c>
      <c r="G40">
        <f>HYPERLINK("http://clipc-services.ceda.ac.uk/dreq/u/f56a3a44b60650b58309b1d8cf58b913.html","web")</f>
        <v>0</v>
      </c>
      <c r="J40" t="s">
        <v>154</v>
      </c>
      <c r="K40" t="s">
        <v>140</v>
      </c>
      <c r="M40" t="s">
        <v>74</v>
      </c>
    </row>
    <row r="41" spans="1:13">
      <c r="A41" t="s">
        <v>83</v>
      </c>
      <c r="B41" t="s">
        <v>155</v>
      </c>
      <c r="C41" t="s">
        <v>35</v>
      </c>
      <c r="D41" t="s">
        <v>85</v>
      </c>
      <c r="E41" t="s">
        <v>156</v>
      </c>
      <c r="F41" t="s">
        <v>87</v>
      </c>
      <c r="G41">
        <f>HYPERLINK("http://clipc-services.ceda.ac.uk/dreq/u/59175660-9e49-11e5-803c-0d0b866b59f3.html","web")</f>
        <v>0</v>
      </c>
      <c r="J41" t="s">
        <v>157</v>
      </c>
      <c r="K41" t="s">
        <v>117</v>
      </c>
      <c r="M41" t="s">
        <v>87</v>
      </c>
    </row>
    <row r="42" spans="1:13">
      <c r="A42" t="s">
        <v>83</v>
      </c>
      <c r="B42" t="s">
        <v>158</v>
      </c>
      <c r="C42" t="s">
        <v>35</v>
      </c>
      <c r="D42" t="s">
        <v>85</v>
      </c>
      <c r="E42" t="s">
        <v>159</v>
      </c>
      <c r="F42" t="s">
        <v>87</v>
      </c>
      <c r="G42">
        <f>HYPERLINK("http://clipc-services.ceda.ac.uk/dreq/u/1391b0d99790cec6597b02ce4d7c5a67.html","web")</f>
        <v>0</v>
      </c>
      <c r="J42" t="s">
        <v>160</v>
      </c>
      <c r="K42" t="s">
        <v>117</v>
      </c>
      <c r="M42" t="s">
        <v>87</v>
      </c>
    </row>
    <row r="43" spans="1:13">
      <c r="A43" t="s">
        <v>83</v>
      </c>
      <c r="B43" t="s">
        <v>161</v>
      </c>
      <c r="C43" t="s">
        <v>35</v>
      </c>
      <c r="D43" t="s">
        <v>85</v>
      </c>
      <c r="E43" t="s">
        <v>162</v>
      </c>
      <c r="F43" t="s">
        <v>87</v>
      </c>
      <c r="G43">
        <f>HYPERLINK("http://clipc-services.ceda.ac.uk/dreq/u/55febff83b78e06576947e1c0e5b7a7d.html","web")</f>
        <v>0</v>
      </c>
      <c r="J43" t="s">
        <v>163</v>
      </c>
      <c r="K43" t="s">
        <v>117</v>
      </c>
      <c r="M43" t="s">
        <v>87</v>
      </c>
    </row>
    <row r="44" spans="1:13">
      <c r="A44" t="s">
        <v>83</v>
      </c>
      <c r="B44" t="s">
        <v>164</v>
      </c>
      <c r="C44" t="s">
        <v>50</v>
      </c>
      <c r="D44" t="s">
        <v>85</v>
      </c>
      <c r="E44" t="s">
        <v>165</v>
      </c>
      <c r="F44" t="s">
        <v>87</v>
      </c>
      <c r="G44">
        <f>HYPERLINK("http://clipc-services.ceda.ac.uk/dreq/u/bdce9878-233e-11e6-a788-5404a60d96b5.html","web")</f>
        <v>0</v>
      </c>
      <c r="J44" t="s">
        <v>166</v>
      </c>
      <c r="K44" t="s">
        <v>97</v>
      </c>
      <c r="M44" t="s">
        <v>87</v>
      </c>
    </row>
    <row r="45" spans="1:13">
      <c r="A45" t="s">
        <v>83</v>
      </c>
      <c r="B45" t="s">
        <v>167</v>
      </c>
      <c r="C45" t="s">
        <v>50</v>
      </c>
      <c r="D45" t="s">
        <v>85</v>
      </c>
      <c r="E45" t="s">
        <v>168</v>
      </c>
      <c r="F45" t="s">
        <v>169</v>
      </c>
      <c r="G45">
        <f>HYPERLINK("http://clipc-services.ceda.ac.uk/dreq/u/684d3f3543045a89ecbb0ca81ba6705f.html","web")</f>
        <v>0</v>
      </c>
      <c r="J45" t="s">
        <v>170</v>
      </c>
      <c r="K45" t="s">
        <v>97</v>
      </c>
      <c r="M45" t="s">
        <v>169</v>
      </c>
    </row>
    <row r="46" spans="1:13">
      <c r="A46" t="s">
        <v>83</v>
      </c>
      <c r="B46" t="s">
        <v>171</v>
      </c>
      <c r="C46" t="s">
        <v>16</v>
      </c>
      <c r="D46" t="s">
        <v>85</v>
      </c>
      <c r="E46" t="s">
        <v>172</v>
      </c>
      <c r="F46" t="s">
        <v>95</v>
      </c>
      <c r="G46">
        <f>HYPERLINK("http://clipc-services.ceda.ac.uk/dreq/u/9af5cb75998bb01d32958af3aeb30083.html","web")</f>
        <v>0</v>
      </c>
      <c r="J46" t="s">
        <v>173</v>
      </c>
      <c r="K46" t="s">
        <v>117</v>
      </c>
      <c r="M46" t="s">
        <v>95</v>
      </c>
    </row>
    <row r="47" spans="1:13">
      <c r="A47" t="s">
        <v>83</v>
      </c>
      <c r="B47" t="s">
        <v>174</v>
      </c>
      <c r="C47" t="s">
        <v>16</v>
      </c>
      <c r="D47" t="s">
        <v>85</v>
      </c>
      <c r="E47" t="s">
        <v>175</v>
      </c>
      <c r="F47" t="s">
        <v>95</v>
      </c>
      <c r="G47">
        <f>HYPERLINK("http://clipc-services.ceda.ac.uk/dreq/u/9a9dda6b54b64f67bda703c77465cceb.html","web")</f>
        <v>0</v>
      </c>
      <c r="J47" t="s">
        <v>176</v>
      </c>
      <c r="K47" t="s">
        <v>97</v>
      </c>
      <c r="M47" t="s">
        <v>95</v>
      </c>
    </row>
    <row r="48" spans="1:13">
      <c r="A48" t="s">
        <v>83</v>
      </c>
      <c r="B48" t="s">
        <v>177</v>
      </c>
      <c r="C48" t="s">
        <v>35</v>
      </c>
      <c r="D48" t="s">
        <v>152</v>
      </c>
      <c r="E48" t="s">
        <v>178</v>
      </c>
      <c r="F48" t="s">
        <v>179</v>
      </c>
      <c r="G48">
        <f>HYPERLINK("http://clipc-services.ceda.ac.uk/dreq/u/590e5b82-9e49-11e5-803c-0d0b866b59f3.html","web")</f>
        <v>0</v>
      </c>
      <c r="J48" t="s">
        <v>180</v>
      </c>
      <c r="K48" t="s">
        <v>117</v>
      </c>
      <c r="M48" t="s">
        <v>179</v>
      </c>
    </row>
    <row r="49" spans="1:13">
      <c r="A49" t="s">
        <v>83</v>
      </c>
      <c r="B49" t="s">
        <v>181</v>
      </c>
      <c r="C49" t="s">
        <v>35</v>
      </c>
      <c r="D49" t="s">
        <v>152</v>
      </c>
      <c r="E49" t="s">
        <v>182</v>
      </c>
      <c r="F49" t="s">
        <v>179</v>
      </c>
      <c r="G49">
        <f>HYPERLINK("http://clipc-services.ceda.ac.uk/dreq/u/f36046ab9a8a24ce4d7431e2defd9cf6.html","web")</f>
        <v>0</v>
      </c>
      <c r="J49" t="s">
        <v>183</v>
      </c>
      <c r="K49" t="s">
        <v>117</v>
      </c>
      <c r="M49" t="s">
        <v>179</v>
      </c>
    </row>
    <row r="50" spans="1:13">
      <c r="A50" t="s">
        <v>83</v>
      </c>
      <c r="B50" t="s">
        <v>184</v>
      </c>
      <c r="C50" t="s">
        <v>35</v>
      </c>
      <c r="D50" t="s">
        <v>152</v>
      </c>
      <c r="E50" t="s">
        <v>185</v>
      </c>
      <c r="F50" t="s">
        <v>179</v>
      </c>
      <c r="G50">
        <f>HYPERLINK("http://clipc-services.ceda.ac.uk/dreq/u/042e575e61a271e122d317ca7b39dcb4.html","web")</f>
        <v>0</v>
      </c>
      <c r="J50" t="s">
        <v>186</v>
      </c>
      <c r="K50" t="s">
        <v>117</v>
      </c>
      <c r="M50" t="s">
        <v>179</v>
      </c>
    </row>
    <row r="51" spans="1:13">
      <c r="A51" t="s">
        <v>83</v>
      </c>
      <c r="B51" t="s">
        <v>187</v>
      </c>
      <c r="C51" t="s">
        <v>35</v>
      </c>
      <c r="D51" t="s">
        <v>152</v>
      </c>
      <c r="E51" t="s">
        <v>188</v>
      </c>
      <c r="F51" t="s">
        <v>179</v>
      </c>
      <c r="G51">
        <f>HYPERLINK("http://clipc-services.ceda.ac.uk/dreq/u/97c037c3357f24c4e06c07123224b400.html","web")</f>
        <v>0</v>
      </c>
      <c r="J51" t="s">
        <v>189</v>
      </c>
      <c r="K51" t="s">
        <v>117</v>
      </c>
      <c r="M51" t="s">
        <v>179</v>
      </c>
    </row>
    <row r="52" spans="1:13">
      <c r="A52" t="s">
        <v>83</v>
      </c>
      <c r="B52" t="s">
        <v>190</v>
      </c>
      <c r="C52" t="s">
        <v>50</v>
      </c>
      <c r="D52" t="s">
        <v>85</v>
      </c>
      <c r="E52" t="s">
        <v>191</v>
      </c>
      <c r="F52" t="s">
        <v>87</v>
      </c>
      <c r="G52">
        <f>HYPERLINK("http://clipc-services.ceda.ac.uk/dreq/u/e4e75ce1fe85a547cd0d39d4b64ec0e2.html","web")</f>
        <v>0</v>
      </c>
      <c r="J52" t="s">
        <v>192</v>
      </c>
      <c r="K52" t="s">
        <v>117</v>
      </c>
      <c r="M52" t="s">
        <v>87</v>
      </c>
    </row>
    <row r="53" spans="1:13">
      <c r="A53" t="s">
        <v>83</v>
      </c>
      <c r="B53" t="s">
        <v>193</v>
      </c>
      <c r="C53" t="s">
        <v>16</v>
      </c>
      <c r="D53" t="s">
        <v>152</v>
      </c>
      <c r="E53" t="s">
        <v>194</v>
      </c>
      <c r="F53" t="s">
        <v>195</v>
      </c>
      <c r="G53">
        <f>HYPERLINK("http://clipc-services.ceda.ac.uk/dreq/u/117c89cc-b574-11e6-9ed4-5404a60d96b5.html","web")</f>
        <v>0</v>
      </c>
      <c r="J53" t="s">
        <v>196</v>
      </c>
      <c r="K53" t="s">
        <v>117</v>
      </c>
      <c r="M53" t="s">
        <v>195</v>
      </c>
    </row>
    <row r="54" spans="1:13">
      <c r="A54" t="s">
        <v>83</v>
      </c>
      <c r="B54" t="s">
        <v>197</v>
      </c>
      <c r="C54" t="s">
        <v>16</v>
      </c>
      <c r="D54" t="s">
        <v>85</v>
      </c>
      <c r="E54" t="s">
        <v>198</v>
      </c>
      <c r="F54" t="s">
        <v>74</v>
      </c>
      <c r="G54">
        <f>HYPERLINK("http://clipc-services.ceda.ac.uk/dreq/u/1742f769c80d35356bf80ab91789eec6.html","web")</f>
        <v>0</v>
      </c>
      <c r="J54" t="s">
        <v>199</v>
      </c>
      <c r="K54" t="s">
        <v>140</v>
      </c>
      <c r="M54" t="s">
        <v>74</v>
      </c>
    </row>
    <row r="55" spans="1:13">
      <c r="A55" t="s">
        <v>83</v>
      </c>
      <c r="B55" t="s">
        <v>200</v>
      </c>
      <c r="C55" t="s">
        <v>16</v>
      </c>
      <c r="D55" t="s">
        <v>85</v>
      </c>
      <c r="E55" t="s">
        <v>201</v>
      </c>
      <c r="F55" t="s">
        <v>74</v>
      </c>
      <c r="G55">
        <f>HYPERLINK("http://clipc-services.ceda.ac.uk/dreq/u/2aa31f177542022b5d6ca809cf01eff5.html","web")</f>
        <v>0</v>
      </c>
      <c r="J55" t="s">
        <v>202</v>
      </c>
      <c r="K55" t="s">
        <v>140</v>
      </c>
      <c r="M55" t="s">
        <v>74</v>
      </c>
    </row>
    <row r="56" spans="1:13">
      <c r="A56" t="s">
        <v>83</v>
      </c>
      <c r="B56" t="s">
        <v>203</v>
      </c>
      <c r="C56" t="s">
        <v>16</v>
      </c>
      <c r="D56" t="s">
        <v>152</v>
      </c>
      <c r="E56" t="s">
        <v>204</v>
      </c>
      <c r="F56" t="s">
        <v>195</v>
      </c>
      <c r="G56">
        <f>HYPERLINK("http://clipc-services.ceda.ac.uk/dreq/u/59133ddc-9e49-11e5-803c-0d0b866b59f3.html","web")</f>
        <v>0</v>
      </c>
      <c r="J56" t="s">
        <v>205</v>
      </c>
      <c r="K56" t="s">
        <v>117</v>
      </c>
      <c r="M56" t="s">
        <v>195</v>
      </c>
    </row>
    <row r="57" spans="1:13">
      <c r="A57" t="s">
        <v>83</v>
      </c>
      <c r="B57" t="s">
        <v>206</v>
      </c>
      <c r="C57" t="s">
        <v>16</v>
      </c>
      <c r="D57" t="s">
        <v>85</v>
      </c>
      <c r="E57" t="s">
        <v>207</v>
      </c>
      <c r="F57" t="s">
        <v>74</v>
      </c>
      <c r="G57">
        <f>HYPERLINK("http://clipc-services.ceda.ac.uk/dreq/u/8530ec1d1281da71f660df7c61571e38.html","web")</f>
        <v>0</v>
      </c>
      <c r="J57" t="s">
        <v>208</v>
      </c>
      <c r="K57" t="s">
        <v>140</v>
      </c>
      <c r="M57" t="s">
        <v>74</v>
      </c>
    </row>
    <row r="58" spans="1:13">
      <c r="A58" t="s">
        <v>83</v>
      </c>
      <c r="B58" t="s">
        <v>209</v>
      </c>
      <c r="C58" t="s">
        <v>16</v>
      </c>
      <c r="D58" t="s">
        <v>85</v>
      </c>
      <c r="E58" t="s">
        <v>210</v>
      </c>
      <c r="F58" t="s">
        <v>74</v>
      </c>
      <c r="G58">
        <f>HYPERLINK("http://clipc-services.ceda.ac.uk/dreq/u/bf9968cc511b92e99f89e9856bd38fb6.html","web")</f>
        <v>0</v>
      </c>
      <c r="J58" t="s">
        <v>211</v>
      </c>
      <c r="K58" t="s">
        <v>140</v>
      </c>
      <c r="M58" t="s">
        <v>74</v>
      </c>
    </row>
    <row r="59" spans="1:13">
      <c r="A59" t="s">
        <v>83</v>
      </c>
      <c r="B59" t="s">
        <v>212</v>
      </c>
      <c r="C59" t="s">
        <v>16</v>
      </c>
      <c r="D59" t="s">
        <v>85</v>
      </c>
      <c r="E59" t="s">
        <v>213</v>
      </c>
      <c r="F59" t="s">
        <v>74</v>
      </c>
      <c r="G59">
        <f>HYPERLINK("http://clipc-services.ceda.ac.uk/dreq/u/64c745ab7c8597bb0afed2bafd12c20c.html","web")</f>
        <v>0</v>
      </c>
      <c r="J59" t="s">
        <v>214</v>
      </c>
      <c r="K59" t="s">
        <v>140</v>
      </c>
      <c r="M59" t="s">
        <v>74</v>
      </c>
    </row>
    <row r="60" spans="1:13">
      <c r="A60" t="s">
        <v>83</v>
      </c>
      <c r="B60" t="s">
        <v>215</v>
      </c>
      <c r="C60" t="s">
        <v>16</v>
      </c>
      <c r="D60" t="s">
        <v>85</v>
      </c>
      <c r="E60" t="s">
        <v>216</v>
      </c>
      <c r="F60" t="s">
        <v>74</v>
      </c>
      <c r="G60">
        <f>HYPERLINK("http://clipc-services.ceda.ac.uk/dreq/u/3cbe53c2-12cc-11e6-b2bc-ac72891c3257.html","web")</f>
        <v>0</v>
      </c>
      <c r="J60" t="s">
        <v>217</v>
      </c>
      <c r="K60" t="s">
        <v>140</v>
      </c>
      <c r="M60" t="s">
        <v>74</v>
      </c>
    </row>
    <row r="61" spans="1:13">
      <c r="A61" t="s">
        <v>83</v>
      </c>
      <c r="B61" t="s">
        <v>218</v>
      </c>
      <c r="C61" t="s">
        <v>16</v>
      </c>
      <c r="D61" t="s">
        <v>85</v>
      </c>
      <c r="E61" t="s">
        <v>219</v>
      </c>
      <c r="F61" t="s">
        <v>74</v>
      </c>
      <c r="G61">
        <f>HYPERLINK("http://clipc-services.ceda.ac.uk/dreq/u/d447c41b5f4e8c44f1fe64503cb4caa1.html","web")</f>
        <v>0</v>
      </c>
      <c r="J61" t="s">
        <v>220</v>
      </c>
      <c r="K61" t="s">
        <v>140</v>
      </c>
      <c r="M61" t="s">
        <v>74</v>
      </c>
    </row>
    <row r="62" spans="1:13">
      <c r="A62" t="s">
        <v>83</v>
      </c>
      <c r="B62" t="s">
        <v>221</v>
      </c>
      <c r="C62" t="s">
        <v>16</v>
      </c>
      <c r="D62" t="s">
        <v>85</v>
      </c>
      <c r="E62" t="s">
        <v>222</v>
      </c>
      <c r="F62" t="s">
        <v>179</v>
      </c>
      <c r="G62">
        <f>HYPERLINK("http://clipc-services.ceda.ac.uk/dreq/u/9259f1caedb47c287bc1c9dfc3c6f756.html","web")</f>
        <v>0</v>
      </c>
      <c r="J62" t="s">
        <v>223</v>
      </c>
      <c r="K62" t="s">
        <v>140</v>
      </c>
      <c r="M62" t="s">
        <v>179</v>
      </c>
    </row>
    <row r="63" spans="1:13">
      <c r="A63" t="s">
        <v>83</v>
      </c>
      <c r="B63" t="s">
        <v>224</v>
      </c>
      <c r="C63" t="s">
        <v>50</v>
      </c>
      <c r="D63" t="s">
        <v>85</v>
      </c>
      <c r="E63" t="s">
        <v>225</v>
      </c>
      <c r="F63" t="s">
        <v>95</v>
      </c>
      <c r="G63">
        <f>HYPERLINK("http://clipc-services.ceda.ac.uk/dreq/u/6aec29521de81a361630aac9ffc69f8f.html","web")</f>
        <v>0</v>
      </c>
      <c r="J63" t="s">
        <v>226</v>
      </c>
      <c r="K63" t="s">
        <v>97</v>
      </c>
      <c r="M63" t="s">
        <v>95</v>
      </c>
    </row>
    <row r="64" spans="1:13">
      <c r="A64" t="s">
        <v>83</v>
      </c>
      <c r="B64" t="s">
        <v>227</v>
      </c>
      <c r="C64" t="s">
        <v>35</v>
      </c>
      <c r="D64" t="s">
        <v>85</v>
      </c>
      <c r="E64" t="s">
        <v>228</v>
      </c>
      <c r="F64" t="s">
        <v>35</v>
      </c>
      <c r="G64">
        <f>HYPERLINK("http://clipc-services.ceda.ac.uk/dreq/u/c977c2da-c5f0-11e6-ac20-5404a60d96b5.html","web")</f>
        <v>0</v>
      </c>
      <c r="J64" t="s">
        <v>229</v>
      </c>
      <c r="K64" t="s">
        <v>117</v>
      </c>
      <c r="M64" t="s">
        <v>35</v>
      </c>
    </row>
    <row r="65" spans="1:13">
      <c r="A65" t="s">
        <v>83</v>
      </c>
      <c r="B65" t="s">
        <v>230</v>
      </c>
      <c r="C65" t="s">
        <v>35</v>
      </c>
      <c r="D65" t="s">
        <v>85</v>
      </c>
      <c r="E65" t="s">
        <v>231</v>
      </c>
      <c r="F65" t="s">
        <v>35</v>
      </c>
      <c r="G65">
        <f>HYPERLINK("http://clipc-services.ceda.ac.uk/dreq/u/c97004d2-c5f0-11e6-ac20-5404a60d96b5.html","web")</f>
        <v>0</v>
      </c>
      <c r="J65" t="s">
        <v>232</v>
      </c>
      <c r="K65" t="s">
        <v>117</v>
      </c>
      <c r="M65" t="s">
        <v>35</v>
      </c>
    </row>
    <row r="66" spans="1:13">
      <c r="A66" t="s">
        <v>83</v>
      </c>
      <c r="B66" t="s">
        <v>233</v>
      </c>
      <c r="C66" t="s">
        <v>16</v>
      </c>
      <c r="D66" t="s">
        <v>85</v>
      </c>
      <c r="E66" t="s">
        <v>234</v>
      </c>
      <c r="F66" t="s">
        <v>87</v>
      </c>
      <c r="G66">
        <f>HYPERLINK("http://clipc-services.ceda.ac.uk/dreq/u/38c7aa97ad0f74e33dfd3f115124d04f.html","web")</f>
        <v>0</v>
      </c>
      <c r="J66" t="s">
        <v>235</v>
      </c>
      <c r="K66" t="s">
        <v>89</v>
      </c>
      <c r="M66" t="s">
        <v>87</v>
      </c>
    </row>
    <row r="67" spans="1:13">
      <c r="A67" t="s">
        <v>83</v>
      </c>
      <c r="B67" t="s">
        <v>236</v>
      </c>
      <c r="C67" t="s">
        <v>16</v>
      </c>
      <c r="D67" t="s">
        <v>85</v>
      </c>
      <c r="E67" t="s">
        <v>237</v>
      </c>
      <c r="F67" t="s">
        <v>87</v>
      </c>
      <c r="G67">
        <f>HYPERLINK("http://clipc-services.ceda.ac.uk/dreq/u/ad7df7199759ad25164da83e37a6da17.html","web")</f>
        <v>0</v>
      </c>
      <c r="J67" t="s">
        <v>238</v>
      </c>
      <c r="K67" t="s">
        <v>89</v>
      </c>
      <c r="M67" t="s">
        <v>87</v>
      </c>
    </row>
    <row r="68" spans="1:13">
      <c r="A68" t="s">
        <v>83</v>
      </c>
      <c r="B68" t="s">
        <v>239</v>
      </c>
      <c r="C68" t="s">
        <v>50</v>
      </c>
      <c r="D68" t="s">
        <v>85</v>
      </c>
      <c r="E68" t="s">
        <v>240</v>
      </c>
      <c r="F68" t="s">
        <v>87</v>
      </c>
      <c r="G68">
        <f>HYPERLINK("http://clipc-services.ceda.ac.uk/dreq/u/80f337469efdd0d5392ad995a90fd15c.html","web")</f>
        <v>0</v>
      </c>
      <c r="J68" t="s">
        <v>241</v>
      </c>
      <c r="K68" t="s">
        <v>117</v>
      </c>
      <c r="M68" t="s">
        <v>87</v>
      </c>
    </row>
    <row r="69" spans="1:13">
      <c r="A69" t="s">
        <v>83</v>
      </c>
      <c r="B69" t="s">
        <v>242</v>
      </c>
      <c r="C69" t="s">
        <v>50</v>
      </c>
      <c r="D69" t="s">
        <v>85</v>
      </c>
      <c r="E69" t="s">
        <v>243</v>
      </c>
      <c r="F69" t="s">
        <v>87</v>
      </c>
      <c r="G69">
        <f>HYPERLINK("http://clipc-services.ceda.ac.uk/dreq/u/1ae710e405acc14b368f55d9205be258.html","web")</f>
        <v>0</v>
      </c>
      <c r="J69" t="s">
        <v>244</v>
      </c>
      <c r="K69" t="s">
        <v>117</v>
      </c>
      <c r="M69" t="s">
        <v>87</v>
      </c>
    </row>
    <row r="70" spans="1:13">
      <c r="A70" t="s">
        <v>83</v>
      </c>
      <c r="B70" t="s">
        <v>245</v>
      </c>
      <c r="C70" t="s">
        <v>16</v>
      </c>
      <c r="D70" t="s">
        <v>85</v>
      </c>
      <c r="E70" t="s">
        <v>246</v>
      </c>
      <c r="F70" t="s">
        <v>87</v>
      </c>
      <c r="G70">
        <f>HYPERLINK("http://clipc-services.ceda.ac.uk/dreq/u/3aa265a13ddf4caa82a8e1e3d4482f42.html","web")</f>
        <v>0</v>
      </c>
      <c r="J70" t="s">
        <v>247</v>
      </c>
      <c r="K70" t="s">
        <v>89</v>
      </c>
      <c r="M70" t="s">
        <v>87</v>
      </c>
    </row>
    <row r="71" spans="1:13">
      <c r="A71" t="s">
        <v>83</v>
      </c>
      <c r="B71" t="s">
        <v>248</v>
      </c>
      <c r="C71" t="s">
        <v>50</v>
      </c>
      <c r="D71" t="s">
        <v>85</v>
      </c>
      <c r="E71" t="s">
        <v>249</v>
      </c>
      <c r="F71" t="s">
        <v>87</v>
      </c>
      <c r="G71">
        <f>HYPERLINK("http://clipc-services.ceda.ac.uk/dreq/u/14e5a31ac93e26c50f8c01ed9a032168.html","web")</f>
        <v>0</v>
      </c>
      <c r="J71" t="s">
        <v>250</v>
      </c>
      <c r="K71" t="s">
        <v>117</v>
      </c>
      <c r="M71" t="s">
        <v>87</v>
      </c>
    </row>
    <row r="72" spans="1:13">
      <c r="A72" t="s">
        <v>83</v>
      </c>
      <c r="B72" t="s">
        <v>251</v>
      </c>
      <c r="C72" t="s">
        <v>50</v>
      </c>
      <c r="D72" t="s">
        <v>85</v>
      </c>
      <c r="E72" t="s">
        <v>252</v>
      </c>
      <c r="F72" t="s">
        <v>87</v>
      </c>
      <c r="G72">
        <f>HYPERLINK("http://clipc-services.ceda.ac.uk/dreq/u/562c99ff069851867df730ed9531c796.html","web")</f>
        <v>0</v>
      </c>
      <c r="J72" t="s">
        <v>253</v>
      </c>
      <c r="K72" t="s">
        <v>117</v>
      </c>
      <c r="M72" t="s">
        <v>87</v>
      </c>
    </row>
    <row r="73" spans="1:13">
      <c r="A73" t="s">
        <v>83</v>
      </c>
      <c r="B73" t="s">
        <v>254</v>
      </c>
      <c r="C73" t="s">
        <v>16</v>
      </c>
      <c r="D73" t="s">
        <v>85</v>
      </c>
      <c r="E73" t="s">
        <v>255</v>
      </c>
      <c r="F73" t="s">
        <v>95</v>
      </c>
      <c r="G73">
        <f>HYPERLINK("http://clipc-services.ceda.ac.uk/dreq/u/e526caea-dd83-11e5-9194-ac72891c3257.html","web")</f>
        <v>0</v>
      </c>
      <c r="J73" t="s">
        <v>256</v>
      </c>
      <c r="K73" t="s">
        <v>117</v>
      </c>
      <c r="M73" t="s">
        <v>95</v>
      </c>
    </row>
    <row r="74" spans="1:13">
      <c r="A74" t="s">
        <v>83</v>
      </c>
      <c r="B74" t="s">
        <v>257</v>
      </c>
      <c r="C74" t="s">
        <v>16</v>
      </c>
      <c r="D74" t="s">
        <v>85</v>
      </c>
      <c r="E74" t="s">
        <v>258</v>
      </c>
      <c r="F74" t="s">
        <v>95</v>
      </c>
      <c r="G74">
        <f>HYPERLINK("http://clipc-services.ceda.ac.uk/dreq/u/e52644bc-dd83-11e5-9194-ac72891c3257.html","web")</f>
        <v>0</v>
      </c>
      <c r="J74" t="s">
        <v>259</v>
      </c>
      <c r="K74" t="s">
        <v>117</v>
      </c>
      <c r="M74" t="s">
        <v>95</v>
      </c>
    </row>
    <row r="75" spans="1:13">
      <c r="A75" t="s">
        <v>83</v>
      </c>
      <c r="B75" t="s">
        <v>260</v>
      </c>
      <c r="C75" t="s">
        <v>16</v>
      </c>
      <c r="D75" t="s">
        <v>85</v>
      </c>
      <c r="E75" t="s">
        <v>261</v>
      </c>
      <c r="F75" t="s">
        <v>95</v>
      </c>
      <c r="G75">
        <f>HYPERLINK("http://clipc-services.ceda.ac.uk/dreq/u/e527532a-dd83-11e5-9194-ac72891c3257.html","web")</f>
        <v>0</v>
      </c>
      <c r="J75" t="s">
        <v>262</v>
      </c>
      <c r="K75" t="s">
        <v>117</v>
      </c>
      <c r="M75" t="s">
        <v>95</v>
      </c>
    </row>
    <row r="76" spans="1:13">
      <c r="A76" t="s">
        <v>83</v>
      </c>
      <c r="B76" t="s">
        <v>263</v>
      </c>
      <c r="C76" t="s">
        <v>16</v>
      </c>
      <c r="D76" t="s">
        <v>85</v>
      </c>
      <c r="E76" t="s">
        <v>264</v>
      </c>
      <c r="F76" t="s">
        <v>74</v>
      </c>
      <c r="G76">
        <f>HYPERLINK("http://clipc-services.ceda.ac.uk/dreq/u/b2f82090-fbed-11e5-8f03-5404a60d96b5.html","web")</f>
        <v>0</v>
      </c>
      <c r="J76" t="s">
        <v>265</v>
      </c>
      <c r="K76" t="s">
        <v>140</v>
      </c>
      <c r="M76" t="s">
        <v>74</v>
      </c>
    </row>
    <row r="77" spans="1:13">
      <c r="A77" t="s">
        <v>83</v>
      </c>
      <c r="B77" t="s">
        <v>266</v>
      </c>
      <c r="C77" t="s">
        <v>16</v>
      </c>
      <c r="D77" t="s">
        <v>152</v>
      </c>
      <c r="E77" t="s">
        <v>267</v>
      </c>
      <c r="F77" t="s">
        <v>74</v>
      </c>
      <c r="G77">
        <f>HYPERLINK("http://clipc-services.ceda.ac.uk/dreq/u/bb27046ce21470dfbbecdd4f7eca546a.html","web")</f>
        <v>0</v>
      </c>
      <c r="J77" t="s">
        <v>268</v>
      </c>
      <c r="K77" t="s">
        <v>140</v>
      </c>
      <c r="M77" t="s">
        <v>74</v>
      </c>
    </row>
    <row r="78" spans="1:13">
      <c r="A78" t="s">
        <v>83</v>
      </c>
      <c r="B78" t="s">
        <v>269</v>
      </c>
      <c r="C78" t="s">
        <v>35</v>
      </c>
      <c r="D78" t="s">
        <v>85</v>
      </c>
      <c r="E78" t="s">
        <v>270</v>
      </c>
      <c r="F78" t="s">
        <v>271</v>
      </c>
      <c r="G78">
        <f>HYPERLINK("http://clipc-services.ceda.ac.uk/dreq/u/4c69515bfc84c5cb5624e94228f58351.html","web")</f>
        <v>0</v>
      </c>
      <c r="J78" t="s">
        <v>272</v>
      </c>
      <c r="K78" t="s">
        <v>117</v>
      </c>
      <c r="M78" t="s">
        <v>271</v>
      </c>
    </row>
    <row r="79" spans="1:13">
      <c r="A79" t="s">
        <v>83</v>
      </c>
      <c r="B79" t="s">
        <v>273</v>
      </c>
      <c r="C79" t="s">
        <v>16</v>
      </c>
      <c r="D79" t="s">
        <v>85</v>
      </c>
      <c r="E79" t="s">
        <v>274</v>
      </c>
      <c r="F79" t="s">
        <v>87</v>
      </c>
      <c r="G79">
        <f>HYPERLINK("http://clipc-services.ceda.ac.uk/dreq/u/c9776970-c5f0-11e6-ac20-5404a60d96b5.html","web")</f>
        <v>0</v>
      </c>
      <c r="J79" t="s">
        <v>275</v>
      </c>
      <c r="K79" t="s">
        <v>276</v>
      </c>
      <c r="M79" t="s">
        <v>87</v>
      </c>
    </row>
    <row r="81" spans="1:13">
      <c r="A81" t="s">
        <v>277</v>
      </c>
      <c r="B81" t="s">
        <v>278</v>
      </c>
      <c r="C81" t="s">
        <v>50</v>
      </c>
      <c r="D81" t="s">
        <v>279</v>
      </c>
      <c r="E81" t="s">
        <v>280</v>
      </c>
      <c r="F81" t="s">
        <v>179</v>
      </c>
      <c r="G81">
        <f>HYPERLINK("http://clipc-services.ceda.ac.uk/dreq/u/59147580-9e49-11e5-803c-0d0b866b59f3.html","web")</f>
        <v>0</v>
      </c>
      <c r="J81" t="s">
        <v>281</v>
      </c>
      <c r="K81" t="s">
        <v>76</v>
      </c>
      <c r="M81" t="s">
        <v>179</v>
      </c>
    </row>
    <row r="82" spans="1:13">
      <c r="A82" t="s">
        <v>277</v>
      </c>
      <c r="B82" t="s">
        <v>282</v>
      </c>
      <c r="C82" t="s">
        <v>16</v>
      </c>
      <c r="D82" t="s">
        <v>279</v>
      </c>
      <c r="E82" t="s">
        <v>283</v>
      </c>
      <c r="F82" t="s">
        <v>179</v>
      </c>
      <c r="G82">
        <f>HYPERLINK("http://clipc-services.ceda.ac.uk/dreq/u/590e1c1c-9e49-11e5-803c-0d0b866b59f3.html","web")</f>
        <v>0</v>
      </c>
      <c r="J82" t="s">
        <v>284</v>
      </c>
      <c r="K82" t="s">
        <v>76</v>
      </c>
      <c r="M82" t="s">
        <v>179</v>
      </c>
    </row>
    <row r="83" spans="1:13">
      <c r="A83" t="s">
        <v>277</v>
      </c>
      <c r="B83" t="s">
        <v>285</v>
      </c>
      <c r="C83" t="s">
        <v>50</v>
      </c>
      <c r="D83" t="s">
        <v>279</v>
      </c>
      <c r="E83" t="s">
        <v>286</v>
      </c>
      <c r="F83" t="s">
        <v>179</v>
      </c>
      <c r="G83">
        <f>HYPERLINK("http://clipc-services.ceda.ac.uk/dreq/u/41460524-4f40-11e6-a814-ac72891c3257.html","web")</f>
        <v>0</v>
      </c>
      <c r="J83" t="s">
        <v>287</v>
      </c>
      <c r="K83" t="s">
        <v>76</v>
      </c>
      <c r="M83" t="s">
        <v>179</v>
      </c>
    </row>
    <row r="84" spans="1:13">
      <c r="A84" t="s">
        <v>277</v>
      </c>
      <c r="B84" t="s">
        <v>288</v>
      </c>
      <c r="C84" t="s">
        <v>50</v>
      </c>
      <c r="D84" t="s">
        <v>279</v>
      </c>
      <c r="E84" t="s">
        <v>289</v>
      </c>
      <c r="F84" t="s">
        <v>179</v>
      </c>
      <c r="G84">
        <f>HYPERLINK("http://clipc-services.ceda.ac.uk/dreq/u/4145ad04-4f40-11e6-a814-ac72891c3257.html","web")</f>
        <v>0</v>
      </c>
      <c r="J84" t="s">
        <v>290</v>
      </c>
      <c r="K84" t="s">
        <v>76</v>
      </c>
      <c r="M84" t="s">
        <v>179</v>
      </c>
    </row>
    <row r="85" spans="1:13">
      <c r="A85" t="s">
        <v>277</v>
      </c>
      <c r="B85" t="s">
        <v>291</v>
      </c>
      <c r="C85" t="s">
        <v>16</v>
      </c>
      <c r="D85" t="s">
        <v>279</v>
      </c>
      <c r="E85" t="s">
        <v>292</v>
      </c>
      <c r="F85" t="s">
        <v>179</v>
      </c>
      <c r="G85">
        <f>HYPERLINK("http://clipc-services.ceda.ac.uk/dreq/u/590e4e58-9e49-11e5-803c-0d0b866b59f3.html","web")</f>
        <v>0</v>
      </c>
      <c r="J85" t="s">
        <v>293</v>
      </c>
      <c r="K85" t="s">
        <v>76</v>
      </c>
      <c r="M85" t="s">
        <v>179</v>
      </c>
    </row>
    <row r="86" spans="1:13">
      <c r="A86" t="s">
        <v>277</v>
      </c>
      <c r="B86" t="s">
        <v>294</v>
      </c>
      <c r="C86" t="s">
        <v>16</v>
      </c>
      <c r="D86" t="s">
        <v>279</v>
      </c>
      <c r="E86" t="s">
        <v>295</v>
      </c>
      <c r="F86" t="s">
        <v>179</v>
      </c>
      <c r="G86">
        <f>HYPERLINK("http://clipc-services.ceda.ac.uk/dreq/u/59130394-9e49-11e5-803c-0d0b866b59f3.html","web")</f>
        <v>0</v>
      </c>
      <c r="J86" t="s">
        <v>296</v>
      </c>
      <c r="K86" t="s">
        <v>76</v>
      </c>
      <c r="M86" t="s">
        <v>179</v>
      </c>
    </row>
    <row r="87" spans="1:13">
      <c r="A87" t="s">
        <v>277</v>
      </c>
      <c r="B87" t="s">
        <v>297</v>
      </c>
      <c r="C87" t="s">
        <v>50</v>
      </c>
      <c r="D87" t="s">
        <v>279</v>
      </c>
      <c r="E87" t="s">
        <v>298</v>
      </c>
      <c r="F87" t="s">
        <v>299</v>
      </c>
      <c r="G87">
        <f>HYPERLINK("http://clipc-services.ceda.ac.uk/dreq/u/4144f026-4f40-11e6-a814-ac72891c3257.html","web")</f>
        <v>0</v>
      </c>
      <c r="J87" t="s">
        <v>300</v>
      </c>
      <c r="K87" t="s">
        <v>76</v>
      </c>
      <c r="M87" t="s">
        <v>299</v>
      </c>
    </row>
    <row r="88" spans="1:13">
      <c r="A88" t="s">
        <v>277</v>
      </c>
      <c r="B88" t="s">
        <v>301</v>
      </c>
      <c r="C88" t="s">
        <v>50</v>
      </c>
      <c r="D88" t="s">
        <v>279</v>
      </c>
      <c r="E88" t="s">
        <v>302</v>
      </c>
      <c r="F88" t="s">
        <v>299</v>
      </c>
      <c r="G88">
        <f>HYPERLINK("http://clipc-services.ceda.ac.uk/dreq/u/4144a01c-4f40-11e6-a814-ac72891c3257.html","web")</f>
        <v>0</v>
      </c>
      <c r="J88" t="s">
        <v>303</v>
      </c>
      <c r="K88" t="s">
        <v>76</v>
      </c>
      <c r="M88" t="s">
        <v>299</v>
      </c>
    </row>
    <row r="89" spans="1:13">
      <c r="A89" t="s">
        <v>277</v>
      </c>
      <c r="B89" t="s">
        <v>304</v>
      </c>
      <c r="C89" t="s">
        <v>50</v>
      </c>
      <c r="D89" t="s">
        <v>279</v>
      </c>
      <c r="E89" t="s">
        <v>305</v>
      </c>
      <c r="F89" t="s">
        <v>299</v>
      </c>
      <c r="G89">
        <f>HYPERLINK("http://clipc-services.ceda.ac.uk/dreq/u/14277100-b574-11e6-9ed4-5404a60d96b5.html","web")</f>
        <v>0</v>
      </c>
      <c r="J89" t="s">
        <v>306</v>
      </c>
      <c r="K89" t="s">
        <v>76</v>
      </c>
      <c r="M89" t="s">
        <v>299</v>
      </c>
    </row>
    <row r="90" spans="1:13">
      <c r="A90" t="s">
        <v>277</v>
      </c>
      <c r="B90" t="s">
        <v>307</v>
      </c>
      <c r="C90" t="s">
        <v>35</v>
      </c>
      <c r="D90" t="s">
        <v>279</v>
      </c>
      <c r="E90" t="s">
        <v>308</v>
      </c>
      <c r="F90" t="s">
        <v>179</v>
      </c>
      <c r="G90">
        <f>HYPERLINK("http://clipc-services.ceda.ac.uk/dreq/u/41455e80-4f40-11e6-a814-ac72891c3257.html","web")</f>
        <v>0</v>
      </c>
      <c r="J90" t="s">
        <v>309</v>
      </c>
      <c r="K90" t="s">
        <v>76</v>
      </c>
      <c r="M90" t="s">
        <v>179</v>
      </c>
    </row>
    <row r="91" spans="1:13">
      <c r="A91" t="s">
        <v>277</v>
      </c>
      <c r="B91" t="s">
        <v>310</v>
      </c>
      <c r="C91" t="s">
        <v>50</v>
      </c>
      <c r="D91" t="s">
        <v>279</v>
      </c>
      <c r="E91" t="s">
        <v>311</v>
      </c>
      <c r="F91" t="s">
        <v>179</v>
      </c>
      <c r="G91">
        <f>HYPERLINK("http://clipc-services.ceda.ac.uk/dreq/u/59150216-9e49-11e5-803c-0d0b866b59f3.html","web")</f>
        <v>0</v>
      </c>
      <c r="J91" t="s">
        <v>312</v>
      </c>
      <c r="K91" t="s">
        <v>76</v>
      </c>
      <c r="M91" t="s">
        <v>179</v>
      </c>
    </row>
    <row r="92" spans="1:13">
      <c r="A92" t="s">
        <v>277</v>
      </c>
      <c r="B92" t="s">
        <v>313</v>
      </c>
      <c r="C92" t="s">
        <v>50</v>
      </c>
      <c r="D92" t="s">
        <v>279</v>
      </c>
      <c r="E92" t="s">
        <v>314</v>
      </c>
      <c r="F92" t="s">
        <v>179</v>
      </c>
      <c r="G92">
        <f>HYPERLINK("http://clipc-services.ceda.ac.uk/dreq/u/5912a516-9e49-11e5-803c-0d0b866b59f3.html","web")</f>
        <v>0</v>
      </c>
      <c r="J92" t="s">
        <v>315</v>
      </c>
      <c r="K92" t="s">
        <v>76</v>
      </c>
      <c r="M92" t="s">
        <v>179</v>
      </c>
    </row>
    <row r="94" spans="1:13">
      <c r="A94" t="s">
        <v>316</v>
      </c>
      <c r="B94" t="s">
        <v>317</v>
      </c>
      <c r="C94" t="s">
        <v>35</v>
      </c>
      <c r="D94" t="s">
        <v>152</v>
      </c>
      <c r="E94" t="s">
        <v>318</v>
      </c>
      <c r="F94" t="s">
        <v>319</v>
      </c>
      <c r="G94">
        <f>HYPERLINK("http://clipc-services.ceda.ac.uk/dreq/u/13484743dd3369c69df93379e6dafbb5.html","web")</f>
        <v>0</v>
      </c>
      <c r="J94" t="s">
        <v>320</v>
      </c>
      <c r="K94" t="s">
        <v>321</v>
      </c>
      <c r="M94" t="s">
        <v>319</v>
      </c>
    </row>
    <row r="95" spans="1:13">
      <c r="A95" t="s">
        <v>316</v>
      </c>
      <c r="B95" t="s">
        <v>322</v>
      </c>
      <c r="C95" t="s">
        <v>35</v>
      </c>
      <c r="D95" t="s">
        <v>152</v>
      </c>
      <c r="E95" t="s">
        <v>323</v>
      </c>
      <c r="F95" t="s">
        <v>319</v>
      </c>
      <c r="G95">
        <f>HYPERLINK("http://clipc-services.ceda.ac.uk/dreq/u/0062272a6a4176b8c32af87642b062c5.html","web")</f>
        <v>0</v>
      </c>
      <c r="J95" t="s">
        <v>324</v>
      </c>
      <c r="K95" t="s">
        <v>321</v>
      </c>
      <c r="M95" t="s">
        <v>319</v>
      </c>
    </row>
    <row r="96" spans="1:13">
      <c r="A96" t="s">
        <v>316</v>
      </c>
      <c r="B96" t="s">
        <v>325</v>
      </c>
      <c r="C96" t="s">
        <v>35</v>
      </c>
      <c r="D96" t="s">
        <v>326</v>
      </c>
      <c r="E96" t="s">
        <v>327</v>
      </c>
      <c r="F96" t="s">
        <v>38</v>
      </c>
      <c r="G96">
        <f>HYPERLINK("http://clipc-services.ceda.ac.uk/dreq/u/400e5707b65c01e31f2ec6a59dd3983b.html","web")</f>
        <v>0</v>
      </c>
      <c r="J96" t="s">
        <v>328</v>
      </c>
      <c r="K96" t="s">
        <v>321</v>
      </c>
      <c r="M96" t="s">
        <v>38</v>
      </c>
    </row>
    <row r="97" spans="1:13">
      <c r="A97" t="s">
        <v>316</v>
      </c>
      <c r="B97" t="s">
        <v>329</v>
      </c>
      <c r="C97" t="s">
        <v>35</v>
      </c>
      <c r="D97" t="s">
        <v>330</v>
      </c>
      <c r="E97" t="s">
        <v>331</v>
      </c>
      <c r="F97" t="s">
        <v>38</v>
      </c>
      <c r="G97">
        <f>HYPERLINK("http://clipc-services.ceda.ac.uk/dreq/u/fa7666d61b92de5bad1ad76561b8b850.html","web")</f>
        <v>0</v>
      </c>
      <c r="J97" t="s">
        <v>332</v>
      </c>
      <c r="K97" t="s">
        <v>321</v>
      </c>
      <c r="M97" t="s">
        <v>38</v>
      </c>
    </row>
    <row r="98" spans="1:13">
      <c r="A98" t="s">
        <v>316</v>
      </c>
      <c r="B98" t="s">
        <v>333</v>
      </c>
      <c r="C98" t="s">
        <v>35</v>
      </c>
      <c r="D98" t="s">
        <v>334</v>
      </c>
      <c r="E98" t="s">
        <v>335</v>
      </c>
      <c r="F98" t="s">
        <v>179</v>
      </c>
      <c r="G98">
        <f>HYPERLINK("http://clipc-services.ceda.ac.uk/dreq/u/6d790fe4caa7feff46a41ae7b3811e52.html","web")</f>
        <v>0</v>
      </c>
      <c r="J98" t="s">
        <v>336</v>
      </c>
      <c r="K98" t="s">
        <v>321</v>
      </c>
      <c r="M98" t="s">
        <v>179</v>
      </c>
    </row>
    <row r="100" spans="1:13">
      <c r="A100" t="s">
        <v>337</v>
      </c>
      <c r="B100" t="s">
        <v>338</v>
      </c>
      <c r="C100" t="s">
        <v>35</v>
      </c>
      <c r="D100" t="s">
        <v>85</v>
      </c>
      <c r="E100" t="s">
        <v>339</v>
      </c>
      <c r="F100" t="s">
        <v>57</v>
      </c>
      <c r="G100">
        <f>HYPERLINK("http://clipc-services.ceda.ac.uk/dreq/u/44471dd9799293cef70ac63fcdd2476e.html","web")</f>
        <v>0</v>
      </c>
      <c r="J100" t="s">
        <v>340</v>
      </c>
      <c r="K100" t="s">
        <v>341</v>
      </c>
      <c r="M100" t="s">
        <v>57</v>
      </c>
    </row>
    <row r="102" spans="1:13">
      <c r="A102" t="s">
        <v>342</v>
      </c>
      <c r="B102" t="s">
        <v>343</v>
      </c>
      <c r="C102" t="s">
        <v>35</v>
      </c>
      <c r="D102" t="s">
        <v>344</v>
      </c>
      <c r="E102" t="s">
        <v>345</v>
      </c>
      <c r="F102" t="s">
        <v>346</v>
      </c>
      <c r="G102">
        <f>HYPERLINK("http://clipc-services.ceda.ac.uk/dreq/u/9522ca96d0b066ebe8defd5541de0582.html","web")</f>
        <v>0</v>
      </c>
      <c r="J102" t="s">
        <v>347</v>
      </c>
      <c r="K102" t="s">
        <v>348</v>
      </c>
      <c r="M102" t="s">
        <v>346</v>
      </c>
    </row>
    <row r="103" spans="1:13">
      <c r="A103" t="s">
        <v>342</v>
      </c>
      <c r="B103" t="s">
        <v>349</v>
      </c>
      <c r="C103" t="s">
        <v>35</v>
      </c>
      <c r="D103" t="s">
        <v>344</v>
      </c>
      <c r="E103" t="s">
        <v>350</v>
      </c>
      <c r="F103" t="s">
        <v>346</v>
      </c>
      <c r="G103">
        <f>HYPERLINK("http://clipc-services.ceda.ac.uk/dreq/u/85631e0f7a8fdcb10737a525f4134181.html","web")</f>
        <v>0</v>
      </c>
      <c r="J103" t="s">
        <v>351</v>
      </c>
      <c r="K103" t="s">
        <v>348</v>
      </c>
      <c r="M103" t="s">
        <v>346</v>
      </c>
    </row>
    <row r="104" spans="1:13">
      <c r="A104" t="s">
        <v>342</v>
      </c>
      <c r="B104" t="s">
        <v>352</v>
      </c>
      <c r="C104" t="s">
        <v>35</v>
      </c>
      <c r="D104" t="s">
        <v>344</v>
      </c>
      <c r="E104" t="s">
        <v>353</v>
      </c>
      <c r="F104" t="s">
        <v>354</v>
      </c>
      <c r="G104">
        <f>HYPERLINK("http://clipc-services.ceda.ac.uk/dreq/u/59137716-9e49-11e5-803c-0d0b866b59f3.html","web")</f>
        <v>0</v>
      </c>
      <c r="J104" t="s">
        <v>355</v>
      </c>
      <c r="K104" t="s">
        <v>348</v>
      </c>
      <c r="M104" t="s">
        <v>354</v>
      </c>
    </row>
    <row r="105" spans="1:13">
      <c r="A105" t="s">
        <v>342</v>
      </c>
      <c r="B105" t="s">
        <v>356</v>
      </c>
      <c r="C105" t="s">
        <v>35</v>
      </c>
      <c r="D105" t="s">
        <v>344</v>
      </c>
      <c r="E105" t="s">
        <v>357</v>
      </c>
      <c r="F105" t="s">
        <v>24</v>
      </c>
      <c r="G105">
        <f>HYPERLINK("http://clipc-services.ceda.ac.uk/dreq/u/590fa2bc-9e49-11e5-803c-0d0b866b59f3.html","web")</f>
        <v>0</v>
      </c>
      <c r="J105" t="s">
        <v>358</v>
      </c>
      <c r="K105" t="s">
        <v>348</v>
      </c>
      <c r="M105" t="s">
        <v>24</v>
      </c>
    </row>
    <row r="106" spans="1:13">
      <c r="A106" t="s">
        <v>342</v>
      </c>
      <c r="B106" t="s">
        <v>359</v>
      </c>
      <c r="C106" t="s">
        <v>35</v>
      </c>
      <c r="D106" t="s">
        <v>344</v>
      </c>
      <c r="E106" t="s">
        <v>360</v>
      </c>
      <c r="F106" t="s">
        <v>361</v>
      </c>
      <c r="G106">
        <f>HYPERLINK("http://clipc-services.ceda.ac.uk/dreq/u/590e48f4-9e49-11e5-803c-0d0b866b59f3.html","web")</f>
        <v>0</v>
      </c>
      <c r="J106" t="s">
        <v>362</v>
      </c>
      <c r="K106" t="s">
        <v>348</v>
      </c>
      <c r="M106" t="s">
        <v>361</v>
      </c>
    </row>
    <row r="107" spans="1:13">
      <c r="A107" t="s">
        <v>342</v>
      </c>
      <c r="B107" t="s">
        <v>363</v>
      </c>
      <c r="C107" t="s">
        <v>35</v>
      </c>
      <c r="D107" t="s">
        <v>344</v>
      </c>
      <c r="E107" t="s">
        <v>364</v>
      </c>
      <c r="F107" t="s">
        <v>361</v>
      </c>
      <c r="G107">
        <f>HYPERLINK("http://clipc-services.ceda.ac.uk/dreq/u/590e883c-9e49-11e5-803c-0d0b866b59f3.html","web")</f>
        <v>0</v>
      </c>
      <c r="J107" t="s">
        <v>365</v>
      </c>
      <c r="K107" t="s">
        <v>348</v>
      </c>
      <c r="M107" t="s">
        <v>361</v>
      </c>
    </row>
    <row r="108" spans="1:13">
      <c r="A108" t="s">
        <v>342</v>
      </c>
      <c r="B108" t="s">
        <v>366</v>
      </c>
      <c r="C108" t="s">
        <v>35</v>
      </c>
      <c r="D108" t="s">
        <v>344</v>
      </c>
      <c r="E108" t="s">
        <v>367</v>
      </c>
      <c r="F108" t="s">
        <v>368</v>
      </c>
      <c r="G108">
        <f>HYPERLINK("http://clipc-services.ceda.ac.uk/dreq/u/ba7be4134a9cf4838434bf204d80b903.html","web")</f>
        <v>0</v>
      </c>
      <c r="J108" t="s">
        <v>369</v>
      </c>
      <c r="K108" t="s">
        <v>348</v>
      </c>
      <c r="M108" t="s">
        <v>368</v>
      </c>
    </row>
    <row r="109" spans="1:13">
      <c r="A109" t="s">
        <v>342</v>
      </c>
      <c r="B109" t="s">
        <v>370</v>
      </c>
      <c r="C109" t="s">
        <v>35</v>
      </c>
      <c r="D109" t="s">
        <v>344</v>
      </c>
      <c r="E109" t="s">
        <v>371</v>
      </c>
      <c r="F109" t="s">
        <v>368</v>
      </c>
      <c r="G109">
        <f>HYPERLINK("http://clipc-services.ceda.ac.uk/dreq/u/c64364df884a3cebaa7aebb664260776.html","web")</f>
        <v>0</v>
      </c>
      <c r="J109" t="s">
        <v>372</v>
      </c>
      <c r="K109" t="s">
        <v>348</v>
      </c>
      <c r="M109" t="s">
        <v>368</v>
      </c>
    </row>
    <row r="111" spans="1:13">
      <c r="A111" t="s">
        <v>373</v>
      </c>
      <c r="B111" t="s">
        <v>374</v>
      </c>
      <c r="C111" t="s">
        <v>50</v>
      </c>
      <c r="D111" t="s">
        <v>152</v>
      </c>
      <c r="E111" t="s">
        <v>375</v>
      </c>
      <c r="F111" t="s">
        <v>179</v>
      </c>
      <c r="G111">
        <f>HYPERLINK("http://clipc-services.ceda.ac.uk/dreq/u/53824c12-bf01-11e6-a554-ac72891c3257.html","web")</f>
        <v>0</v>
      </c>
      <c r="J111" t="s">
        <v>281</v>
      </c>
      <c r="K111" t="s">
        <v>76</v>
      </c>
      <c r="M111" t="s">
        <v>179</v>
      </c>
    </row>
    <row r="112" spans="1:13">
      <c r="A112" t="s">
        <v>373</v>
      </c>
      <c r="B112" t="s">
        <v>376</v>
      </c>
      <c r="C112" t="s">
        <v>35</v>
      </c>
      <c r="D112" t="s">
        <v>152</v>
      </c>
      <c r="E112" t="s">
        <v>377</v>
      </c>
      <c r="F112" t="s">
        <v>378</v>
      </c>
      <c r="G112">
        <f>HYPERLINK("http://clipc-services.ceda.ac.uk/dreq/u/51e0588121783d77407236e0d2eb5d14.html","web")</f>
        <v>0</v>
      </c>
      <c r="J112" t="s">
        <v>379</v>
      </c>
      <c r="K112" t="s">
        <v>380</v>
      </c>
      <c r="M112" t="s">
        <v>378</v>
      </c>
    </row>
    <row r="113" spans="1:13">
      <c r="A113" t="s">
        <v>373</v>
      </c>
      <c r="B113" t="s">
        <v>381</v>
      </c>
      <c r="C113" t="s">
        <v>16</v>
      </c>
      <c r="D113" t="s">
        <v>152</v>
      </c>
      <c r="E113" t="s">
        <v>382</v>
      </c>
      <c r="F113" t="s">
        <v>179</v>
      </c>
      <c r="G113">
        <f>HYPERLINK("http://clipc-services.ceda.ac.uk/dreq/u/53826102-bf01-11e6-a554-ac72891c3257.html","web")</f>
        <v>0</v>
      </c>
      <c r="J113" t="s">
        <v>284</v>
      </c>
      <c r="K113" t="s">
        <v>76</v>
      </c>
      <c r="M113" t="s">
        <v>179</v>
      </c>
    </row>
    <row r="114" spans="1:13">
      <c r="A114" t="s">
        <v>373</v>
      </c>
      <c r="B114" t="s">
        <v>383</v>
      </c>
      <c r="C114" t="s">
        <v>50</v>
      </c>
      <c r="D114" t="s">
        <v>152</v>
      </c>
      <c r="E114" t="s">
        <v>384</v>
      </c>
      <c r="F114" t="s">
        <v>299</v>
      </c>
      <c r="G114">
        <f>HYPERLINK("http://clipc-services.ceda.ac.uk/dreq/u/538248ca-bf01-11e6-a554-ac72891c3257.html","web")</f>
        <v>0</v>
      </c>
      <c r="J114" t="s">
        <v>306</v>
      </c>
      <c r="K114" t="s">
        <v>76</v>
      </c>
      <c r="M114" t="s">
        <v>299</v>
      </c>
    </row>
    <row r="115" spans="1:13">
      <c r="A115" t="s">
        <v>373</v>
      </c>
      <c r="B115" t="s">
        <v>385</v>
      </c>
      <c r="C115" t="s">
        <v>16</v>
      </c>
      <c r="D115" t="s">
        <v>152</v>
      </c>
      <c r="E115" t="s">
        <v>386</v>
      </c>
      <c r="F115" t="s">
        <v>47</v>
      </c>
      <c r="G115">
        <f>HYPERLINK("http://clipc-services.ceda.ac.uk/dreq/u/67adc30ae1278d2ef6d696ba0e2c92e8.html","web")</f>
        <v>0</v>
      </c>
      <c r="J115" t="s">
        <v>387</v>
      </c>
      <c r="K115" t="s">
        <v>388</v>
      </c>
      <c r="M115" t="s">
        <v>47</v>
      </c>
    </row>
    <row r="116" spans="1:13">
      <c r="A116" t="s">
        <v>373</v>
      </c>
      <c r="B116" t="s">
        <v>49</v>
      </c>
      <c r="C116" t="s">
        <v>50</v>
      </c>
      <c r="D116" t="s">
        <v>152</v>
      </c>
      <c r="E116" t="s">
        <v>52</v>
      </c>
      <c r="F116" t="s">
        <v>38</v>
      </c>
      <c r="G116">
        <f>HYPERLINK("http://clipc-services.ceda.ac.uk/dreq/u/590dbe0c-9e49-11e5-803c-0d0b866b59f3.html","web")</f>
        <v>0</v>
      </c>
      <c r="J116" t="s">
        <v>53</v>
      </c>
      <c r="K116" t="s">
        <v>54</v>
      </c>
      <c r="M116" t="s">
        <v>38</v>
      </c>
    </row>
    <row r="117" spans="1:13">
      <c r="A117" t="s">
        <v>373</v>
      </c>
      <c r="B117" t="s">
        <v>389</v>
      </c>
      <c r="C117" t="s">
        <v>50</v>
      </c>
      <c r="D117" t="s">
        <v>152</v>
      </c>
      <c r="E117" t="s">
        <v>390</v>
      </c>
      <c r="F117" t="s">
        <v>179</v>
      </c>
      <c r="G117">
        <f>HYPERLINK("http://clipc-services.ceda.ac.uk/dreq/u/53826404-bf01-11e6-a554-ac72891c3257.html","web")</f>
        <v>0</v>
      </c>
      <c r="J117" t="s">
        <v>312</v>
      </c>
      <c r="K117" t="s">
        <v>76</v>
      </c>
      <c r="M117" t="s">
        <v>179</v>
      </c>
    </row>
    <row r="118" spans="1:13">
      <c r="A118" t="s">
        <v>373</v>
      </c>
      <c r="B118" t="s">
        <v>391</v>
      </c>
      <c r="C118" t="s">
        <v>50</v>
      </c>
      <c r="D118" t="s">
        <v>152</v>
      </c>
      <c r="E118" t="s">
        <v>392</v>
      </c>
      <c r="F118" t="s">
        <v>179</v>
      </c>
      <c r="G118">
        <f>HYPERLINK("http://clipc-services.ceda.ac.uk/dreq/u/53825b08-bf01-11e6-a554-ac72891c3257.html","web")</f>
        <v>0</v>
      </c>
      <c r="J118" t="s">
        <v>315</v>
      </c>
      <c r="K118" t="s">
        <v>76</v>
      </c>
      <c r="M118" t="s">
        <v>179</v>
      </c>
    </row>
    <row r="119" spans="1:13">
      <c r="A119" t="s">
        <v>373</v>
      </c>
      <c r="B119" t="s">
        <v>393</v>
      </c>
      <c r="C119" t="s">
        <v>50</v>
      </c>
      <c r="D119" t="s">
        <v>152</v>
      </c>
      <c r="E119" t="s">
        <v>394</v>
      </c>
      <c r="F119" t="s">
        <v>47</v>
      </c>
      <c r="G119">
        <f>HYPERLINK("http://clipc-services.ceda.ac.uk/dreq/u/d421b6923b396998106a8c1c66ea07f1.html","web")</f>
        <v>0</v>
      </c>
      <c r="J119" t="s">
        <v>395</v>
      </c>
      <c r="K119" t="s">
        <v>388</v>
      </c>
      <c r="M119" t="s">
        <v>47</v>
      </c>
    </row>
    <row r="120" spans="1:13">
      <c r="A120" t="s">
        <v>373</v>
      </c>
      <c r="B120" t="s">
        <v>396</v>
      </c>
      <c r="C120" t="s">
        <v>16</v>
      </c>
      <c r="D120" t="s">
        <v>152</v>
      </c>
      <c r="E120" t="s">
        <v>397</v>
      </c>
      <c r="F120" t="s">
        <v>57</v>
      </c>
      <c r="G120">
        <f>HYPERLINK("http://clipc-services.ceda.ac.uk/dreq/u/3e437daab5bc69123a859ad361babc59.html","web")</f>
        <v>0</v>
      </c>
      <c r="J120" t="s">
        <v>398</v>
      </c>
      <c r="K120" t="s">
        <v>399</v>
      </c>
      <c r="M120" t="s">
        <v>57</v>
      </c>
    </row>
    <row r="122" spans="1:13">
      <c r="A122" t="s">
        <v>400</v>
      </c>
      <c r="B122" t="s">
        <v>317</v>
      </c>
      <c r="C122" t="s">
        <v>35</v>
      </c>
      <c r="D122" t="s">
        <v>401</v>
      </c>
      <c r="E122" t="s">
        <v>318</v>
      </c>
      <c r="F122" t="s">
        <v>319</v>
      </c>
      <c r="G122">
        <f>HYPERLINK("http://clipc-services.ceda.ac.uk/dreq/u/13484743dd3369c69df93379e6dafbb5.html","web")</f>
        <v>0</v>
      </c>
      <c r="J122" t="s">
        <v>320</v>
      </c>
      <c r="K122" t="s">
        <v>402</v>
      </c>
      <c r="M122" t="s">
        <v>319</v>
      </c>
    </row>
    <row r="123" spans="1:13">
      <c r="A123" t="s">
        <v>400</v>
      </c>
      <c r="B123" t="s">
        <v>322</v>
      </c>
      <c r="C123" t="s">
        <v>35</v>
      </c>
      <c r="D123" t="s">
        <v>401</v>
      </c>
      <c r="E123" t="s">
        <v>323</v>
      </c>
      <c r="F123" t="s">
        <v>319</v>
      </c>
      <c r="G123">
        <f>HYPERLINK("http://clipc-services.ceda.ac.uk/dreq/u/0062272a6a4176b8c32af87642b062c5.html","web")</f>
        <v>0</v>
      </c>
      <c r="J123" t="s">
        <v>324</v>
      </c>
      <c r="K123" t="s">
        <v>402</v>
      </c>
      <c r="M123" t="s">
        <v>319</v>
      </c>
    </row>
    <row r="124" spans="1:13">
      <c r="A124" t="s">
        <v>400</v>
      </c>
      <c r="B124" t="s">
        <v>403</v>
      </c>
      <c r="C124" t="s">
        <v>35</v>
      </c>
      <c r="D124" t="s">
        <v>401</v>
      </c>
      <c r="E124" t="s">
        <v>404</v>
      </c>
      <c r="F124" t="s">
        <v>35</v>
      </c>
      <c r="G124">
        <f>HYPERLINK("http://clipc-services.ceda.ac.uk/dreq/u/29fae9ea0f236a3eb144026e1bafde28.html","web")</f>
        <v>0</v>
      </c>
      <c r="J124" t="s">
        <v>405</v>
      </c>
      <c r="K124" t="s">
        <v>402</v>
      </c>
      <c r="M124" t="s">
        <v>35</v>
      </c>
    </row>
    <row r="125" spans="1:13">
      <c r="A125" t="s">
        <v>400</v>
      </c>
      <c r="B125" t="s">
        <v>406</v>
      </c>
      <c r="C125" t="s">
        <v>35</v>
      </c>
      <c r="D125" t="s">
        <v>407</v>
      </c>
      <c r="E125" t="s">
        <v>408</v>
      </c>
      <c r="F125" t="s">
        <v>143</v>
      </c>
      <c r="G125">
        <f>HYPERLINK("http://clipc-services.ceda.ac.uk/dreq/u/c373986159daf18eee63ca731d52b6f7.html","web")</f>
        <v>0</v>
      </c>
      <c r="J125" t="s">
        <v>409</v>
      </c>
      <c r="K125" t="s">
        <v>402</v>
      </c>
      <c r="M125" t="s">
        <v>143</v>
      </c>
    </row>
    <row r="126" spans="1:13">
      <c r="A126" t="s">
        <v>400</v>
      </c>
      <c r="B126" t="s">
        <v>410</v>
      </c>
      <c r="C126" t="s">
        <v>35</v>
      </c>
      <c r="D126" t="s">
        <v>407</v>
      </c>
      <c r="E126" t="s">
        <v>411</v>
      </c>
      <c r="F126" t="s">
        <v>143</v>
      </c>
      <c r="G126">
        <f>HYPERLINK("http://clipc-services.ceda.ac.uk/dreq/u/52c137a21845ae294b27ad40eaca096d.html","web")</f>
        <v>0</v>
      </c>
      <c r="J126" t="s">
        <v>412</v>
      </c>
      <c r="K126" t="s">
        <v>402</v>
      </c>
      <c r="M126" t="s">
        <v>143</v>
      </c>
    </row>
    <row r="127" spans="1:13">
      <c r="A127" t="s">
        <v>400</v>
      </c>
      <c r="B127" t="s">
        <v>413</v>
      </c>
      <c r="C127" t="s">
        <v>35</v>
      </c>
      <c r="D127" t="s">
        <v>401</v>
      </c>
      <c r="E127" t="s">
        <v>414</v>
      </c>
      <c r="F127" t="s">
        <v>179</v>
      </c>
      <c r="G127">
        <f>HYPERLINK("http://clipc-services.ceda.ac.uk/dreq/u/5e49c0b73ac161d5e5dd05173416c400.html","web")</f>
        <v>0</v>
      </c>
      <c r="J127" t="s">
        <v>415</v>
      </c>
      <c r="K127" t="s">
        <v>402</v>
      </c>
      <c r="M127" t="s">
        <v>179</v>
      </c>
    </row>
    <row r="128" spans="1:13">
      <c r="A128" t="s">
        <v>400</v>
      </c>
      <c r="B128" t="s">
        <v>416</v>
      </c>
      <c r="C128" t="s">
        <v>35</v>
      </c>
      <c r="D128" t="s">
        <v>417</v>
      </c>
      <c r="E128" t="s">
        <v>418</v>
      </c>
      <c r="F128" t="s">
        <v>419</v>
      </c>
      <c r="G128">
        <f>HYPERLINK("http://clipc-services.ceda.ac.uk/dreq/u/2260e24c-b894-11e6-a189-5404a60d96b5.html","web")</f>
        <v>0</v>
      </c>
      <c r="J128" t="s">
        <v>420</v>
      </c>
      <c r="K128" t="s">
        <v>402</v>
      </c>
      <c r="M128" t="s">
        <v>419</v>
      </c>
    </row>
    <row r="129" spans="1:13">
      <c r="A129" t="s">
        <v>400</v>
      </c>
      <c r="B129" t="s">
        <v>421</v>
      </c>
      <c r="C129" t="s">
        <v>35</v>
      </c>
      <c r="D129" t="s">
        <v>417</v>
      </c>
      <c r="E129" t="s">
        <v>422</v>
      </c>
      <c r="F129" t="s">
        <v>423</v>
      </c>
      <c r="G129">
        <f>HYPERLINK("http://clipc-services.ceda.ac.uk/dreq/u/21ef5e4c-b894-11e6-a189-5404a60d96b5.html","web")</f>
        <v>0</v>
      </c>
      <c r="J129" t="s">
        <v>424</v>
      </c>
      <c r="K129" t="s">
        <v>402</v>
      </c>
      <c r="M129" t="s">
        <v>423</v>
      </c>
    </row>
    <row r="130" spans="1:13">
      <c r="A130" t="s">
        <v>400</v>
      </c>
      <c r="B130" t="s">
        <v>333</v>
      </c>
      <c r="C130" t="s">
        <v>35</v>
      </c>
      <c r="D130" t="s">
        <v>425</v>
      </c>
      <c r="E130" t="s">
        <v>335</v>
      </c>
      <c r="F130" t="s">
        <v>179</v>
      </c>
      <c r="G130">
        <f>HYPERLINK("http://clipc-services.ceda.ac.uk/dreq/u/6d790fe4caa7feff46a41ae7b3811e52.html","web")</f>
        <v>0</v>
      </c>
      <c r="J130" t="s">
        <v>336</v>
      </c>
      <c r="K130" t="s">
        <v>402</v>
      </c>
      <c r="M130" t="s">
        <v>179</v>
      </c>
    </row>
    <row r="131" spans="1:13">
      <c r="A131" t="s">
        <v>400</v>
      </c>
      <c r="B131" t="s">
        <v>426</v>
      </c>
      <c r="C131" t="s">
        <v>35</v>
      </c>
      <c r="D131" t="s">
        <v>425</v>
      </c>
      <c r="E131" t="s">
        <v>427</v>
      </c>
      <c r="F131" t="s">
        <v>74</v>
      </c>
      <c r="G131">
        <f>HYPERLINK("http://clipc-services.ceda.ac.uk/dreq/u/c432bfbfc0e7f4403f91af39736ff61c.html","web")</f>
        <v>0</v>
      </c>
      <c r="J131" t="s">
        <v>428</v>
      </c>
      <c r="K131" t="s">
        <v>402</v>
      </c>
      <c r="M131" t="s">
        <v>74</v>
      </c>
    </row>
    <row r="132" spans="1:13">
      <c r="A132" t="s">
        <v>400</v>
      </c>
      <c r="B132" t="s">
        <v>429</v>
      </c>
      <c r="C132" t="s">
        <v>35</v>
      </c>
      <c r="D132" t="s">
        <v>425</v>
      </c>
      <c r="E132" t="s">
        <v>430</v>
      </c>
      <c r="F132" t="s">
        <v>74</v>
      </c>
      <c r="G132">
        <f>HYPERLINK("http://clipc-services.ceda.ac.uk/dreq/u/e79eb59d74038643b2201bb0556e720a.html","web")</f>
        <v>0</v>
      </c>
      <c r="J132" t="s">
        <v>431</v>
      </c>
      <c r="K132" t="s">
        <v>402</v>
      </c>
      <c r="M132" t="s">
        <v>74</v>
      </c>
    </row>
    <row r="133" spans="1:13">
      <c r="A133" t="s">
        <v>400</v>
      </c>
      <c r="B133" t="s">
        <v>432</v>
      </c>
      <c r="C133" t="s">
        <v>35</v>
      </c>
      <c r="D133" t="s">
        <v>425</v>
      </c>
      <c r="E133" t="s">
        <v>433</v>
      </c>
      <c r="F133" t="s">
        <v>74</v>
      </c>
      <c r="G133">
        <f>HYPERLINK("http://clipc-services.ceda.ac.uk/dreq/u/bcfeacf77d49ef51a6ee66a1ab0ebcb4.html","web")</f>
        <v>0</v>
      </c>
      <c r="J133" t="s">
        <v>434</v>
      </c>
      <c r="K133" t="s">
        <v>402</v>
      </c>
      <c r="M133" t="s">
        <v>74</v>
      </c>
    </row>
    <row r="134" spans="1:13">
      <c r="A134" t="s">
        <v>400</v>
      </c>
      <c r="B134" t="s">
        <v>435</v>
      </c>
      <c r="C134" t="s">
        <v>35</v>
      </c>
      <c r="D134" t="s">
        <v>425</v>
      </c>
      <c r="E134" t="s">
        <v>436</v>
      </c>
      <c r="F134" t="s">
        <v>74</v>
      </c>
      <c r="G134">
        <f>HYPERLINK("http://clipc-services.ceda.ac.uk/dreq/u/a8607fe15cb4f2997228523340233d91.html","web")</f>
        <v>0</v>
      </c>
      <c r="J134" t="s">
        <v>437</v>
      </c>
      <c r="K134" t="s">
        <v>402</v>
      </c>
      <c r="M134" t="s">
        <v>74</v>
      </c>
    </row>
    <row r="135" spans="1:13">
      <c r="A135" t="s">
        <v>400</v>
      </c>
      <c r="B135" t="s">
        <v>438</v>
      </c>
      <c r="C135" t="s">
        <v>35</v>
      </c>
      <c r="D135" t="s">
        <v>425</v>
      </c>
      <c r="E135" t="s">
        <v>439</v>
      </c>
      <c r="F135" t="s">
        <v>74</v>
      </c>
      <c r="G135">
        <f>HYPERLINK("http://clipc-services.ceda.ac.uk/dreq/u/eb9ac643cd9c73cae960d6d2db7b901d.html","web")</f>
        <v>0</v>
      </c>
      <c r="J135" t="s">
        <v>440</v>
      </c>
      <c r="K135" t="s">
        <v>402</v>
      </c>
      <c r="M135" t="s">
        <v>74</v>
      </c>
    </row>
    <row r="136" spans="1:13">
      <c r="A136" t="s">
        <v>400</v>
      </c>
      <c r="B136" t="s">
        <v>441</v>
      </c>
      <c r="C136" t="s">
        <v>35</v>
      </c>
      <c r="D136" t="s">
        <v>425</v>
      </c>
      <c r="E136" t="s">
        <v>442</v>
      </c>
      <c r="F136" t="s">
        <v>74</v>
      </c>
      <c r="G136">
        <f>HYPERLINK("http://clipc-services.ceda.ac.uk/dreq/u/38806cec3ba894d7745fada80c9f6fe6.html","web")</f>
        <v>0</v>
      </c>
      <c r="J136" t="s">
        <v>443</v>
      </c>
      <c r="K136" t="s">
        <v>402</v>
      </c>
      <c r="M136" t="s">
        <v>74</v>
      </c>
    </row>
    <row r="137" spans="1:13">
      <c r="A137" t="s">
        <v>400</v>
      </c>
      <c r="B137" t="s">
        <v>444</v>
      </c>
      <c r="C137" t="s">
        <v>35</v>
      </c>
      <c r="D137" t="s">
        <v>425</v>
      </c>
      <c r="E137" t="s">
        <v>445</v>
      </c>
      <c r="F137" t="s">
        <v>74</v>
      </c>
      <c r="G137">
        <f>HYPERLINK("http://clipc-services.ceda.ac.uk/dreq/u/c323f38340e4846931ad4891232d839d.html","web")</f>
        <v>0</v>
      </c>
      <c r="J137" t="s">
        <v>446</v>
      </c>
      <c r="K137" t="s">
        <v>402</v>
      </c>
      <c r="M137" t="s">
        <v>74</v>
      </c>
    </row>
    <row r="138" spans="1:13">
      <c r="A138" t="s">
        <v>400</v>
      </c>
      <c r="B138" t="s">
        <v>447</v>
      </c>
      <c r="C138" t="s">
        <v>35</v>
      </c>
      <c r="D138" t="s">
        <v>425</v>
      </c>
      <c r="E138" t="s">
        <v>448</v>
      </c>
      <c r="F138" t="s">
        <v>74</v>
      </c>
      <c r="G138">
        <f>HYPERLINK("http://clipc-services.ceda.ac.uk/dreq/u/eb72b66b6365daed79aefeda9d3d30b5.html","web")</f>
        <v>0</v>
      </c>
      <c r="J138" t="s">
        <v>449</v>
      </c>
      <c r="K138" t="s">
        <v>402</v>
      </c>
      <c r="M138" t="s">
        <v>74</v>
      </c>
    </row>
    <row r="139" spans="1:13">
      <c r="A139" t="s">
        <v>400</v>
      </c>
      <c r="B139" t="s">
        <v>450</v>
      </c>
      <c r="C139" t="s">
        <v>35</v>
      </c>
      <c r="D139" t="s">
        <v>401</v>
      </c>
      <c r="E139" t="s">
        <v>451</v>
      </c>
      <c r="F139" t="s">
        <v>35</v>
      </c>
      <c r="G139">
        <f>HYPERLINK("http://clipc-services.ceda.ac.uk/dreq/u/8de0f30b91b15720398fc10fd712a182.html","web")</f>
        <v>0</v>
      </c>
      <c r="J139" t="s">
        <v>452</v>
      </c>
      <c r="K139" t="s">
        <v>402</v>
      </c>
      <c r="M139" t="s">
        <v>35</v>
      </c>
    </row>
    <row r="140" spans="1:13">
      <c r="A140" t="s">
        <v>400</v>
      </c>
      <c r="B140" t="s">
        <v>453</v>
      </c>
      <c r="C140" t="s">
        <v>35</v>
      </c>
      <c r="D140" t="s">
        <v>407</v>
      </c>
      <c r="E140" t="s">
        <v>454</v>
      </c>
      <c r="F140" t="s">
        <v>455</v>
      </c>
      <c r="G140">
        <f>HYPERLINK("http://clipc-services.ceda.ac.uk/dreq/u/150d0829eec06aeaf75d22d08d328ffa.html","web")</f>
        <v>0</v>
      </c>
      <c r="J140" t="s">
        <v>456</v>
      </c>
      <c r="K140" t="s">
        <v>402</v>
      </c>
      <c r="M140" t="s">
        <v>455</v>
      </c>
    </row>
    <row r="141" spans="1:13">
      <c r="A141" t="s">
        <v>400</v>
      </c>
      <c r="B141" t="s">
        <v>457</v>
      </c>
      <c r="C141" t="s">
        <v>35</v>
      </c>
      <c r="D141" t="s">
        <v>407</v>
      </c>
      <c r="E141" t="s">
        <v>458</v>
      </c>
      <c r="F141" t="s">
        <v>455</v>
      </c>
      <c r="G141">
        <f>HYPERLINK("http://clipc-services.ceda.ac.uk/dreq/u/2c8cb564bae033f641135194947da163.html","web")</f>
        <v>0</v>
      </c>
      <c r="J141" t="s">
        <v>459</v>
      </c>
      <c r="K141" t="s">
        <v>402</v>
      </c>
      <c r="M141" t="s">
        <v>455</v>
      </c>
    </row>
    <row r="142" spans="1:13">
      <c r="A142" t="s">
        <v>400</v>
      </c>
      <c r="B142" t="s">
        <v>460</v>
      </c>
      <c r="C142" t="s">
        <v>35</v>
      </c>
      <c r="D142" t="s">
        <v>407</v>
      </c>
      <c r="E142" t="s">
        <v>461</v>
      </c>
      <c r="F142" t="s">
        <v>455</v>
      </c>
      <c r="G142">
        <f>HYPERLINK("http://clipc-services.ceda.ac.uk/dreq/u/9e9e7476986ece18ce380652eaabe342.html","web")</f>
        <v>0</v>
      </c>
      <c r="J142" t="s">
        <v>462</v>
      </c>
      <c r="K142" t="s">
        <v>402</v>
      </c>
      <c r="M142" t="s">
        <v>455</v>
      </c>
    </row>
    <row r="143" spans="1:13">
      <c r="A143" t="s">
        <v>400</v>
      </c>
      <c r="B143" t="s">
        <v>463</v>
      </c>
      <c r="C143" t="s">
        <v>35</v>
      </c>
      <c r="D143" t="s">
        <v>407</v>
      </c>
      <c r="E143" t="s">
        <v>464</v>
      </c>
      <c r="F143" t="s">
        <v>19</v>
      </c>
      <c r="G143">
        <f>HYPERLINK("http://clipc-services.ceda.ac.uk/dreq/u/c8b1814845661bcad37910e70a59b285.html","web")</f>
        <v>0</v>
      </c>
      <c r="J143" t="s">
        <v>464</v>
      </c>
      <c r="K143" t="s">
        <v>402</v>
      </c>
      <c r="M143" t="s">
        <v>19</v>
      </c>
    </row>
    <row r="144" spans="1:13">
      <c r="A144" t="s">
        <v>400</v>
      </c>
      <c r="B144" t="s">
        <v>465</v>
      </c>
      <c r="C144" t="s">
        <v>35</v>
      </c>
      <c r="D144" t="s">
        <v>407</v>
      </c>
      <c r="E144" t="s">
        <v>466</v>
      </c>
      <c r="F144" t="s">
        <v>19</v>
      </c>
      <c r="G144">
        <f>HYPERLINK("http://clipc-services.ceda.ac.uk/dreq/u/ea55d8afe6bacbfa1029c0048717eaaa.html","web")</f>
        <v>0</v>
      </c>
      <c r="J144" t="s">
        <v>467</v>
      </c>
      <c r="K144" t="s">
        <v>402</v>
      </c>
      <c r="M144" t="s">
        <v>19</v>
      </c>
    </row>
    <row r="145" spans="1:13">
      <c r="A145" t="s">
        <v>400</v>
      </c>
      <c r="B145" t="s">
        <v>468</v>
      </c>
      <c r="C145" t="s">
        <v>35</v>
      </c>
      <c r="D145" t="s">
        <v>407</v>
      </c>
      <c r="E145" t="s">
        <v>469</v>
      </c>
      <c r="F145" t="s">
        <v>19</v>
      </c>
      <c r="G145">
        <f>HYPERLINK("http://clipc-services.ceda.ac.uk/dreq/u/475dc209e9f9cd51eedee4d26caf9f67.html","web")</f>
        <v>0</v>
      </c>
      <c r="J145" t="s">
        <v>470</v>
      </c>
      <c r="K145" t="s">
        <v>402</v>
      </c>
      <c r="M145" t="s">
        <v>19</v>
      </c>
    </row>
    <row r="147" spans="1:13">
      <c r="A147" t="s">
        <v>471</v>
      </c>
      <c r="B147" t="s">
        <v>472</v>
      </c>
      <c r="C147" t="s">
        <v>35</v>
      </c>
      <c r="D147" t="s">
        <v>152</v>
      </c>
      <c r="E147" t="s">
        <v>473</v>
      </c>
      <c r="F147" t="s">
        <v>74</v>
      </c>
      <c r="G147">
        <f>HYPERLINK("http://clipc-services.ceda.ac.uk/dreq/u/f27656eeae247192e82aa1032c911399.html","web")</f>
        <v>0</v>
      </c>
      <c r="J147" t="s">
        <v>474</v>
      </c>
      <c r="K147" t="s">
        <v>475</v>
      </c>
      <c r="M147" t="s">
        <v>74</v>
      </c>
    </row>
    <row r="149" spans="1:13">
      <c r="A149" t="s">
        <v>476</v>
      </c>
      <c r="B149" t="s">
        <v>477</v>
      </c>
      <c r="C149" t="s">
        <v>50</v>
      </c>
      <c r="D149" t="s">
        <v>152</v>
      </c>
      <c r="E149" t="s">
        <v>478</v>
      </c>
      <c r="F149" t="s">
        <v>179</v>
      </c>
      <c r="G149">
        <f>HYPERLINK("http://clipc-services.ceda.ac.uk/dreq/u/590ea5c4-9e49-11e5-803c-0d0b866b59f3.html","web")</f>
        <v>0</v>
      </c>
      <c r="J149" t="s">
        <v>479</v>
      </c>
      <c r="K149" t="s">
        <v>480</v>
      </c>
      <c r="M149" t="s">
        <v>179</v>
      </c>
    </row>
    <row r="150" spans="1:13">
      <c r="A150" t="s">
        <v>476</v>
      </c>
      <c r="B150" t="s">
        <v>481</v>
      </c>
      <c r="C150" t="s">
        <v>16</v>
      </c>
      <c r="D150" t="s">
        <v>152</v>
      </c>
      <c r="E150" t="s">
        <v>482</v>
      </c>
      <c r="F150" t="s">
        <v>35</v>
      </c>
      <c r="G150">
        <f>HYPERLINK("http://clipc-services.ceda.ac.uk/dreq/u/590e9070-9e49-11e5-803c-0d0b866b59f3.html","web")</f>
        <v>0</v>
      </c>
      <c r="J150" t="s">
        <v>483</v>
      </c>
      <c r="K150" t="s">
        <v>480</v>
      </c>
      <c r="M150" t="s">
        <v>35</v>
      </c>
    </row>
    <row r="151" spans="1:13">
      <c r="A151" t="s">
        <v>476</v>
      </c>
      <c r="B151" t="s">
        <v>484</v>
      </c>
      <c r="C151" t="s">
        <v>16</v>
      </c>
      <c r="D151" t="s">
        <v>152</v>
      </c>
      <c r="E151" t="s">
        <v>485</v>
      </c>
      <c r="F151" t="s">
        <v>35</v>
      </c>
      <c r="G151">
        <f>HYPERLINK("http://clipc-services.ceda.ac.uk/dreq/u/5914e0ba-9e49-11e5-803c-0d0b866b59f3.html","web")</f>
        <v>0</v>
      </c>
      <c r="J151" t="s">
        <v>486</v>
      </c>
      <c r="K151" t="s">
        <v>480</v>
      </c>
      <c r="M151" t="s">
        <v>35</v>
      </c>
    </row>
    <row r="152" spans="1:13">
      <c r="A152" t="s">
        <v>476</v>
      </c>
      <c r="B152" t="s">
        <v>487</v>
      </c>
      <c r="C152" t="s">
        <v>50</v>
      </c>
      <c r="D152" t="s">
        <v>152</v>
      </c>
      <c r="E152" t="s">
        <v>488</v>
      </c>
      <c r="F152" t="s">
        <v>74</v>
      </c>
      <c r="G152">
        <f>HYPERLINK("http://clipc-services.ceda.ac.uk/dreq/u/59131140-9e49-11e5-803c-0d0b866b59f3.html","web")</f>
        <v>0</v>
      </c>
      <c r="J152" t="s">
        <v>489</v>
      </c>
      <c r="K152" t="s">
        <v>490</v>
      </c>
      <c r="M152" t="s">
        <v>74</v>
      </c>
    </row>
    <row r="153" spans="1:13">
      <c r="A153" t="s">
        <v>476</v>
      </c>
      <c r="B153" t="s">
        <v>491</v>
      </c>
      <c r="C153" t="s">
        <v>50</v>
      </c>
      <c r="D153" t="s">
        <v>152</v>
      </c>
      <c r="E153" t="s">
        <v>492</v>
      </c>
      <c r="F153" t="s">
        <v>74</v>
      </c>
      <c r="G153">
        <f>HYPERLINK("http://clipc-services.ceda.ac.uk/dreq/u/590e9656-9e49-11e5-803c-0d0b866b59f3.html","web")</f>
        <v>0</v>
      </c>
      <c r="J153" t="s">
        <v>493</v>
      </c>
      <c r="K153" t="s">
        <v>494</v>
      </c>
      <c r="M153" t="s">
        <v>74</v>
      </c>
    </row>
    <row r="154" spans="1:13">
      <c r="A154" t="s">
        <v>476</v>
      </c>
      <c r="B154" t="s">
        <v>495</v>
      </c>
      <c r="C154" t="s">
        <v>50</v>
      </c>
      <c r="D154" t="s">
        <v>152</v>
      </c>
      <c r="E154" t="s">
        <v>496</v>
      </c>
      <c r="F154" t="s">
        <v>74</v>
      </c>
      <c r="G154">
        <f>HYPERLINK("http://clipc-services.ceda.ac.uk/dreq/u/591733d8-9e49-11e5-803c-0d0b866b59f3.html","web")</f>
        <v>0</v>
      </c>
      <c r="J154" t="s">
        <v>497</v>
      </c>
      <c r="K154" t="s">
        <v>494</v>
      </c>
      <c r="M154" t="s">
        <v>74</v>
      </c>
    </row>
    <row r="155" spans="1:13">
      <c r="A155" t="s">
        <v>476</v>
      </c>
      <c r="B155" t="s">
        <v>498</v>
      </c>
      <c r="C155" t="s">
        <v>50</v>
      </c>
      <c r="D155" t="s">
        <v>152</v>
      </c>
      <c r="E155" t="s">
        <v>499</v>
      </c>
      <c r="F155" t="s">
        <v>74</v>
      </c>
      <c r="G155">
        <f>HYPERLINK("http://clipc-services.ceda.ac.uk/dreq/u/590dbb78-9e49-11e5-803c-0d0b866b59f3.html","web")</f>
        <v>0</v>
      </c>
      <c r="J155" t="s">
        <v>500</v>
      </c>
      <c r="K155" t="s">
        <v>490</v>
      </c>
      <c r="M155" t="s">
        <v>74</v>
      </c>
    </row>
    <row r="156" spans="1:13">
      <c r="A156" t="s">
        <v>476</v>
      </c>
      <c r="B156" t="s">
        <v>501</v>
      </c>
      <c r="C156" t="s">
        <v>50</v>
      </c>
      <c r="D156" t="s">
        <v>152</v>
      </c>
      <c r="E156" t="s">
        <v>502</v>
      </c>
      <c r="F156" t="s">
        <v>74</v>
      </c>
      <c r="G156">
        <f>HYPERLINK("http://clipc-services.ceda.ac.uk/dreq/u/590f5672-9e49-11e5-803c-0d0b866b59f3.html","web")</f>
        <v>0</v>
      </c>
      <c r="J156" t="s">
        <v>503</v>
      </c>
      <c r="K156" t="s">
        <v>480</v>
      </c>
      <c r="M156" t="s">
        <v>74</v>
      </c>
    </row>
    <row r="157" spans="1:13">
      <c r="A157" t="s">
        <v>476</v>
      </c>
      <c r="B157" t="s">
        <v>504</v>
      </c>
      <c r="C157" t="s">
        <v>50</v>
      </c>
      <c r="D157" t="s">
        <v>152</v>
      </c>
      <c r="E157" t="s">
        <v>505</v>
      </c>
      <c r="F157" t="s">
        <v>74</v>
      </c>
      <c r="G157">
        <f>HYPERLINK("http://clipc-services.ceda.ac.uk/dreq/u/5917e51c-9e49-11e5-803c-0d0b866b59f3.html","web")</f>
        <v>0</v>
      </c>
      <c r="J157" t="s">
        <v>506</v>
      </c>
      <c r="K157" t="s">
        <v>494</v>
      </c>
      <c r="M157" t="s">
        <v>74</v>
      </c>
    </row>
    <row r="158" spans="1:13">
      <c r="A158" t="s">
        <v>476</v>
      </c>
      <c r="B158" t="s">
        <v>507</v>
      </c>
      <c r="C158" t="s">
        <v>16</v>
      </c>
      <c r="D158" t="s">
        <v>508</v>
      </c>
      <c r="E158" t="s">
        <v>509</v>
      </c>
      <c r="F158" t="s">
        <v>38</v>
      </c>
      <c r="G158">
        <f>HYPERLINK("http://clipc-services.ceda.ac.uk/dreq/u/590f0442-9e49-11e5-803c-0d0b866b59f3.html","web")</f>
        <v>0</v>
      </c>
      <c r="J158" t="s">
        <v>510</v>
      </c>
      <c r="K158" t="s">
        <v>480</v>
      </c>
      <c r="M158" t="s">
        <v>38</v>
      </c>
    </row>
    <row r="159" spans="1:13">
      <c r="A159" t="s">
        <v>476</v>
      </c>
      <c r="B159" t="s">
        <v>511</v>
      </c>
      <c r="C159" t="s">
        <v>16</v>
      </c>
      <c r="D159" t="s">
        <v>512</v>
      </c>
      <c r="E159" t="s">
        <v>513</v>
      </c>
      <c r="F159" t="s">
        <v>38</v>
      </c>
      <c r="G159">
        <f>HYPERLINK("http://clipc-services.ceda.ac.uk/dreq/u/590eb1ea-9e49-11e5-803c-0d0b866b59f3.html","web")</f>
        <v>0</v>
      </c>
      <c r="J159" t="s">
        <v>514</v>
      </c>
      <c r="K159" t="s">
        <v>480</v>
      </c>
      <c r="M159" t="s">
        <v>38</v>
      </c>
    </row>
    <row r="160" spans="1:13">
      <c r="A160" t="s">
        <v>476</v>
      </c>
      <c r="B160" t="s">
        <v>515</v>
      </c>
      <c r="C160" t="s">
        <v>16</v>
      </c>
      <c r="D160" t="s">
        <v>152</v>
      </c>
      <c r="E160" t="s">
        <v>516</v>
      </c>
      <c r="F160" t="s">
        <v>57</v>
      </c>
      <c r="G160">
        <f>HYPERLINK("http://clipc-services.ceda.ac.uk/dreq/u/aa9073c2-1b36-11e6-a696-35cd2d8034df.html","web")</f>
        <v>0</v>
      </c>
      <c r="J160" t="s">
        <v>517</v>
      </c>
      <c r="K160" t="s">
        <v>480</v>
      </c>
      <c r="M160" t="s">
        <v>57</v>
      </c>
    </row>
    <row r="161" spans="1:13">
      <c r="A161" t="s">
        <v>476</v>
      </c>
      <c r="B161" t="s">
        <v>518</v>
      </c>
      <c r="C161" t="s">
        <v>16</v>
      </c>
      <c r="D161" t="s">
        <v>152</v>
      </c>
      <c r="E161" t="s">
        <v>519</v>
      </c>
      <c r="F161" t="s">
        <v>57</v>
      </c>
      <c r="G161">
        <f>HYPERLINK("http://clipc-services.ceda.ac.uk/dreq/u/591523cc-9e49-11e5-803c-0d0b866b59f3.html","web")</f>
        <v>0</v>
      </c>
      <c r="J161" t="s">
        <v>520</v>
      </c>
      <c r="K161" t="s">
        <v>480</v>
      </c>
      <c r="M161" t="s">
        <v>57</v>
      </c>
    </row>
    <row r="162" spans="1:13">
      <c r="A162" t="s">
        <v>476</v>
      </c>
      <c r="B162" t="s">
        <v>521</v>
      </c>
      <c r="C162" t="s">
        <v>50</v>
      </c>
      <c r="D162" t="s">
        <v>152</v>
      </c>
      <c r="E162" t="s">
        <v>522</v>
      </c>
      <c r="F162" t="s">
        <v>179</v>
      </c>
      <c r="G162">
        <f>HYPERLINK("http://clipc-services.ceda.ac.uk/dreq/u/59138238-9e49-11e5-803c-0d0b866b59f3.html","web")</f>
        <v>0</v>
      </c>
      <c r="J162" t="s">
        <v>523</v>
      </c>
      <c r="K162" t="s">
        <v>524</v>
      </c>
      <c r="M162" t="s">
        <v>179</v>
      </c>
    </row>
    <row r="163" spans="1:13">
      <c r="A163" t="s">
        <v>476</v>
      </c>
      <c r="B163" t="s">
        <v>525</v>
      </c>
      <c r="C163" t="s">
        <v>16</v>
      </c>
      <c r="D163" t="s">
        <v>526</v>
      </c>
      <c r="E163" t="s">
        <v>527</v>
      </c>
      <c r="F163" t="s">
        <v>35</v>
      </c>
      <c r="G163">
        <f>HYPERLINK("http://clipc-services.ceda.ac.uk/dreq/u/590dfb2e-9e49-11e5-803c-0d0b866b59f3.html","web")</f>
        <v>0</v>
      </c>
      <c r="J163" t="s">
        <v>528</v>
      </c>
      <c r="K163" t="s">
        <v>480</v>
      </c>
      <c r="M163" t="s">
        <v>35</v>
      </c>
    </row>
    <row r="164" spans="1:13">
      <c r="A164" t="s">
        <v>476</v>
      </c>
      <c r="B164" t="s">
        <v>529</v>
      </c>
      <c r="C164" t="s">
        <v>16</v>
      </c>
      <c r="D164" t="s">
        <v>152</v>
      </c>
      <c r="E164" t="s">
        <v>530</v>
      </c>
      <c r="F164" t="s">
        <v>57</v>
      </c>
      <c r="G164">
        <f>HYPERLINK("http://clipc-services.ceda.ac.uk/dreq/u/5914eb78-9e49-11e5-803c-0d0b866b59f3.html","web")</f>
        <v>0</v>
      </c>
      <c r="J164" t="s">
        <v>531</v>
      </c>
      <c r="K164" t="s">
        <v>480</v>
      </c>
      <c r="M164" t="s">
        <v>57</v>
      </c>
    </row>
    <row r="165" spans="1:13">
      <c r="A165" t="s">
        <v>476</v>
      </c>
      <c r="B165" t="s">
        <v>532</v>
      </c>
      <c r="C165" t="s">
        <v>35</v>
      </c>
      <c r="D165" t="s">
        <v>152</v>
      </c>
      <c r="E165" t="s">
        <v>533</v>
      </c>
      <c r="F165" t="s">
        <v>38</v>
      </c>
      <c r="G165">
        <f>HYPERLINK("http://clipc-services.ceda.ac.uk/dreq/u/590d38b0-9e49-11e5-803c-0d0b866b59f3.html","web")</f>
        <v>0</v>
      </c>
      <c r="J165" t="s">
        <v>534</v>
      </c>
      <c r="K165" t="s">
        <v>535</v>
      </c>
      <c r="M165" t="s">
        <v>38</v>
      </c>
    </row>
    <row r="166" spans="1:13">
      <c r="A166" t="s">
        <v>476</v>
      </c>
      <c r="B166" t="s">
        <v>536</v>
      </c>
      <c r="C166" t="s">
        <v>50</v>
      </c>
      <c r="D166" t="s">
        <v>152</v>
      </c>
      <c r="E166" t="s">
        <v>537</v>
      </c>
      <c r="F166" t="s">
        <v>179</v>
      </c>
      <c r="G166">
        <f>HYPERLINK("http://clipc-services.ceda.ac.uk/dreq/u/590d7370-9e49-11e5-803c-0d0b866b59f3.html","web")</f>
        <v>0</v>
      </c>
      <c r="J166" t="s">
        <v>538</v>
      </c>
      <c r="K166" t="s">
        <v>480</v>
      </c>
      <c r="M166" t="s">
        <v>179</v>
      </c>
    </row>
    <row r="168" spans="1:13">
      <c r="A168" t="s">
        <v>539</v>
      </c>
      <c r="B168" t="s">
        <v>540</v>
      </c>
      <c r="C168" t="s">
        <v>50</v>
      </c>
      <c r="D168" t="s">
        <v>541</v>
      </c>
      <c r="E168" t="s">
        <v>542</v>
      </c>
      <c r="F168" t="s">
        <v>38</v>
      </c>
      <c r="G168">
        <f>HYPERLINK("http://clipc-services.ceda.ac.uk/dreq/u/1aefc13bd27020244fe1cfd706ce1041.html","web")</f>
        <v>0</v>
      </c>
      <c r="J168" t="s">
        <v>543</v>
      </c>
      <c r="K168" t="s">
        <v>544</v>
      </c>
      <c r="M168" t="s">
        <v>38</v>
      </c>
    </row>
    <row r="169" spans="1:13">
      <c r="A169" t="s">
        <v>539</v>
      </c>
      <c r="B169" t="s">
        <v>325</v>
      </c>
      <c r="C169" t="s">
        <v>35</v>
      </c>
      <c r="D169" t="s">
        <v>326</v>
      </c>
      <c r="E169" t="s">
        <v>327</v>
      </c>
      <c r="F169" t="s">
        <v>38</v>
      </c>
      <c r="G169">
        <f>HYPERLINK("http://clipc-services.ceda.ac.uk/dreq/u/400e5707b65c01e31f2ec6a59dd3983b.html","web")</f>
        <v>0</v>
      </c>
      <c r="J169" t="s">
        <v>328</v>
      </c>
      <c r="K169" t="s">
        <v>545</v>
      </c>
      <c r="M169" t="s">
        <v>38</v>
      </c>
    </row>
    <row r="170" spans="1:13">
      <c r="A170" t="s">
        <v>539</v>
      </c>
      <c r="B170" t="s">
        <v>546</v>
      </c>
      <c r="C170" t="s">
        <v>50</v>
      </c>
      <c r="D170" t="s">
        <v>541</v>
      </c>
      <c r="E170" t="s">
        <v>547</v>
      </c>
      <c r="F170" t="s">
        <v>35</v>
      </c>
      <c r="G170">
        <f>HYPERLINK("http://clipc-services.ceda.ac.uk/dreq/u/76f247229d5b524d94dfaedd577eeb84.html","web")</f>
        <v>0</v>
      </c>
      <c r="J170" t="s">
        <v>548</v>
      </c>
      <c r="K170" t="s">
        <v>549</v>
      </c>
      <c r="M170" t="s">
        <v>35</v>
      </c>
    </row>
    <row r="171" spans="1:13">
      <c r="A171" t="s">
        <v>539</v>
      </c>
      <c r="B171" t="s">
        <v>550</v>
      </c>
      <c r="C171" t="s">
        <v>50</v>
      </c>
      <c r="D171" t="s">
        <v>541</v>
      </c>
      <c r="E171" t="s">
        <v>551</v>
      </c>
      <c r="F171" t="s">
        <v>35</v>
      </c>
      <c r="G171">
        <f>HYPERLINK("http://clipc-services.ceda.ac.uk/dreq/u/4dbe7bd9b38439125b341edba15aa66a.html","web")</f>
        <v>0</v>
      </c>
      <c r="J171" t="s">
        <v>552</v>
      </c>
      <c r="K171" t="s">
        <v>549</v>
      </c>
      <c r="M171" t="s">
        <v>35</v>
      </c>
    </row>
    <row r="172" spans="1:13">
      <c r="A172" t="s">
        <v>539</v>
      </c>
      <c r="B172" t="s">
        <v>329</v>
      </c>
      <c r="C172" t="s">
        <v>35</v>
      </c>
      <c r="D172" t="s">
        <v>330</v>
      </c>
      <c r="E172" t="s">
        <v>331</v>
      </c>
      <c r="F172" t="s">
        <v>38</v>
      </c>
      <c r="G172">
        <f>HYPERLINK("http://clipc-services.ceda.ac.uk/dreq/u/fa7666d61b92de5bad1ad76561b8b850.html","web")</f>
        <v>0</v>
      </c>
      <c r="J172" t="s">
        <v>332</v>
      </c>
      <c r="K172" t="s">
        <v>553</v>
      </c>
      <c r="M172" t="s">
        <v>38</v>
      </c>
    </row>
    <row r="173" spans="1:13">
      <c r="A173" t="s">
        <v>539</v>
      </c>
      <c r="B173" t="s">
        <v>554</v>
      </c>
      <c r="C173" t="s">
        <v>50</v>
      </c>
      <c r="D173" t="s">
        <v>541</v>
      </c>
      <c r="E173" t="s">
        <v>555</v>
      </c>
      <c r="F173" t="s">
        <v>38</v>
      </c>
      <c r="G173">
        <f>HYPERLINK("http://clipc-services.ceda.ac.uk/dreq/u/2cd1940e7201d5adb02ba157a74fc33e.html","web")</f>
        <v>0</v>
      </c>
      <c r="J173" t="s">
        <v>556</v>
      </c>
      <c r="K173" t="s">
        <v>557</v>
      </c>
      <c r="M173" t="s">
        <v>38</v>
      </c>
    </row>
    <row r="174" spans="1:13">
      <c r="A174" t="s">
        <v>539</v>
      </c>
      <c r="B174" t="s">
        <v>558</v>
      </c>
      <c r="C174" t="s">
        <v>50</v>
      </c>
      <c r="D174" t="s">
        <v>541</v>
      </c>
      <c r="E174" t="s">
        <v>559</v>
      </c>
      <c r="F174" t="s">
        <v>35</v>
      </c>
      <c r="G174">
        <f>HYPERLINK("http://clipc-services.ceda.ac.uk/dreq/u/9b75db3b829a01b02dfe952824150a33.html","web")</f>
        <v>0</v>
      </c>
      <c r="J174" t="s">
        <v>560</v>
      </c>
      <c r="K174" t="s">
        <v>549</v>
      </c>
      <c r="M174" t="s">
        <v>35</v>
      </c>
    </row>
    <row r="175" spans="1:13">
      <c r="A175" t="s">
        <v>539</v>
      </c>
      <c r="B175" t="s">
        <v>561</v>
      </c>
      <c r="C175" t="s">
        <v>50</v>
      </c>
      <c r="D175" t="s">
        <v>541</v>
      </c>
      <c r="E175" t="s">
        <v>562</v>
      </c>
      <c r="F175" t="s">
        <v>35</v>
      </c>
      <c r="G175">
        <f>HYPERLINK("http://clipc-services.ceda.ac.uk/dreq/u/e4dc8fb121d8dc2cbc44f1f28eea183b.html","web")</f>
        <v>0</v>
      </c>
      <c r="J175" t="s">
        <v>563</v>
      </c>
      <c r="K175" t="s">
        <v>549</v>
      </c>
      <c r="M175" t="s">
        <v>35</v>
      </c>
    </row>
    <row r="176" spans="1:13">
      <c r="A176" t="s">
        <v>539</v>
      </c>
      <c r="B176" t="s">
        <v>564</v>
      </c>
      <c r="C176" t="s">
        <v>50</v>
      </c>
      <c r="D176" t="s">
        <v>334</v>
      </c>
      <c r="E176" t="s">
        <v>565</v>
      </c>
      <c r="F176" t="s">
        <v>179</v>
      </c>
      <c r="G176">
        <f>HYPERLINK("http://clipc-services.ceda.ac.uk/dreq/u/517f72b8577df7e97ce2dea8f1143e94.html","web")</f>
        <v>0</v>
      </c>
      <c r="J176" t="s">
        <v>566</v>
      </c>
      <c r="K176" t="s">
        <v>549</v>
      </c>
      <c r="M176" t="s">
        <v>179</v>
      </c>
    </row>
    <row r="177" spans="1:13">
      <c r="A177" t="s">
        <v>539</v>
      </c>
      <c r="B177" t="s">
        <v>406</v>
      </c>
      <c r="C177" t="s">
        <v>35</v>
      </c>
      <c r="D177" t="s">
        <v>541</v>
      </c>
      <c r="E177" t="s">
        <v>408</v>
      </c>
      <c r="F177" t="s">
        <v>143</v>
      </c>
      <c r="G177">
        <f>HYPERLINK("http://clipc-services.ceda.ac.uk/dreq/u/c373986159daf18eee63ca731d52b6f7.html","web")</f>
        <v>0</v>
      </c>
      <c r="J177" t="s">
        <v>409</v>
      </c>
      <c r="K177" t="s">
        <v>567</v>
      </c>
      <c r="M177" t="s">
        <v>143</v>
      </c>
    </row>
    <row r="178" spans="1:13">
      <c r="A178" t="s">
        <v>539</v>
      </c>
      <c r="B178" t="s">
        <v>410</v>
      </c>
      <c r="C178" t="s">
        <v>35</v>
      </c>
      <c r="D178" t="s">
        <v>541</v>
      </c>
      <c r="E178" t="s">
        <v>411</v>
      </c>
      <c r="F178" t="s">
        <v>143</v>
      </c>
      <c r="G178">
        <f>HYPERLINK("http://clipc-services.ceda.ac.uk/dreq/u/52c137a21845ae294b27ad40eaca096d.html","web")</f>
        <v>0</v>
      </c>
      <c r="J178" t="s">
        <v>412</v>
      </c>
      <c r="K178" t="s">
        <v>567</v>
      </c>
      <c r="M178" t="s">
        <v>143</v>
      </c>
    </row>
    <row r="179" spans="1:13">
      <c r="A179" t="s">
        <v>539</v>
      </c>
      <c r="B179" t="s">
        <v>568</v>
      </c>
      <c r="C179" t="s">
        <v>50</v>
      </c>
      <c r="D179" t="s">
        <v>334</v>
      </c>
      <c r="E179" t="s">
        <v>569</v>
      </c>
      <c r="F179" t="s">
        <v>179</v>
      </c>
      <c r="G179">
        <f>HYPERLINK("http://clipc-services.ceda.ac.uk/dreq/u/e889a99259ce24104c8b21894ace22da.html","web")</f>
        <v>0</v>
      </c>
      <c r="J179" t="s">
        <v>570</v>
      </c>
      <c r="K179" t="s">
        <v>549</v>
      </c>
      <c r="M179" t="s">
        <v>179</v>
      </c>
    </row>
    <row r="180" spans="1:13">
      <c r="A180" t="s">
        <v>539</v>
      </c>
      <c r="B180" t="s">
        <v>571</v>
      </c>
      <c r="C180" t="s">
        <v>50</v>
      </c>
      <c r="D180" t="s">
        <v>334</v>
      </c>
      <c r="E180" t="s">
        <v>572</v>
      </c>
      <c r="F180" t="s">
        <v>179</v>
      </c>
      <c r="G180">
        <f>HYPERLINK("http://clipc-services.ceda.ac.uk/dreq/u/62aa098b13f86fa22de1a874536a64ae.html","web")</f>
        <v>0</v>
      </c>
      <c r="J180" t="s">
        <v>573</v>
      </c>
      <c r="K180" t="s">
        <v>567</v>
      </c>
      <c r="M180" t="s">
        <v>179</v>
      </c>
    </row>
    <row r="181" spans="1:13">
      <c r="A181" t="s">
        <v>539</v>
      </c>
      <c r="B181" t="s">
        <v>426</v>
      </c>
      <c r="C181" t="s">
        <v>35</v>
      </c>
      <c r="D181" t="s">
        <v>334</v>
      </c>
      <c r="E181" t="s">
        <v>427</v>
      </c>
      <c r="F181" t="s">
        <v>74</v>
      </c>
      <c r="G181">
        <f>HYPERLINK("http://clipc-services.ceda.ac.uk/dreq/u/c432bfbfc0e7f4403f91af39736ff61c.html","web")</f>
        <v>0</v>
      </c>
      <c r="J181" t="s">
        <v>428</v>
      </c>
      <c r="K181" t="s">
        <v>574</v>
      </c>
      <c r="M181" t="s">
        <v>74</v>
      </c>
    </row>
    <row r="182" spans="1:13">
      <c r="A182" t="s">
        <v>539</v>
      </c>
      <c r="B182" t="s">
        <v>575</v>
      </c>
      <c r="C182" t="s">
        <v>35</v>
      </c>
      <c r="D182" t="s">
        <v>334</v>
      </c>
      <c r="E182" t="s">
        <v>576</v>
      </c>
      <c r="F182" t="s">
        <v>74</v>
      </c>
      <c r="G182">
        <f>HYPERLINK("http://clipc-services.ceda.ac.uk/dreq/u/e0279cf7335a5b9292a1a3c8f70a32a2.html","web")</f>
        <v>0</v>
      </c>
      <c r="J182" t="s">
        <v>577</v>
      </c>
      <c r="K182" t="s">
        <v>578</v>
      </c>
      <c r="M182" t="s">
        <v>74</v>
      </c>
    </row>
    <row r="183" spans="1:13">
      <c r="A183" t="s">
        <v>539</v>
      </c>
      <c r="B183" t="s">
        <v>429</v>
      </c>
      <c r="C183" t="s">
        <v>35</v>
      </c>
      <c r="D183" t="s">
        <v>334</v>
      </c>
      <c r="E183" t="s">
        <v>430</v>
      </c>
      <c r="F183" t="s">
        <v>74</v>
      </c>
      <c r="G183">
        <f>HYPERLINK("http://clipc-services.ceda.ac.uk/dreq/u/e79eb59d74038643b2201bb0556e720a.html","web")</f>
        <v>0</v>
      </c>
      <c r="J183" t="s">
        <v>431</v>
      </c>
      <c r="K183" t="s">
        <v>574</v>
      </c>
      <c r="M183" t="s">
        <v>74</v>
      </c>
    </row>
    <row r="184" spans="1:13">
      <c r="A184" t="s">
        <v>539</v>
      </c>
      <c r="B184" t="s">
        <v>579</v>
      </c>
      <c r="C184" t="s">
        <v>35</v>
      </c>
      <c r="D184" t="s">
        <v>334</v>
      </c>
      <c r="E184" t="s">
        <v>580</v>
      </c>
      <c r="F184" t="s">
        <v>74</v>
      </c>
      <c r="G184">
        <f>HYPERLINK("http://clipc-services.ceda.ac.uk/dreq/u/bc0982cd4cc45a7ad96524f549a468c4.html","web")</f>
        <v>0</v>
      </c>
      <c r="J184" t="s">
        <v>581</v>
      </c>
      <c r="K184" t="s">
        <v>578</v>
      </c>
      <c r="M184" t="s">
        <v>74</v>
      </c>
    </row>
    <row r="185" spans="1:13">
      <c r="A185" t="s">
        <v>539</v>
      </c>
      <c r="B185" t="s">
        <v>432</v>
      </c>
      <c r="C185" t="s">
        <v>35</v>
      </c>
      <c r="D185" t="s">
        <v>334</v>
      </c>
      <c r="E185" t="s">
        <v>433</v>
      </c>
      <c r="F185" t="s">
        <v>74</v>
      </c>
      <c r="G185">
        <f>HYPERLINK("http://clipc-services.ceda.ac.uk/dreq/u/bcfeacf77d49ef51a6ee66a1ab0ebcb4.html","web")</f>
        <v>0</v>
      </c>
      <c r="J185" t="s">
        <v>434</v>
      </c>
      <c r="K185" t="s">
        <v>574</v>
      </c>
      <c r="M185" t="s">
        <v>74</v>
      </c>
    </row>
    <row r="186" spans="1:13">
      <c r="A186" t="s">
        <v>539</v>
      </c>
      <c r="B186" t="s">
        <v>582</v>
      </c>
      <c r="C186" t="s">
        <v>35</v>
      </c>
      <c r="D186" t="s">
        <v>334</v>
      </c>
      <c r="E186" t="s">
        <v>583</v>
      </c>
      <c r="F186" t="s">
        <v>74</v>
      </c>
      <c r="G186">
        <f>HYPERLINK("http://clipc-services.ceda.ac.uk/dreq/u/01918a16b5ac9dbbe932d83357c06a21.html","web")</f>
        <v>0</v>
      </c>
      <c r="J186" t="s">
        <v>584</v>
      </c>
      <c r="K186" t="s">
        <v>578</v>
      </c>
      <c r="M186" t="s">
        <v>74</v>
      </c>
    </row>
    <row r="187" spans="1:13">
      <c r="A187" t="s">
        <v>539</v>
      </c>
      <c r="B187" t="s">
        <v>435</v>
      </c>
      <c r="C187" t="s">
        <v>35</v>
      </c>
      <c r="D187" t="s">
        <v>334</v>
      </c>
      <c r="E187" t="s">
        <v>436</v>
      </c>
      <c r="F187" t="s">
        <v>74</v>
      </c>
      <c r="G187">
        <f>HYPERLINK("http://clipc-services.ceda.ac.uk/dreq/u/a8607fe15cb4f2997228523340233d91.html","web")</f>
        <v>0</v>
      </c>
      <c r="J187" t="s">
        <v>437</v>
      </c>
      <c r="K187" t="s">
        <v>574</v>
      </c>
      <c r="M187" t="s">
        <v>74</v>
      </c>
    </row>
    <row r="188" spans="1:13">
      <c r="A188" t="s">
        <v>539</v>
      </c>
      <c r="B188" t="s">
        <v>585</v>
      </c>
      <c r="C188" t="s">
        <v>35</v>
      </c>
      <c r="D188" t="s">
        <v>334</v>
      </c>
      <c r="E188" t="s">
        <v>586</v>
      </c>
      <c r="F188" t="s">
        <v>74</v>
      </c>
      <c r="G188">
        <f>HYPERLINK("http://clipc-services.ceda.ac.uk/dreq/u/5951b6df2bd5a02e11213ea42620fa89.html","web")</f>
        <v>0</v>
      </c>
      <c r="J188" t="s">
        <v>587</v>
      </c>
      <c r="K188" t="s">
        <v>578</v>
      </c>
      <c r="M188" t="s">
        <v>74</v>
      </c>
    </row>
    <row r="189" spans="1:13">
      <c r="A189" t="s">
        <v>539</v>
      </c>
      <c r="B189" t="s">
        <v>588</v>
      </c>
      <c r="C189" t="s">
        <v>35</v>
      </c>
      <c r="D189" t="s">
        <v>152</v>
      </c>
      <c r="E189" t="s">
        <v>589</v>
      </c>
      <c r="F189" t="s">
        <v>74</v>
      </c>
      <c r="G189">
        <f>HYPERLINK("http://clipc-services.ceda.ac.uk/dreq/u/0888eef64215cf18affe93ca142c95ad.html","web")</f>
        <v>0</v>
      </c>
      <c r="J189" t="s">
        <v>590</v>
      </c>
      <c r="K189" t="s">
        <v>591</v>
      </c>
      <c r="M189" t="s">
        <v>74</v>
      </c>
    </row>
    <row r="190" spans="1:13">
      <c r="A190" t="s">
        <v>539</v>
      </c>
      <c r="B190" t="s">
        <v>592</v>
      </c>
      <c r="C190" t="s">
        <v>35</v>
      </c>
      <c r="D190" t="s">
        <v>152</v>
      </c>
      <c r="E190" t="s">
        <v>593</v>
      </c>
      <c r="F190" t="s">
        <v>74</v>
      </c>
      <c r="G190">
        <f>HYPERLINK("http://clipc-services.ceda.ac.uk/dreq/u/71a3667c9d9a8b9af56e22757461b7d0.html","web")</f>
        <v>0</v>
      </c>
      <c r="J190" t="s">
        <v>594</v>
      </c>
      <c r="K190" t="s">
        <v>591</v>
      </c>
      <c r="M190" t="s">
        <v>74</v>
      </c>
    </row>
    <row r="191" spans="1:13">
      <c r="A191" t="s">
        <v>539</v>
      </c>
      <c r="B191" t="s">
        <v>438</v>
      </c>
      <c r="C191" t="s">
        <v>35</v>
      </c>
      <c r="D191" t="s">
        <v>334</v>
      </c>
      <c r="E191" t="s">
        <v>439</v>
      </c>
      <c r="F191" t="s">
        <v>74</v>
      </c>
      <c r="G191">
        <f>HYPERLINK("http://clipc-services.ceda.ac.uk/dreq/u/eb9ac643cd9c73cae960d6d2db7b901d.html","web")</f>
        <v>0</v>
      </c>
      <c r="J191" t="s">
        <v>440</v>
      </c>
      <c r="K191" t="s">
        <v>574</v>
      </c>
      <c r="M191" t="s">
        <v>74</v>
      </c>
    </row>
    <row r="192" spans="1:13">
      <c r="A192" t="s">
        <v>539</v>
      </c>
      <c r="B192" t="s">
        <v>595</v>
      </c>
      <c r="C192" t="s">
        <v>35</v>
      </c>
      <c r="D192" t="s">
        <v>334</v>
      </c>
      <c r="E192" t="s">
        <v>596</v>
      </c>
      <c r="F192" t="s">
        <v>74</v>
      </c>
      <c r="G192">
        <f>HYPERLINK("http://clipc-services.ceda.ac.uk/dreq/u/6248574ebce5bf9fde3841735c9108bc.html","web")</f>
        <v>0</v>
      </c>
      <c r="J192" t="s">
        <v>597</v>
      </c>
      <c r="K192" t="s">
        <v>578</v>
      </c>
      <c r="M192" t="s">
        <v>74</v>
      </c>
    </row>
    <row r="193" spans="1:13">
      <c r="A193" t="s">
        <v>539</v>
      </c>
      <c r="B193" t="s">
        <v>441</v>
      </c>
      <c r="C193" t="s">
        <v>35</v>
      </c>
      <c r="D193" t="s">
        <v>334</v>
      </c>
      <c r="E193" t="s">
        <v>442</v>
      </c>
      <c r="F193" t="s">
        <v>74</v>
      </c>
      <c r="G193">
        <f>HYPERLINK("http://clipc-services.ceda.ac.uk/dreq/u/38806cec3ba894d7745fada80c9f6fe6.html","web")</f>
        <v>0</v>
      </c>
      <c r="J193" t="s">
        <v>443</v>
      </c>
      <c r="K193" t="s">
        <v>574</v>
      </c>
      <c r="M193" t="s">
        <v>74</v>
      </c>
    </row>
    <row r="194" spans="1:13">
      <c r="A194" t="s">
        <v>539</v>
      </c>
      <c r="B194" t="s">
        <v>598</v>
      </c>
      <c r="C194" t="s">
        <v>35</v>
      </c>
      <c r="D194" t="s">
        <v>334</v>
      </c>
      <c r="E194" t="s">
        <v>599</v>
      </c>
      <c r="F194" t="s">
        <v>74</v>
      </c>
      <c r="G194">
        <f>HYPERLINK("http://clipc-services.ceda.ac.uk/dreq/u/b8acc50c52fa48b40a4512d06d2d6435.html","web")</f>
        <v>0</v>
      </c>
      <c r="J194" t="s">
        <v>600</v>
      </c>
      <c r="K194" t="s">
        <v>578</v>
      </c>
      <c r="M194" t="s">
        <v>74</v>
      </c>
    </row>
    <row r="195" spans="1:13">
      <c r="A195" t="s">
        <v>539</v>
      </c>
      <c r="B195" t="s">
        <v>444</v>
      </c>
      <c r="C195" t="s">
        <v>35</v>
      </c>
      <c r="D195" t="s">
        <v>334</v>
      </c>
      <c r="E195" t="s">
        <v>445</v>
      </c>
      <c r="F195" t="s">
        <v>74</v>
      </c>
      <c r="G195">
        <f>HYPERLINK("http://clipc-services.ceda.ac.uk/dreq/u/c323f38340e4846931ad4891232d839d.html","web")</f>
        <v>0</v>
      </c>
      <c r="J195" t="s">
        <v>446</v>
      </c>
      <c r="K195" t="s">
        <v>574</v>
      </c>
      <c r="M195" t="s">
        <v>74</v>
      </c>
    </row>
    <row r="196" spans="1:13">
      <c r="A196" t="s">
        <v>539</v>
      </c>
      <c r="B196" t="s">
        <v>601</v>
      </c>
      <c r="C196" t="s">
        <v>35</v>
      </c>
      <c r="D196" t="s">
        <v>334</v>
      </c>
      <c r="E196" t="s">
        <v>602</v>
      </c>
      <c r="F196" t="s">
        <v>74</v>
      </c>
      <c r="G196">
        <f>HYPERLINK("http://clipc-services.ceda.ac.uk/dreq/u/8e5acd3e73d41006a677b5e77fe383f7.html","web")</f>
        <v>0</v>
      </c>
      <c r="J196" t="s">
        <v>603</v>
      </c>
      <c r="K196" t="s">
        <v>578</v>
      </c>
      <c r="M196" t="s">
        <v>74</v>
      </c>
    </row>
    <row r="197" spans="1:13">
      <c r="A197" t="s">
        <v>539</v>
      </c>
      <c r="B197" t="s">
        <v>447</v>
      </c>
      <c r="C197" t="s">
        <v>35</v>
      </c>
      <c r="D197" t="s">
        <v>334</v>
      </c>
      <c r="E197" t="s">
        <v>448</v>
      </c>
      <c r="F197" t="s">
        <v>74</v>
      </c>
      <c r="G197">
        <f>HYPERLINK("http://clipc-services.ceda.ac.uk/dreq/u/eb72b66b6365daed79aefeda9d3d30b5.html","web")</f>
        <v>0</v>
      </c>
      <c r="J197" t="s">
        <v>449</v>
      </c>
      <c r="K197" t="s">
        <v>574</v>
      </c>
      <c r="M197" t="s">
        <v>74</v>
      </c>
    </row>
    <row r="198" spans="1:13">
      <c r="A198" t="s">
        <v>539</v>
      </c>
      <c r="B198" t="s">
        <v>604</v>
      </c>
      <c r="C198" t="s">
        <v>35</v>
      </c>
      <c r="D198" t="s">
        <v>334</v>
      </c>
      <c r="E198" t="s">
        <v>605</v>
      </c>
      <c r="F198" t="s">
        <v>74</v>
      </c>
      <c r="G198">
        <f>HYPERLINK("http://clipc-services.ceda.ac.uk/dreq/u/bef5e52ab3ef55640ab0133c34c9dec2.html","web")</f>
        <v>0</v>
      </c>
      <c r="J198" t="s">
        <v>606</v>
      </c>
      <c r="K198" t="s">
        <v>578</v>
      </c>
      <c r="M198" t="s">
        <v>74</v>
      </c>
    </row>
    <row r="199" spans="1:13">
      <c r="A199" t="s">
        <v>539</v>
      </c>
      <c r="B199" t="s">
        <v>607</v>
      </c>
      <c r="C199" t="s">
        <v>35</v>
      </c>
      <c r="D199" t="s">
        <v>152</v>
      </c>
      <c r="E199" t="s">
        <v>608</v>
      </c>
      <c r="F199" t="s">
        <v>74</v>
      </c>
      <c r="G199">
        <f>HYPERLINK("http://clipc-services.ceda.ac.uk/dreq/u/58bbe37eb1035d22ab051fcfa10c67d9.html","web")</f>
        <v>0</v>
      </c>
      <c r="J199" t="s">
        <v>609</v>
      </c>
      <c r="K199" t="s">
        <v>591</v>
      </c>
      <c r="M199" t="s">
        <v>74</v>
      </c>
    </row>
    <row r="200" spans="1:13">
      <c r="A200" t="s">
        <v>539</v>
      </c>
      <c r="B200" t="s">
        <v>610</v>
      </c>
      <c r="C200" t="s">
        <v>35</v>
      </c>
      <c r="D200" t="s">
        <v>152</v>
      </c>
      <c r="E200" t="s">
        <v>611</v>
      </c>
      <c r="F200" t="s">
        <v>74</v>
      </c>
      <c r="G200">
        <f>HYPERLINK("http://clipc-services.ceda.ac.uk/dreq/u/827d0f8093c7858a784e5fda140a6e12.html","web")</f>
        <v>0</v>
      </c>
      <c r="J200" t="s">
        <v>612</v>
      </c>
      <c r="K200" t="s">
        <v>591</v>
      </c>
      <c r="M200" t="s">
        <v>74</v>
      </c>
    </row>
    <row r="201" spans="1:13">
      <c r="A201" t="s">
        <v>539</v>
      </c>
      <c r="B201" t="s">
        <v>613</v>
      </c>
      <c r="C201" t="s">
        <v>50</v>
      </c>
      <c r="D201" t="s">
        <v>334</v>
      </c>
      <c r="E201" t="s">
        <v>614</v>
      </c>
      <c r="F201" t="s">
        <v>179</v>
      </c>
      <c r="G201">
        <f>HYPERLINK("http://clipc-services.ceda.ac.uk/dreq/u/706324a93b4c3976da22db8a6e9d78b0.html","web")</f>
        <v>0</v>
      </c>
      <c r="J201" t="s">
        <v>615</v>
      </c>
      <c r="K201" t="s">
        <v>549</v>
      </c>
      <c r="M201" t="s">
        <v>179</v>
      </c>
    </row>
    <row r="202" spans="1:13">
      <c r="A202" t="s">
        <v>539</v>
      </c>
      <c r="B202" t="s">
        <v>453</v>
      </c>
      <c r="C202" t="s">
        <v>35</v>
      </c>
      <c r="D202" t="s">
        <v>541</v>
      </c>
      <c r="E202" t="s">
        <v>454</v>
      </c>
      <c r="F202" t="s">
        <v>455</v>
      </c>
      <c r="G202">
        <f>HYPERLINK("http://clipc-services.ceda.ac.uk/dreq/u/150d0829eec06aeaf75d22d08d328ffa.html","web")</f>
        <v>0</v>
      </c>
      <c r="J202" t="s">
        <v>456</v>
      </c>
      <c r="K202" t="s">
        <v>544</v>
      </c>
      <c r="M202" t="s">
        <v>455</v>
      </c>
    </row>
    <row r="203" spans="1:13">
      <c r="A203" t="s">
        <v>539</v>
      </c>
      <c r="B203" t="s">
        <v>457</v>
      </c>
      <c r="C203" t="s">
        <v>35</v>
      </c>
      <c r="D203" t="s">
        <v>541</v>
      </c>
      <c r="E203" t="s">
        <v>458</v>
      </c>
      <c r="F203" t="s">
        <v>455</v>
      </c>
      <c r="G203">
        <f>HYPERLINK("http://clipc-services.ceda.ac.uk/dreq/u/2c8cb564bae033f641135194947da163.html","web")</f>
        <v>0</v>
      </c>
      <c r="J203" t="s">
        <v>459</v>
      </c>
      <c r="K203" t="s">
        <v>544</v>
      </c>
      <c r="M203" t="s">
        <v>455</v>
      </c>
    </row>
    <row r="204" spans="1:13">
      <c r="A204" t="s">
        <v>539</v>
      </c>
      <c r="B204" t="s">
        <v>460</v>
      </c>
      <c r="C204" t="s">
        <v>35</v>
      </c>
      <c r="D204" t="s">
        <v>541</v>
      </c>
      <c r="E204" t="s">
        <v>461</v>
      </c>
      <c r="F204" t="s">
        <v>455</v>
      </c>
      <c r="G204">
        <f>HYPERLINK("http://clipc-services.ceda.ac.uk/dreq/u/9e9e7476986ece18ce380652eaabe342.html","web")</f>
        <v>0</v>
      </c>
      <c r="J204" t="s">
        <v>462</v>
      </c>
      <c r="K204" t="s">
        <v>544</v>
      </c>
      <c r="M204" t="s">
        <v>455</v>
      </c>
    </row>
    <row r="205" spans="1:13">
      <c r="A205" t="s">
        <v>539</v>
      </c>
      <c r="B205" t="s">
        <v>463</v>
      </c>
      <c r="C205" t="s">
        <v>35</v>
      </c>
      <c r="D205" t="s">
        <v>541</v>
      </c>
      <c r="E205" t="s">
        <v>464</v>
      </c>
      <c r="F205" t="s">
        <v>19</v>
      </c>
      <c r="G205">
        <f>HYPERLINK("http://clipc-services.ceda.ac.uk/dreq/u/c8b1814845661bcad37910e70a59b285.html","web")</f>
        <v>0</v>
      </c>
      <c r="J205" t="s">
        <v>464</v>
      </c>
      <c r="K205" t="s">
        <v>544</v>
      </c>
      <c r="M205" t="s">
        <v>19</v>
      </c>
    </row>
    <row r="206" spans="1:13">
      <c r="A206" t="s">
        <v>539</v>
      </c>
      <c r="B206" t="s">
        <v>465</v>
      </c>
      <c r="C206" t="s">
        <v>35</v>
      </c>
      <c r="D206" t="s">
        <v>541</v>
      </c>
      <c r="E206" t="s">
        <v>466</v>
      </c>
      <c r="F206" t="s">
        <v>19</v>
      </c>
      <c r="G206">
        <f>HYPERLINK("http://clipc-services.ceda.ac.uk/dreq/u/ea55d8afe6bacbfa1029c0048717eaaa.html","web")</f>
        <v>0</v>
      </c>
      <c r="J206" t="s">
        <v>467</v>
      </c>
      <c r="K206" t="s">
        <v>544</v>
      </c>
      <c r="M206" t="s">
        <v>19</v>
      </c>
    </row>
    <row r="207" spans="1:13">
      <c r="A207" t="s">
        <v>539</v>
      </c>
      <c r="B207" t="s">
        <v>468</v>
      </c>
      <c r="C207" t="s">
        <v>35</v>
      </c>
      <c r="D207" t="s">
        <v>541</v>
      </c>
      <c r="E207" t="s">
        <v>469</v>
      </c>
      <c r="F207" t="s">
        <v>19</v>
      </c>
      <c r="G207">
        <f>HYPERLINK("http://clipc-services.ceda.ac.uk/dreq/u/475dc209e9f9cd51eedee4d26caf9f67.html","web")</f>
        <v>0</v>
      </c>
      <c r="J207" t="s">
        <v>470</v>
      </c>
      <c r="K207" t="s">
        <v>544</v>
      </c>
      <c r="M207" t="s">
        <v>19</v>
      </c>
    </row>
    <row r="209" spans="1:13">
      <c r="A209" t="s">
        <v>616</v>
      </c>
      <c r="B209" t="s">
        <v>84</v>
      </c>
      <c r="C209" t="s">
        <v>50</v>
      </c>
      <c r="D209" t="s">
        <v>85</v>
      </c>
      <c r="E209" t="s">
        <v>86</v>
      </c>
      <c r="F209" t="s">
        <v>87</v>
      </c>
      <c r="G209">
        <f>HYPERLINK("http://clipc-services.ceda.ac.uk/dreq/u/a72a0bcf271db9db3a7fb9b7f3e7b93a.html","web")</f>
        <v>0</v>
      </c>
      <c r="J209" t="s">
        <v>88</v>
      </c>
      <c r="K209" t="s">
        <v>617</v>
      </c>
      <c r="M209" t="s">
        <v>87</v>
      </c>
    </row>
    <row r="210" spans="1:13">
      <c r="A210" t="s">
        <v>616</v>
      </c>
      <c r="B210" t="s">
        <v>618</v>
      </c>
      <c r="C210" t="s">
        <v>50</v>
      </c>
      <c r="D210" t="s">
        <v>152</v>
      </c>
      <c r="E210" t="s">
        <v>619</v>
      </c>
      <c r="F210" t="s">
        <v>87</v>
      </c>
      <c r="G210">
        <f>HYPERLINK("http://clipc-services.ceda.ac.uk/dreq/u/c96cd366-c5f0-11e6-ac20-5404a60d96b5.html","web")</f>
        <v>0</v>
      </c>
      <c r="J210" t="s">
        <v>620</v>
      </c>
      <c r="K210" t="s">
        <v>617</v>
      </c>
      <c r="M210" t="s">
        <v>87</v>
      </c>
    </row>
    <row r="211" spans="1:13">
      <c r="A211" t="s">
        <v>616</v>
      </c>
      <c r="B211" t="s">
        <v>90</v>
      </c>
      <c r="C211" t="s">
        <v>50</v>
      </c>
      <c r="D211" t="s">
        <v>85</v>
      </c>
      <c r="E211" t="s">
        <v>91</v>
      </c>
      <c r="F211" t="s">
        <v>87</v>
      </c>
      <c r="G211">
        <f>HYPERLINK("http://clipc-services.ceda.ac.uk/dreq/u/27ad2512525b0c42b7edd88f1dad5955.html","web")</f>
        <v>0</v>
      </c>
      <c r="J211" t="s">
        <v>92</v>
      </c>
      <c r="K211" t="s">
        <v>617</v>
      </c>
      <c r="M211" t="s">
        <v>87</v>
      </c>
    </row>
    <row r="212" spans="1:13">
      <c r="A212" t="s">
        <v>616</v>
      </c>
      <c r="B212" t="s">
        <v>621</v>
      </c>
      <c r="C212" t="s">
        <v>16</v>
      </c>
      <c r="D212" t="s">
        <v>152</v>
      </c>
      <c r="E212" t="s">
        <v>622</v>
      </c>
      <c r="F212" t="s">
        <v>87</v>
      </c>
      <c r="G212">
        <f>HYPERLINK("http://clipc-services.ceda.ac.uk/dreq/u/c96caa26-c5f0-11e6-ac20-5404a60d96b5.html","web")</f>
        <v>0</v>
      </c>
      <c r="J212" t="s">
        <v>92</v>
      </c>
      <c r="K212" t="s">
        <v>617</v>
      </c>
      <c r="M212" t="s">
        <v>87</v>
      </c>
    </row>
    <row r="213" spans="1:13">
      <c r="A213" t="s">
        <v>616</v>
      </c>
      <c r="B213" t="s">
        <v>113</v>
      </c>
      <c r="C213" t="s">
        <v>16</v>
      </c>
      <c r="D213" t="s">
        <v>85</v>
      </c>
      <c r="E213" t="s">
        <v>114</v>
      </c>
      <c r="F213" t="s">
        <v>115</v>
      </c>
      <c r="G213">
        <f>HYPERLINK("http://clipc-services.ceda.ac.uk/dreq/u/df96c61c07957da1c4e8212f0553fa98.html","web")</f>
        <v>0</v>
      </c>
      <c r="J213" t="s">
        <v>116</v>
      </c>
      <c r="K213" t="s">
        <v>623</v>
      </c>
      <c r="M213" t="s">
        <v>115</v>
      </c>
    </row>
    <row r="214" spans="1:13">
      <c r="A214" t="s">
        <v>616</v>
      </c>
      <c r="B214" t="s">
        <v>624</v>
      </c>
      <c r="C214" t="s">
        <v>50</v>
      </c>
      <c r="D214" t="s">
        <v>152</v>
      </c>
      <c r="E214" t="s">
        <v>625</v>
      </c>
      <c r="F214" t="s">
        <v>115</v>
      </c>
      <c r="G214">
        <f>HYPERLINK("http://clipc-services.ceda.ac.uk/dreq/u/c96e2752-c5f0-11e6-ac20-5404a60d96b5.html","web")</f>
        <v>0</v>
      </c>
      <c r="J214" t="s">
        <v>116</v>
      </c>
      <c r="K214" t="s">
        <v>626</v>
      </c>
      <c r="M214" t="s">
        <v>115</v>
      </c>
    </row>
    <row r="215" spans="1:13">
      <c r="A215" t="s">
        <v>616</v>
      </c>
      <c r="B215" t="s">
        <v>118</v>
      </c>
      <c r="C215" t="s">
        <v>16</v>
      </c>
      <c r="D215" t="s">
        <v>85</v>
      </c>
      <c r="E215" t="s">
        <v>119</v>
      </c>
      <c r="F215" t="s">
        <v>115</v>
      </c>
      <c r="G215">
        <f>HYPERLINK("http://clipc-services.ceda.ac.uk/dreq/u/171d617ceca8a4351f53d090c0ead89c.html","web")</f>
        <v>0</v>
      </c>
      <c r="J215" t="s">
        <v>120</v>
      </c>
      <c r="K215" t="s">
        <v>623</v>
      </c>
      <c r="M215" t="s">
        <v>115</v>
      </c>
    </row>
    <row r="216" spans="1:13">
      <c r="A216" t="s">
        <v>616</v>
      </c>
      <c r="B216" t="s">
        <v>627</v>
      </c>
      <c r="C216" t="s">
        <v>50</v>
      </c>
      <c r="D216" t="s">
        <v>152</v>
      </c>
      <c r="E216" t="s">
        <v>628</v>
      </c>
      <c r="F216" t="s">
        <v>115</v>
      </c>
      <c r="G216">
        <f>HYPERLINK("http://clipc-services.ceda.ac.uk/dreq/u/c96e19b0-c5f0-11e6-ac20-5404a60d96b5.html","web")</f>
        <v>0</v>
      </c>
      <c r="J216" t="s">
        <v>629</v>
      </c>
      <c r="K216" t="s">
        <v>626</v>
      </c>
      <c r="M216" t="s">
        <v>115</v>
      </c>
    </row>
    <row r="217" spans="1:13">
      <c r="A217" t="s">
        <v>616</v>
      </c>
      <c r="B217" t="s">
        <v>121</v>
      </c>
      <c r="C217" t="s">
        <v>16</v>
      </c>
      <c r="D217" t="s">
        <v>85</v>
      </c>
      <c r="E217" t="s">
        <v>122</v>
      </c>
      <c r="F217" t="s">
        <v>115</v>
      </c>
      <c r="G217">
        <f>HYPERLINK("http://clipc-services.ceda.ac.uk/dreq/u/edc3d019be9c383abbd82a4d5fad43ca.html","web")</f>
        <v>0</v>
      </c>
      <c r="J217" t="s">
        <v>123</v>
      </c>
      <c r="K217" t="s">
        <v>623</v>
      </c>
      <c r="M217" t="s">
        <v>115</v>
      </c>
    </row>
    <row r="218" spans="1:13">
      <c r="A218" t="s">
        <v>616</v>
      </c>
      <c r="B218" t="s">
        <v>630</v>
      </c>
      <c r="C218" t="s">
        <v>50</v>
      </c>
      <c r="D218" t="s">
        <v>152</v>
      </c>
      <c r="E218" t="s">
        <v>631</v>
      </c>
      <c r="F218" t="s">
        <v>115</v>
      </c>
      <c r="G218">
        <f>HYPERLINK("http://clipc-services.ceda.ac.uk/dreq/u/c96e35a8-c5f0-11e6-ac20-5404a60d96b5.html","web")</f>
        <v>0</v>
      </c>
      <c r="J218" t="s">
        <v>123</v>
      </c>
      <c r="K218" t="s">
        <v>626</v>
      </c>
      <c r="M218" t="s">
        <v>115</v>
      </c>
    </row>
    <row r="219" spans="1:13">
      <c r="A219" t="s">
        <v>616</v>
      </c>
      <c r="B219" t="s">
        <v>124</v>
      </c>
      <c r="C219" t="s">
        <v>50</v>
      </c>
      <c r="D219" t="s">
        <v>85</v>
      </c>
      <c r="E219" t="s">
        <v>125</v>
      </c>
      <c r="F219" t="s">
        <v>87</v>
      </c>
      <c r="G219">
        <f>HYPERLINK("http://clipc-services.ceda.ac.uk/dreq/u/c9794182-c5f0-11e6-ac20-5404a60d96b5.html","web")</f>
        <v>0</v>
      </c>
      <c r="J219" t="s">
        <v>126</v>
      </c>
      <c r="K219" t="s">
        <v>617</v>
      </c>
      <c r="M219" t="s">
        <v>87</v>
      </c>
    </row>
    <row r="220" spans="1:13">
      <c r="A220" t="s">
        <v>616</v>
      </c>
      <c r="B220" t="s">
        <v>632</v>
      </c>
      <c r="C220" t="s">
        <v>50</v>
      </c>
      <c r="D220" t="s">
        <v>152</v>
      </c>
      <c r="E220" t="s">
        <v>633</v>
      </c>
      <c r="F220" t="s">
        <v>87</v>
      </c>
      <c r="G220">
        <f>HYPERLINK("http://clipc-services.ceda.ac.uk/dreq/u/c96eec14-c5f0-11e6-ac20-5404a60d96b5.html","web")</f>
        <v>0</v>
      </c>
      <c r="J220" t="s">
        <v>634</v>
      </c>
      <c r="K220" t="s">
        <v>617</v>
      </c>
      <c r="M220" t="s">
        <v>87</v>
      </c>
    </row>
    <row r="221" spans="1:13">
      <c r="A221" t="s">
        <v>616</v>
      </c>
      <c r="B221" t="s">
        <v>127</v>
      </c>
      <c r="C221" t="s">
        <v>50</v>
      </c>
      <c r="D221" t="s">
        <v>85</v>
      </c>
      <c r="E221" t="s">
        <v>128</v>
      </c>
      <c r="F221" t="s">
        <v>87</v>
      </c>
      <c r="G221">
        <f>HYPERLINK("http://clipc-services.ceda.ac.uk/dreq/u/c9793390-c5f0-11e6-ac20-5404a60d96b5.html","web")</f>
        <v>0</v>
      </c>
      <c r="J221" t="s">
        <v>129</v>
      </c>
      <c r="K221" t="s">
        <v>617</v>
      </c>
      <c r="M221" t="s">
        <v>87</v>
      </c>
    </row>
    <row r="222" spans="1:13">
      <c r="A222" t="s">
        <v>616</v>
      </c>
      <c r="B222" t="s">
        <v>635</v>
      </c>
      <c r="C222" t="s">
        <v>50</v>
      </c>
      <c r="D222" t="s">
        <v>152</v>
      </c>
      <c r="E222" t="s">
        <v>636</v>
      </c>
      <c r="F222" t="s">
        <v>87</v>
      </c>
      <c r="G222">
        <f>HYPERLINK("http://clipc-services.ceda.ac.uk/dreq/u/c96eddd2-c5f0-11e6-ac20-5404a60d96b5.html","web")</f>
        <v>0</v>
      </c>
      <c r="J222" t="s">
        <v>637</v>
      </c>
      <c r="K222" t="s">
        <v>617</v>
      </c>
      <c r="M222" t="s">
        <v>87</v>
      </c>
    </row>
    <row r="223" spans="1:13">
      <c r="A223" t="s">
        <v>616</v>
      </c>
      <c r="B223" t="s">
        <v>130</v>
      </c>
      <c r="C223" t="s">
        <v>50</v>
      </c>
      <c r="D223" t="s">
        <v>85</v>
      </c>
      <c r="E223" t="s">
        <v>131</v>
      </c>
      <c r="F223" t="s">
        <v>87</v>
      </c>
      <c r="G223">
        <f>HYPERLINK("http://clipc-services.ceda.ac.uk/dreq/u/065edaa295c376f0e9bc1985bc3f491c.html","web")</f>
        <v>0</v>
      </c>
      <c r="J223" t="s">
        <v>132</v>
      </c>
      <c r="K223" t="s">
        <v>617</v>
      </c>
      <c r="M223" t="s">
        <v>87</v>
      </c>
    </row>
    <row r="224" spans="1:13">
      <c r="A224" t="s">
        <v>616</v>
      </c>
      <c r="B224" t="s">
        <v>638</v>
      </c>
      <c r="C224" t="s">
        <v>50</v>
      </c>
      <c r="D224" t="s">
        <v>152</v>
      </c>
      <c r="E224" t="s">
        <v>639</v>
      </c>
      <c r="F224" t="s">
        <v>87</v>
      </c>
      <c r="G224">
        <f>HYPERLINK("http://clipc-services.ceda.ac.uk/dreq/u/c96f0758-c5f0-11e6-ac20-5404a60d96b5.html","web")</f>
        <v>0</v>
      </c>
      <c r="J224" t="s">
        <v>640</v>
      </c>
      <c r="K224" t="s">
        <v>617</v>
      </c>
      <c r="M224" t="s">
        <v>87</v>
      </c>
    </row>
    <row r="225" spans="1:13">
      <c r="A225" t="s">
        <v>616</v>
      </c>
      <c r="B225" t="s">
        <v>155</v>
      </c>
      <c r="C225" t="s">
        <v>16</v>
      </c>
      <c r="D225" t="s">
        <v>85</v>
      </c>
      <c r="E225" t="s">
        <v>156</v>
      </c>
      <c r="F225" t="s">
        <v>87</v>
      </c>
      <c r="G225">
        <f>HYPERLINK("http://clipc-services.ceda.ac.uk/dreq/u/59175660-9e49-11e5-803c-0d0b866b59f3.html","web")</f>
        <v>0</v>
      </c>
      <c r="J225" t="s">
        <v>157</v>
      </c>
      <c r="K225" t="s">
        <v>641</v>
      </c>
      <c r="M225" t="s">
        <v>87</v>
      </c>
    </row>
    <row r="226" spans="1:13">
      <c r="A226" t="s">
        <v>616</v>
      </c>
      <c r="B226" t="s">
        <v>642</v>
      </c>
      <c r="C226" t="s">
        <v>50</v>
      </c>
      <c r="D226" t="s">
        <v>152</v>
      </c>
      <c r="E226" t="s">
        <v>643</v>
      </c>
      <c r="F226" t="s">
        <v>87</v>
      </c>
      <c r="G226">
        <f>HYPERLINK("http://clipc-services.ceda.ac.uk/dreq/u/c96c720e-c5f0-11e6-ac20-5404a60d96b5.html","web")</f>
        <v>0</v>
      </c>
      <c r="J226" t="s">
        <v>644</v>
      </c>
      <c r="K226" t="s">
        <v>645</v>
      </c>
      <c r="M226" t="s">
        <v>87</v>
      </c>
    </row>
    <row r="227" spans="1:13">
      <c r="A227" t="s">
        <v>616</v>
      </c>
      <c r="B227" t="s">
        <v>158</v>
      </c>
      <c r="C227" t="s">
        <v>16</v>
      </c>
      <c r="D227" t="s">
        <v>85</v>
      </c>
      <c r="E227" t="s">
        <v>159</v>
      </c>
      <c r="F227" t="s">
        <v>87</v>
      </c>
      <c r="G227">
        <f>HYPERLINK("http://clipc-services.ceda.ac.uk/dreq/u/1391b0d99790cec6597b02ce4d7c5a67.html","web")</f>
        <v>0</v>
      </c>
      <c r="J227" t="s">
        <v>160</v>
      </c>
      <c r="K227" t="s">
        <v>646</v>
      </c>
      <c r="M227" t="s">
        <v>87</v>
      </c>
    </row>
    <row r="228" spans="1:13">
      <c r="A228" t="s">
        <v>616</v>
      </c>
      <c r="B228" t="s">
        <v>647</v>
      </c>
      <c r="C228" t="s">
        <v>50</v>
      </c>
      <c r="D228" t="s">
        <v>152</v>
      </c>
      <c r="E228" t="s">
        <v>648</v>
      </c>
      <c r="F228" t="s">
        <v>87</v>
      </c>
      <c r="G228">
        <f>HYPERLINK("http://clipc-services.ceda.ac.uk/dreq/u/c96c6390-c5f0-11e6-ac20-5404a60d96b5.html","web")</f>
        <v>0</v>
      </c>
      <c r="J228" t="s">
        <v>160</v>
      </c>
      <c r="K228" t="s">
        <v>617</v>
      </c>
      <c r="M228" t="s">
        <v>87</v>
      </c>
    </row>
    <row r="229" spans="1:13">
      <c r="A229" t="s">
        <v>616</v>
      </c>
      <c r="B229" t="s">
        <v>161</v>
      </c>
      <c r="C229" t="s">
        <v>16</v>
      </c>
      <c r="D229" t="s">
        <v>85</v>
      </c>
      <c r="E229" t="s">
        <v>162</v>
      </c>
      <c r="F229" t="s">
        <v>87</v>
      </c>
      <c r="G229">
        <f>HYPERLINK("http://clipc-services.ceda.ac.uk/dreq/u/55febff83b78e06576947e1c0e5b7a7d.html","web")</f>
        <v>0</v>
      </c>
      <c r="J229" t="s">
        <v>163</v>
      </c>
      <c r="K229" t="s">
        <v>649</v>
      </c>
      <c r="M229" t="s">
        <v>87</v>
      </c>
    </row>
    <row r="230" spans="1:13">
      <c r="A230" t="s">
        <v>616</v>
      </c>
      <c r="B230" t="s">
        <v>650</v>
      </c>
      <c r="C230" t="s">
        <v>50</v>
      </c>
      <c r="D230" t="s">
        <v>152</v>
      </c>
      <c r="E230" t="s">
        <v>651</v>
      </c>
      <c r="F230" t="s">
        <v>87</v>
      </c>
      <c r="G230">
        <f>HYPERLINK("http://clipc-services.ceda.ac.uk/dreq/u/c96c5576-c5f0-11e6-ac20-5404a60d96b5.html","web")</f>
        <v>0</v>
      </c>
      <c r="J230" t="s">
        <v>163</v>
      </c>
      <c r="K230" t="s">
        <v>617</v>
      </c>
      <c r="M230" t="s">
        <v>87</v>
      </c>
    </row>
    <row r="231" spans="1:13">
      <c r="A231" t="s">
        <v>616</v>
      </c>
      <c r="B231" t="s">
        <v>164</v>
      </c>
      <c r="C231" t="s">
        <v>16</v>
      </c>
      <c r="D231" t="s">
        <v>85</v>
      </c>
      <c r="E231" t="s">
        <v>165</v>
      </c>
      <c r="F231" t="s">
        <v>87</v>
      </c>
      <c r="G231">
        <f>HYPERLINK("http://clipc-services.ceda.ac.uk/dreq/u/bdce9878-233e-11e6-a788-5404a60d96b5.html","web")</f>
        <v>0</v>
      </c>
      <c r="J231" t="s">
        <v>166</v>
      </c>
      <c r="K231" t="s">
        <v>652</v>
      </c>
      <c r="M231" t="s">
        <v>87</v>
      </c>
    </row>
    <row r="232" spans="1:13">
      <c r="A232" t="s">
        <v>616</v>
      </c>
      <c r="B232" t="s">
        <v>653</v>
      </c>
      <c r="C232" t="s">
        <v>16</v>
      </c>
      <c r="D232" t="s">
        <v>152</v>
      </c>
      <c r="E232" t="s">
        <v>654</v>
      </c>
      <c r="F232" t="s">
        <v>87</v>
      </c>
      <c r="G232">
        <f>HYPERLINK("http://clipc-services.ceda.ac.uk/dreq/u/c96ec19e-c5f0-11e6-ac20-5404a60d96b5.html","web")</f>
        <v>0</v>
      </c>
      <c r="J232" t="s">
        <v>655</v>
      </c>
      <c r="K232" t="s">
        <v>617</v>
      </c>
      <c r="M232" t="s">
        <v>87</v>
      </c>
    </row>
    <row r="233" spans="1:13">
      <c r="A233" t="s">
        <v>616</v>
      </c>
      <c r="B233" t="s">
        <v>656</v>
      </c>
      <c r="C233" t="s">
        <v>16</v>
      </c>
      <c r="D233" t="s">
        <v>657</v>
      </c>
      <c r="E233" t="s">
        <v>658</v>
      </c>
      <c r="F233" t="s">
        <v>319</v>
      </c>
      <c r="G233">
        <f>HYPERLINK("http://clipc-services.ceda.ac.uk/dreq/u/c97324c8-c5f0-11e6-ac20-5404a60d96b5.html","web")</f>
        <v>0</v>
      </c>
      <c r="J233" t="s">
        <v>659</v>
      </c>
      <c r="K233" t="s">
        <v>617</v>
      </c>
      <c r="M233" t="s">
        <v>319</v>
      </c>
    </row>
    <row r="234" spans="1:13">
      <c r="A234" t="s">
        <v>616</v>
      </c>
      <c r="B234" t="s">
        <v>660</v>
      </c>
      <c r="C234" t="s">
        <v>16</v>
      </c>
      <c r="D234" t="s">
        <v>657</v>
      </c>
      <c r="E234" t="s">
        <v>661</v>
      </c>
      <c r="F234" t="s">
        <v>319</v>
      </c>
      <c r="G234">
        <f>HYPERLINK("http://clipc-services.ceda.ac.uk/dreq/u/c97316d6-c5f0-11e6-ac20-5404a60d96b5.html","web")</f>
        <v>0</v>
      </c>
      <c r="J234" t="s">
        <v>662</v>
      </c>
      <c r="K234" t="s">
        <v>617</v>
      </c>
      <c r="M234" t="s">
        <v>319</v>
      </c>
    </row>
    <row r="235" spans="1:13">
      <c r="A235" t="s">
        <v>616</v>
      </c>
      <c r="B235" t="s">
        <v>663</v>
      </c>
      <c r="C235" t="s">
        <v>35</v>
      </c>
      <c r="D235" t="s">
        <v>664</v>
      </c>
      <c r="E235" t="s">
        <v>168</v>
      </c>
      <c r="F235" t="s">
        <v>169</v>
      </c>
      <c r="G235">
        <f>HYPERLINK("http://clipc-services.ceda.ac.uk/dreq/u/f43d7527cd48c992f075339b2bbbf9ef.html","web")</f>
        <v>0</v>
      </c>
      <c r="J235" t="s">
        <v>665</v>
      </c>
      <c r="K235" t="s">
        <v>666</v>
      </c>
      <c r="M235" t="s">
        <v>169</v>
      </c>
    </row>
    <row r="236" spans="1:13">
      <c r="A236" t="s">
        <v>616</v>
      </c>
      <c r="B236" t="s">
        <v>667</v>
      </c>
      <c r="C236" t="s">
        <v>16</v>
      </c>
      <c r="D236" t="s">
        <v>664</v>
      </c>
      <c r="E236" t="s">
        <v>668</v>
      </c>
      <c r="F236" t="s">
        <v>169</v>
      </c>
      <c r="G236">
        <f>HYPERLINK("http://clipc-services.ceda.ac.uk/dreq/u/5a17eb002c56c129c27f6e2b8e0c06d7.html","web")</f>
        <v>0</v>
      </c>
      <c r="J236" t="s">
        <v>669</v>
      </c>
      <c r="K236" t="s">
        <v>617</v>
      </c>
      <c r="M236" t="s">
        <v>169</v>
      </c>
    </row>
    <row r="237" spans="1:13">
      <c r="A237" t="s">
        <v>616</v>
      </c>
      <c r="B237" t="s">
        <v>670</v>
      </c>
      <c r="C237" t="s">
        <v>16</v>
      </c>
      <c r="D237" t="s">
        <v>664</v>
      </c>
      <c r="E237" t="s">
        <v>671</v>
      </c>
      <c r="F237" t="s">
        <v>169</v>
      </c>
      <c r="G237">
        <f>HYPERLINK("http://clipc-services.ceda.ac.uk/dreq/u/600c9692a7eaef4037565fa8846ae6ba.html","web")</f>
        <v>0</v>
      </c>
      <c r="J237" t="s">
        <v>669</v>
      </c>
      <c r="K237" t="s">
        <v>617</v>
      </c>
      <c r="M237" t="s">
        <v>169</v>
      </c>
    </row>
    <row r="238" spans="1:13">
      <c r="A238" t="s">
        <v>616</v>
      </c>
      <c r="B238" t="s">
        <v>672</v>
      </c>
      <c r="C238" t="s">
        <v>16</v>
      </c>
      <c r="D238" t="s">
        <v>673</v>
      </c>
      <c r="E238" t="s">
        <v>674</v>
      </c>
      <c r="F238" t="s">
        <v>169</v>
      </c>
      <c r="G238">
        <f>HYPERLINK("http://clipc-services.ceda.ac.uk/dreq/u/3e0c9853afc682db9a950cc5bc3c1c3a.html","web")</f>
        <v>0</v>
      </c>
      <c r="J238" t="s">
        <v>675</v>
      </c>
      <c r="K238" t="s">
        <v>626</v>
      </c>
      <c r="M238" t="s">
        <v>169</v>
      </c>
    </row>
    <row r="239" spans="1:13">
      <c r="A239" t="s">
        <v>616</v>
      </c>
      <c r="B239" t="s">
        <v>676</v>
      </c>
      <c r="C239" t="s">
        <v>16</v>
      </c>
      <c r="D239" t="s">
        <v>673</v>
      </c>
      <c r="E239" t="s">
        <v>677</v>
      </c>
      <c r="F239" t="s">
        <v>169</v>
      </c>
      <c r="G239">
        <f>HYPERLINK("http://clipc-services.ceda.ac.uk/dreq/u/1333394a296e7f8af6c9bad15cb9778d.html","web")</f>
        <v>0</v>
      </c>
      <c r="J239" t="s">
        <v>678</v>
      </c>
      <c r="K239" t="s">
        <v>626</v>
      </c>
      <c r="M239" t="s">
        <v>169</v>
      </c>
    </row>
    <row r="240" spans="1:13">
      <c r="A240" t="s">
        <v>616</v>
      </c>
      <c r="B240" t="s">
        <v>679</v>
      </c>
      <c r="C240" t="s">
        <v>16</v>
      </c>
      <c r="D240" t="s">
        <v>673</v>
      </c>
      <c r="E240" t="s">
        <v>680</v>
      </c>
      <c r="F240" t="s">
        <v>169</v>
      </c>
      <c r="G240">
        <f>HYPERLINK("http://clipc-services.ceda.ac.uk/dreq/u/df087f7801b9ca8b671eba159de9b6e7.html","web")</f>
        <v>0</v>
      </c>
      <c r="J240" t="s">
        <v>681</v>
      </c>
      <c r="K240" t="s">
        <v>617</v>
      </c>
      <c r="M240" t="s">
        <v>169</v>
      </c>
    </row>
    <row r="241" spans="1:13">
      <c r="A241" t="s">
        <v>616</v>
      </c>
      <c r="B241" t="s">
        <v>682</v>
      </c>
      <c r="C241" t="s">
        <v>16</v>
      </c>
      <c r="D241" t="s">
        <v>673</v>
      </c>
      <c r="E241" t="s">
        <v>683</v>
      </c>
      <c r="F241" t="s">
        <v>169</v>
      </c>
      <c r="G241">
        <f>HYPERLINK("http://clipc-services.ceda.ac.uk/dreq/u/d3e6e20c91db32a83bcf3d8d8d9dafd3.html","web")</f>
        <v>0</v>
      </c>
      <c r="J241" t="s">
        <v>684</v>
      </c>
      <c r="K241" t="s">
        <v>617</v>
      </c>
      <c r="M241" t="s">
        <v>169</v>
      </c>
    </row>
    <row r="242" spans="1:13">
      <c r="A242" t="s">
        <v>616</v>
      </c>
      <c r="B242" t="s">
        <v>685</v>
      </c>
      <c r="C242" t="s">
        <v>16</v>
      </c>
      <c r="D242" t="s">
        <v>673</v>
      </c>
      <c r="E242" t="s">
        <v>686</v>
      </c>
      <c r="F242" t="s">
        <v>169</v>
      </c>
      <c r="G242">
        <f>HYPERLINK("http://clipc-services.ceda.ac.uk/dreq/u/80a2832b0619764647393e3815ff399b.html","web")</f>
        <v>0</v>
      </c>
      <c r="J242" t="s">
        <v>687</v>
      </c>
      <c r="K242" t="s">
        <v>617</v>
      </c>
      <c r="M242" t="s">
        <v>169</v>
      </c>
    </row>
    <row r="243" spans="1:13">
      <c r="A243" t="s">
        <v>616</v>
      </c>
      <c r="B243" t="s">
        <v>688</v>
      </c>
      <c r="C243" t="s">
        <v>16</v>
      </c>
      <c r="D243" t="s">
        <v>673</v>
      </c>
      <c r="E243" t="s">
        <v>689</v>
      </c>
      <c r="F243" t="s">
        <v>169</v>
      </c>
      <c r="G243">
        <f>HYPERLINK("http://clipc-services.ceda.ac.uk/dreq/u/ee10c562c1164acf3bf03955dd6fc00d.html","web")</f>
        <v>0</v>
      </c>
      <c r="J243" t="s">
        <v>690</v>
      </c>
      <c r="K243" t="s">
        <v>617</v>
      </c>
      <c r="M243" t="s">
        <v>169</v>
      </c>
    </row>
    <row r="244" spans="1:13">
      <c r="A244" t="s">
        <v>616</v>
      </c>
      <c r="B244" t="s">
        <v>177</v>
      </c>
      <c r="C244" t="s">
        <v>35</v>
      </c>
      <c r="D244" t="s">
        <v>657</v>
      </c>
      <c r="E244" t="s">
        <v>178</v>
      </c>
      <c r="F244" t="s">
        <v>179</v>
      </c>
      <c r="G244">
        <f>HYPERLINK("http://clipc-services.ceda.ac.uk/dreq/u/590e5b82-9e49-11e5-803c-0d0b866b59f3.html","web")</f>
        <v>0</v>
      </c>
      <c r="J244" t="s">
        <v>180</v>
      </c>
      <c r="K244" t="s">
        <v>691</v>
      </c>
      <c r="M244" t="s">
        <v>179</v>
      </c>
    </row>
    <row r="245" spans="1:13">
      <c r="A245" t="s">
        <v>616</v>
      </c>
      <c r="B245" t="s">
        <v>181</v>
      </c>
      <c r="C245" t="s">
        <v>35</v>
      </c>
      <c r="D245" t="s">
        <v>657</v>
      </c>
      <c r="E245" t="s">
        <v>182</v>
      </c>
      <c r="F245" t="s">
        <v>179</v>
      </c>
      <c r="G245">
        <f>HYPERLINK("http://clipc-services.ceda.ac.uk/dreq/u/f36046ab9a8a24ce4d7431e2defd9cf6.html","web")</f>
        <v>0</v>
      </c>
      <c r="J245" t="s">
        <v>183</v>
      </c>
      <c r="K245" t="s">
        <v>617</v>
      </c>
      <c r="M245" t="s">
        <v>179</v>
      </c>
    </row>
    <row r="246" spans="1:13">
      <c r="A246" t="s">
        <v>616</v>
      </c>
      <c r="B246" t="s">
        <v>184</v>
      </c>
      <c r="C246" t="s">
        <v>35</v>
      </c>
      <c r="D246" t="s">
        <v>657</v>
      </c>
      <c r="E246" t="s">
        <v>185</v>
      </c>
      <c r="F246" t="s">
        <v>179</v>
      </c>
      <c r="G246">
        <f>HYPERLINK("http://clipc-services.ceda.ac.uk/dreq/u/042e575e61a271e122d317ca7b39dcb4.html","web")</f>
        <v>0</v>
      </c>
      <c r="J246" t="s">
        <v>186</v>
      </c>
      <c r="K246" t="s">
        <v>617</v>
      </c>
      <c r="M246" t="s">
        <v>179</v>
      </c>
    </row>
    <row r="247" spans="1:13">
      <c r="A247" t="s">
        <v>616</v>
      </c>
      <c r="B247" t="s">
        <v>187</v>
      </c>
      <c r="C247" t="s">
        <v>35</v>
      </c>
      <c r="D247" t="s">
        <v>657</v>
      </c>
      <c r="E247" t="s">
        <v>188</v>
      </c>
      <c r="F247" t="s">
        <v>179</v>
      </c>
      <c r="G247">
        <f>HYPERLINK("http://clipc-services.ceda.ac.uk/dreq/u/97c037c3357f24c4e06c07123224b400.html","web")</f>
        <v>0</v>
      </c>
      <c r="J247" t="s">
        <v>189</v>
      </c>
      <c r="K247" t="s">
        <v>617</v>
      </c>
      <c r="M247" t="s">
        <v>179</v>
      </c>
    </row>
    <row r="248" spans="1:13">
      <c r="A248" t="s">
        <v>616</v>
      </c>
      <c r="B248" t="s">
        <v>692</v>
      </c>
      <c r="C248" t="s">
        <v>16</v>
      </c>
      <c r="D248" t="s">
        <v>657</v>
      </c>
      <c r="E248" t="s">
        <v>693</v>
      </c>
      <c r="F248" t="s">
        <v>169</v>
      </c>
      <c r="G248">
        <f>HYPERLINK("http://clipc-services.ceda.ac.uk/dreq/u/190f38cb06f9a1f3133c3dcf66e0421e.html","web")</f>
        <v>0</v>
      </c>
      <c r="J248" t="s">
        <v>694</v>
      </c>
      <c r="K248" t="s">
        <v>626</v>
      </c>
      <c r="M248" t="s">
        <v>169</v>
      </c>
    </row>
    <row r="249" spans="1:13">
      <c r="A249" t="s">
        <v>616</v>
      </c>
      <c r="B249" t="s">
        <v>695</v>
      </c>
      <c r="C249" t="s">
        <v>50</v>
      </c>
      <c r="D249" t="s">
        <v>85</v>
      </c>
      <c r="E249" t="s">
        <v>696</v>
      </c>
      <c r="F249" t="s">
        <v>179</v>
      </c>
      <c r="G249">
        <f>HYPERLINK("http://clipc-services.ceda.ac.uk/dreq/u/0638f32ebcc32d63faad121d5a83e3be.html","web")</f>
        <v>0</v>
      </c>
      <c r="J249" t="s">
        <v>697</v>
      </c>
      <c r="K249" t="s">
        <v>698</v>
      </c>
      <c r="M249" t="s">
        <v>179</v>
      </c>
    </row>
    <row r="250" spans="1:13">
      <c r="A250" t="s">
        <v>616</v>
      </c>
      <c r="B250" t="s">
        <v>699</v>
      </c>
      <c r="C250" t="s">
        <v>16</v>
      </c>
      <c r="D250" t="s">
        <v>152</v>
      </c>
      <c r="E250" t="s">
        <v>700</v>
      </c>
      <c r="F250" t="s">
        <v>169</v>
      </c>
      <c r="G250">
        <f>HYPERLINK("http://clipc-services.ceda.ac.uk/dreq/u/ae3a674b4f541f95d2b05da4a84507e7.html","web")</f>
        <v>0</v>
      </c>
      <c r="J250" t="s">
        <v>701</v>
      </c>
      <c r="K250" t="s">
        <v>626</v>
      </c>
      <c r="M250" t="s">
        <v>169</v>
      </c>
    </row>
    <row r="251" spans="1:13">
      <c r="A251" t="s">
        <v>616</v>
      </c>
      <c r="B251" t="s">
        <v>702</v>
      </c>
      <c r="C251" t="s">
        <v>35</v>
      </c>
      <c r="D251" t="s">
        <v>703</v>
      </c>
      <c r="E251" t="s">
        <v>704</v>
      </c>
      <c r="F251" t="s">
        <v>705</v>
      </c>
      <c r="G251">
        <f>HYPERLINK("http://clipc-services.ceda.ac.uk/dreq/u/2e3e882a650986c1fdc5df05f5f10263.html","web")</f>
        <v>0</v>
      </c>
      <c r="J251" t="s">
        <v>706</v>
      </c>
      <c r="K251" t="s">
        <v>707</v>
      </c>
      <c r="M251" t="s">
        <v>705</v>
      </c>
    </row>
    <row r="252" spans="1:13">
      <c r="A252" t="s">
        <v>616</v>
      </c>
      <c r="B252" t="s">
        <v>708</v>
      </c>
      <c r="C252" t="s">
        <v>35</v>
      </c>
      <c r="D252" t="s">
        <v>703</v>
      </c>
      <c r="E252" t="s">
        <v>709</v>
      </c>
      <c r="F252" t="s">
        <v>705</v>
      </c>
      <c r="G252">
        <f>HYPERLINK("http://clipc-services.ceda.ac.uk/dreq/u/88f1496a06008de969d5913384e6cb17.html","web")</f>
        <v>0</v>
      </c>
      <c r="J252" t="s">
        <v>710</v>
      </c>
      <c r="K252" t="s">
        <v>707</v>
      </c>
      <c r="M252" t="s">
        <v>705</v>
      </c>
    </row>
    <row r="253" spans="1:13">
      <c r="A253" t="s">
        <v>616</v>
      </c>
      <c r="B253" t="s">
        <v>711</v>
      </c>
      <c r="C253" t="s">
        <v>35</v>
      </c>
      <c r="D253" t="s">
        <v>703</v>
      </c>
      <c r="E253" t="s">
        <v>712</v>
      </c>
      <c r="F253" t="s">
        <v>705</v>
      </c>
      <c r="G253">
        <f>HYPERLINK("http://clipc-services.ceda.ac.uk/dreq/u/cfc72744e73c1f6116661e251316c04f.html","web")</f>
        <v>0</v>
      </c>
      <c r="J253" t="s">
        <v>713</v>
      </c>
      <c r="K253" t="s">
        <v>707</v>
      </c>
      <c r="M253" t="s">
        <v>705</v>
      </c>
    </row>
    <row r="254" spans="1:13">
      <c r="A254" t="s">
        <v>616</v>
      </c>
      <c r="B254" t="s">
        <v>714</v>
      </c>
      <c r="C254" t="s">
        <v>50</v>
      </c>
      <c r="D254" t="s">
        <v>85</v>
      </c>
      <c r="E254" t="s">
        <v>715</v>
      </c>
      <c r="F254" t="s">
        <v>74</v>
      </c>
      <c r="G254">
        <f>HYPERLINK("http://clipc-services.ceda.ac.uk/dreq/u/bd938fec017c18d3eee106db55f924c5.html","web")</f>
        <v>0</v>
      </c>
      <c r="J254" t="s">
        <v>716</v>
      </c>
      <c r="K254" t="s">
        <v>717</v>
      </c>
      <c r="M254" t="s">
        <v>74</v>
      </c>
    </row>
    <row r="255" spans="1:13">
      <c r="A255" t="s">
        <v>616</v>
      </c>
      <c r="B255" t="s">
        <v>718</v>
      </c>
      <c r="C255" t="s">
        <v>50</v>
      </c>
      <c r="D255" t="s">
        <v>85</v>
      </c>
      <c r="E255" t="s">
        <v>719</v>
      </c>
      <c r="F255" t="s">
        <v>74</v>
      </c>
      <c r="G255">
        <f>HYPERLINK("http://clipc-services.ceda.ac.uk/dreq/u/155ede0bff2578a736e6379552483f4e.html","web")</f>
        <v>0</v>
      </c>
      <c r="J255" t="s">
        <v>720</v>
      </c>
      <c r="K255" t="s">
        <v>717</v>
      </c>
      <c r="M255" t="s">
        <v>74</v>
      </c>
    </row>
    <row r="256" spans="1:13">
      <c r="A256" t="s">
        <v>616</v>
      </c>
      <c r="B256" t="s">
        <v>721</v>
      </c>
      <c r="C256" t="s">
        <v>35</v>
      </c>
      <c r="D256" t="s">
        <v>85</v>
      </c>
      <c r="E256" t="s">
        <v>722</v>
      </c>
      <c r="F256" t="s">
        <v>74</v>
      </c>
      <c r="G256">
        <f>HYPERLINK("http://clipc-services.ceda.ac.uk/dreq/u/1b7e762395c4de9ec5c5c7bda3ce3781.html","web")</f>
        <v>0</v>
      </c>
      <c r="J256" t="s">
        <v>723</v>
      </c>
      <c r="K256" t="s">
        <v>724</v>
      </c>
      <c r="M256" t="s">
        <v>74</v>
      </c>
    </row>
    <row r="257" spans="1:13">
      <c r="A257" t="s">
        <v>616</v>
      </c>
      <c r="B257" t="s">
        <v>725</v>
      </c>
      <c r="C257" t="s">
        <v>35</v>
      </c>
      <c r="D257" t="s">
        <v>152</v>
      </c>
      <c r="E257" t="s">
        <v>722</v>
      </c>
      <c r="F257" t="s">
        <v>74</v>
      </c>
      <c r="G257">
        <f>HYPERLINK("http://clipc-services.ceda.ac.uk/dreq/u/1b7e762395c4de9ec5c5c7bda3ce3781.html","web")</f>
        <v>0</v>
      </c>
      <c r="J257" t="s">
        <v>723</v>
      </c>
      <c r="K257" t="s">
        <v>724</v>
      </c>
      <c r="M257" t="s">
        <v>74</v>
      </c>
    </row>
    <row r="258" spans="1:13">
      <c r="A258" t="s">
        <v>616</v>
      </c>
      <c r="B258" t="s">
        <v>726</v>
      </c>
      <c r="C258" t="s">
        <v>50</v>
      </c>
      <c r="D258" t="s">
        <v>85</v>
      </c>
      <c r="E258" t="s">
        <v>727</v>
      </c>
      <c r="F258" t="s">
        <v>74</v>
      </c>
      <c r="G258">
        <f>HYPERLINK("http://clipc-services.ceda.ac.uk/dreq/u/22fae57fa6f2e7e2744a3a9fe3c0dbca.html","web")</f>
        <v>0</v>
      </c>
      <c r="J258" t="s">
        <v>728</v>
      </c>
      <c r="K258" t="s">
        <v>717</v>
      </c>
      <c r="M258" t="s">
        <v>74</v>
      </c>
    </row>
    <row r="259" spans="1:13">
      <c r="A259" t="s">
        <v>616</v>
      </c>
      <c r="B259" t="s">
        <v>729</v>
      </c>
      <c r="C259" t="s">
        <v>16</v>
      </c>
      <c r="D259" t="s">
        <v>657</v>
      </c>
      <c r="E259" t="s">
        <v>730</v>
      </c>
      <c r="F259" t="s">
        <v>169</v>
      </c>
      <c r="G259">
        <f>HYPERLINK("http://clipc-services.ceda.ac.uk/dreq/u/9c4f9fe04addd510e5fbedd35e01a5db.html","web")</f>
        <v>0</v>
      </c>
      <c r="J259" t="s">
        <v>731</v>
      </c>
      <c r="K259" t="s">
        <v>732</v>
      </c>
      <c r="M259" t="s">
        <v>169</v>
      </c>
    </row>
    <row r="260" spans="1:13">
      <c r="A260" t="s">
        <v>616</v>
      </c>
      <c r="B260" t="s">
        <v>733</v>
      </c>
      <c r="C260" t="s">
        <v>16</v>
      </c>
      <c r="D260" t="s">
        <v>152</v>
      </c>
      <c r="E260" t="s">
        <v>225</v>
      </c>
      <c r="F260" t="s">
        <v>169</v>
      </c>
      <c r="G260">
        <f>HYPERLINK("http://clipc-services.ceda.ac.uk/dreq/u/baf651d5dbd448df196faedae8a97b22.html","web")</f>
        <v>0</v>
      </c>
      <c r="J260" t="s">
        <v>734</v>
      </c>
      <c r="K260" t="s">
        <v>626</v>
      </c>
      <c r="M260" t="s">
        <v>169</v>
      </c>
    </row>
    <row r="261" spans="1:13">
      <c r="A261" t="s">
        <v>616</v>
      </c>
      <c r="B261" t="s">
        <v>735</v>
      </c>
      <c r="C261" t="s">
        <v>16</v>
      </c>
      <c r="D261" t="s">
        <v>152</v>
      </c>
      <c r="E261" t="s">
        <v>736</v>
      </c>
      <c r="F261" t="s">
        <v>169</v>
      </c>
      <c r="G261">
        <f>HYPERLINK("http://clipc-services.ceda.ac.uk/dreq/u/4f6a8297671856ee117fa285ad5d6e88.html","web")</f>
        <v>0</v>
      </c>
      <c r="J261" t="s">
        <v>737</v>
      </c>
      <c r="K261" t="s">
        <v>617</v>
      </c>
      <c r="M261" t="s">
        <v>169</v>
      </c>
    </row>
    <row r="262" spans="1:13">
      <c r="A262" t="s">
        <v>616</v>
      </c>
      <c r="B262" t="s">
        <v>738</v>
      </c>
      <c r="C262" t="s">
        <v>16</v>
      </c>
      <c r="D262" t="s">
        <v>152</v>
      </c>
      <c r="E262" t="s">
        <v>739</v>
      </c>
      <c r="F262" t="s">
        <v>169</v>
      </c>
      <c r="G262">
        <f>HYPERLINK("http://clipc-services.ceda.ac.uk/dreq/u/923468afd1b3d19662d02978682c305f.html","web")</f>
        <v>0</v>
      </c>
      <c r="J262" t="s">
        <v>740</v>
      </c>
      <c r="K262" t="s">
        <v>617</v>
      </c>
      <c r="M262" t="s">
        <v>169</v>
      </c>
    </row>
    <row r="263" spans="1:13">
      <c r="A263" t="s">
        <v>616</v>
      </c>
      <c r="B263" t="s">
        <v>741</v>
      </c>
      <c r="C263" t="s">
        <v>50</v>
      </c>
      <c r="D263" t="s">
        <v>152</v>
      </c>
      <c r="E263" t="s">
        <v>742</v>
      </c>
      <c r="F263" t="s">
        <v>47</v>
      </c>
      <c r="G263">
        <f>HYPERLINK("http://clipc-services.ceda.ac.uk/dreq/u/ede7b0fb492e75c5fb9139996880695a.html","web")</f>
        <v>0</v>
      </c>
      <c r="J263" t="s">
        <v>743</v>
      </c>
      <c r="K263" t="s">
        <v>617</v>
      </c>
      <c r="M263" t="s">
        <v>47</v>
      </c>
    </row>
    <row r="264" spans="1:13">
      <c r="A264" t="s">
        <v>616</v>
      </c>
      <c r="B264" t="s">
        <v>744</v>
      </c>
      <c r="C264" t="s">
        <v>16</v>
      </c>
      <c r="D264" t="s">
        <v>152</v>
      </c>
      <c r="E264" t="s">
        <v>258</v>
      </c>
      <c r="F264" t="s">
        <v>169</v>
      </c>
      <c r="G264">
        <f>HYPERLINK("http://clipc-services.ceda.ac.uk/dreq/u/e52807e8-dd83-11e5-9194-ac72891c3257.html","web")</f>
        <v>0</v>
      </c>
      <c r="J264" t="s">
        <v>745</v>
      </c>
      <c r="K264" t="s">
        <v>626</v>
      </c>
      <c r="M264" t="s">
        <v>169</v>
      </c>
    </row>
    <row r="265" spans="1:13">
      <c r="A265" t="s">
        <v>616</v>
      </c>
      <c r="B265" t="s">
        <v>746</v>
      </c>
      <c r="C265" t="s">
        <v>16</v>
      </c>
      <c r="D265" t="s">
        <v>152</v>
      </c>
      <c r="E265" t="s">
        <v>261</v>
      </c>
      <c r="F265" t="s">
        <v>169</v>
      </c>
      <c r="G265">
        <f>HYPERLINK("http://clipc-services.ceda.ac.uk/dreq/u/e5287110-dd83-11e5-9194-ac72891c3257.html","web")</f>
        <v>0</v>
      </c>
      <c r="J265" t="s">
        <v>747</v>
      </c>
      <c r="K265" t="s">
        <v>626</v>
      </c>
      <c r="M265" t="s">
        <v>169</v>
      </c>
    </row>
    <row r="266" spans="1:13">
      <c r="A266" t="s">
        <v>616</v>
      </c>
      <c r="B266" t="s">
        <v>748</v>
      </c>
      <c r="C266" t="s">
        <v>16</v>
      </c>
      <c r="D266" t="s">
        <v>152</v>
      </c>
      <c r="E266" t="s">
        <v>749</v>
      </c>
      <c r="F266" t="s">
        <v>35</v>
      </c>
      <c r="G266">
        <f>HYPERLINK("http://clipc-services.ceda.ac.uk/dreq/u/4e0d59a6102625043f701d5527c44957.html","web")</f>
        <v>0</v>
      </c>
      <c r="J266" t="s">
        <v>750</v>
      </c>
      <c r="K266" t="s">
        <v>645</v>
      </c>
      <c r="M266" t="s">
        <v>35</v>
      </c>
    </row>
    <row r="267" spans="1:13">
      <c r="A267" t="s">
        <v>616</v>
      </c>
      <c r="B267" t="s">
        <v>751</v>
      </c>
      <c r="C267" t="s">
        <v>16</v>
      </c>
      <c r="D267" t="s">
        <v>152</v>
      </c>
      <c r="E267" t="s">
        <v>752</v>
      </c>
      <c r="F267" t="s">
        <v>35</v>
      </c>
      <c r="G267">
        <f>HYPERLINK("http://clipc-services.ceda.ac.uk/dreq/u/98544553b7ee286405344aa2e3e88c8e.html","web")</f>
        <v>0</v>
      </c>
      <c r="J267" t="s">
        <v>753</v>
      </c>
      <c r="K267" t="s">
        <v>645</v>
      </c>
      <c r="M267" t="s">
        <v>35</v>
      </c>
    </row>
    <row r="268" spans="1:13">
      <c r="A268" t="s">
        <v>616</v>
      </c>
      <c r="B268" t="s">
        <v>754</v>
      </c>
      <c r="C268" t="s">
        <v>16</v>
      </c>
      <c r="D268" t="s">
        <v>152</v>
      </c>
      <c r="E268" t="s">
        <v>755</v>
      </c>
      <c r="F268" t="s">
        <v>35</v>
      </c>
      <c r="G268">
        <f>HYPERLINK("http://clipc-services.ceda.ac.uk/dreq/u/b73b4f189e333c9c2426d55fbdfad32f.html","web")</f>
        <v>0</v>
      </c>
      <c r="J268" t="s">
        <v>756</v>
      </c>
      <c r="K268" t="s">
        <v>645</v>
      </c>
      <c r="M268" t="s">
        <v>35</v>
      </c>
    </row>
    <row r="269" spans="1:13">
      <c r="A269" t="s">
        <v>616</v>
      </c>
      <c r="B269" t="s">
        <v>757</v>
      </c>
      <c r="C269" t="s">
        <v>16</v>
      </c>
      <c r="D269" t="s">
        <v>152</v>
      </c>
      <c r="E269" t="s">
        <v>758</v>
      </c>
      <c r="F269" t="s">
        <v>35</v>
      </c>
      <c r="G269">
        <f>HYPERLINK("http://clipc-services.ceda.ac.uk/dreq/u/bbca9d7202577ef64ed889685489a6aa.html","web")</f>
        <v>0</v>
      </c>
      <c r="J269" t="s">
        <v>759</v>
      </c>
      <c r="K269" t="s">
        <v>645</v>
      </c>
      <c r="M269" t="s">
        <v>35</v>
      </c>
    </row>
    <row r="270" spans="1:13">
      <c r="A270" t="s">
        <v>616</v>
      </c>
      <c r="B270" t="s">
        <v>760</v>
      </c>
      <c r="C270" t="s">
        <v>16</v>
      </c>
      <c r="D270" t="s">
        <v>152</v>
      </c>
      <c r="E270" t="s">
        <v>761</v>
      </c>
      <c r="F270" t="s">
        <v>35</v>
      </c>
      <c r="G270">
        <f>HYPERLINK("http://clipc-services.ceda.ac.uk/dreq/u/9d815caba4e72a31b250865a534d95bd.html","web")</f>
        <v>0</v>
      </c>
      <c r="J270" t="s">
        <v>762</v>
      </c>
      <c r="K270" t="s">
        <v>645</v>
      </c>
      <c r="M270" t="s">
        <v>35</v>
      </c>
    </row>
    <row r="271" spans="1:13">
      <c r="A271" t="s">
        <v>616</v>
      </c>
      <c r="B271" t="s">
        <v>763</v>
      </c>
      <c r="C271" t="s">
        <v>16</v>
      </c>
      <c r="D271" t="s">
        <v>152</v>
      </c>
      <c r="E271" t="s">
        <v>764</v>
      </c>
      <c r="F271" t="s">
        <v>35</v>
      </c>
      <c r="G271">
        <f>HYPERLINK("http://clipc-services.ceda.ac.uk/dreq/u/1e8aa2d7958602eef45a81400ab57bd5.html","web")</f>
        <v>0</v>
      </c>
      <c r="J271" t="s">
        <v>765</v>
      </c>
      <c r="K271" t="s">
        <v>645</v>
      </c>
      <c r="M271" t="s">
        <v>35</v>
      </c>
    </row>
    <row r="272" spans="1:13">
      <c r="A272" t="s">
        <v>616</v>
      </c>
      <c r="B272" t="s">
        <v>766</v>
      </c>
      <c r="C272" t="s">
        <v>16</v>
      </c>
      <c r="D272" t="s">
        <v>152</v>
      </c>
      <c r="E272" t="s">
        <v>767</v>
      </c>
      <c r="F272" t="s">
        <v>35</v>
      </c>
      <c r="G272">
        <f>HYPERLINK("http://clipc-services.ceda.ac.uk/dreq/u/197a59d0c69811cf92e1e7bcbe56cb61.html","web")</f>
        <v>0</v>
      </c>
      <c r="J272" t="s">
        <v>768</v>
      </c>
      <c r="K272" t="s">
        <v>645</v>
      </c>
      <c r="M272" t="s">
        <v>35</v>
      </c>
    </row>
    <row r="273" spans="1:13">
      <c r="A273" t="s">
        <v>616</v>
      </c>
      <c r="B273" t="s">
        <v>769</v>
      </c>
      <c r="C273" t="s">
        <v>50</v>
      </c>
      <c r="D273" t="s">
        <v>152</v>
      </c>
      <c r="E273" t="s">
        <v>770</v>
      </c>
      <c r="F273" t="s">
        <v>35</v>
      </c>
      <c r="G273">
        <f>HYPERLINK("http://clipc-services.ceda.ac.uk/dreq/u/f1b2785c2f21b3ca1fbe97a1152920f6.html","web")</f>
        <v>0</v>
      </c>
      <c r="J273" t="s">
        <v>771</v>
      </c>
      <c r="K273" t="s">
        <v>645</v>
      </c>
      <c r="M273" t="s">
        <v>35</v>
      </c>
    </row>
    <row r="274" spans="1:13">
      <c r="A274" t="s">
        <v>616</v>
      </c>
      <c r="B274" t="s">
        <v>772</v>
      </c>
      <c r="C274" t="s">
        <v>16</v>
      </c>
      <c r="D274" t="s">
        <v>152</v>
      </c>
      <c r="E274" t="s">
        <v>773</v>
      </c>
      <c r="F274" t="s">
        <v>35</v>
      </c>
      <c r="G274">
        <f>HYPERLINK("http://clipc-services.ceda.ac.uk/dreq/u/fd9db3b1f9e7f5e778bebf3c16a344f6.html","web")</f>
        <v>0</v>
      </c>
      <c r="J274" t="s">
        <v>774</v>
      </c>
      <c r="K274" t="s">
        <v>645</v>
      </c>
      <c r="M274" t="s">
        <v>35</v>
      </c>
    </row>
    <row r="275" spans="1:13">
      <c r="A275" t="s">
        <v>616</v>
      </c>
      <c r="B275" t="s">
        <v>775</v>
      </c>
      <c r="C275" t="s">
        <v>35</v>
      </c>
      <c r="D275" t="s">
        <v>776</v>
      </c>
      <c r="E275" t="s">
        <v>777</v>
      </c>
      <c r="F275" t="s">
        <v>354</v>
      </c>
      <c r="G275">
        <f>HYPERLINK("http://clipc-services.ceda.ac.uk/dreq/u/faeffb2438794e8400143533d61d1623.html","web")</f>
        <v>0</v>
      </c>
      <c r="J275" t="s">
        <v>778</v>
      </c>
      <c r="K275" t="s">
        <v>724</v>
      </c>
      <c r="M275" t="s">
        <v>354</v>
      </c>
    </row>
    <row r="276" spans="1:13">
      <c r="A276" t="s">
        <v>616</v>
      </c>
      <c r="B276" t="s">
        <v>779</v>
      </c>
      <c r="C276" t="s">
        <v>35</v>
      </c>
      <c r="D276" t="s">
        <v>776</v>
      </c>
      <c r="E276" t="s">
        <v>780</v>
      </c>
      <c r="F276" t="s">
        <v>354</v>
      </c>
      <c r="G276">
        <f>HYPERLINK("http://clipc-services.ceda.ac.uk/dreq/u/54bc1fc90fca4b22cd73cc18e3f6ec07.html","web")</f>
        <v>0</v>
      </c>
      <c r="J276" t="s">
        <v>781</v>
      </c>
      <c r="K276" t="s">
        <v>707</v>
      </c>
      <c r="M276" t="s">
        <v>354</v>
      </c>
    </row>
    <row r="277" spans="1:13">
      <c r="A277" t="s">
        <v>616</v>
      </c>
      <c r="B277" t="s">
        <v>782</v>
      </c>
      <c r="C277" t="s">
        <v>35</v>
      </c>
      <c r="D277" t="s">
        <v>783</v>
      </c>
      <c r="E277" t="s">
        <v>777</v>
      </c>
      <c r="F277" t="s">
        <v>354</v>
      </c>
      <c r="G277">
        <f>HYPERLINK("http://clipc-services.ceda.ac.uk/dreq/u/fe8d7416c92bdae56503590599286800.html","web")</f>
        <v>0</v>
      </c>
      <c r="J277" t="s">
        <v>778</v>
      </c>
      <c r="K277" t="s">
        <v>784</v>
      </c>
      <c r="M277" t="s">
        <v>354</v>
      </c>
    </row>
    <row r="278" spans="1:13">
      <c r="A278" t="s">
        <v>616</v>
      </c>
      <c r="B278" t="s">
        <v>785</v>
      </c>
      <c r="C278" t="s">
        <v>35</v>
      </c>
      <c r="D278" t="s">
        <v>783</v>
      </c>
      <c r="E278" t="s">
        <v>780</v>
      </c>
      <c r="F278" t="s">
        <v>354</v>
      </c>
      <c r="G278">
        <f>HYPERLINK("http://clipc-services.ceda.ac.uk/dreq/u/bd75f065fbaddd5d92f4767c6d6baaff.html","web")</f>
        <v>0</v>
      </c>
      <c r="J278" t="s">
        <v>781</v>
      </c>
      <c r="K278" t="s">
        <v>786</v>
      </c>
      <c r="M278" t="s">
        <v>354</v>
      </c>
    </row>
    <row r="279" spans="1:13">
      <c r="A279" t="s">
        <v>616</v>
      </c>
      <c r="B279" t="s">
        <v>787</v>
      </c>
      <c r="C279" t="s">
        <v>35</v>
      </c>
      <c r="D279" t="s">
        <v>783</v>
      </c>
      <c r="E279" t="s">
        <v>788</v>
      </c>
      <c r="F279" t="s">
        <v>354</v>
      </c>
      <c r="G279">
        <f>HYPERLINK("http://clipc-services.ceda.ac.uk/dreq/u/136d81b44d45d8f7c549469ff69a74a7.html","web")</f>
        <v>0</v>
      </c>
      <c r="J279" t="s">
        <v>789</v>
      </c>
      <c r="K279" t="s">
        <v>707</v>
      </c>
      <c r="M279" t="s">
        <v>354</v>
      </c>
    </row>
    <row r="280" spans="1:13">
      <c r="A280" t="s">
        <v>616</v>
      </c>
      <c r="B280" t="s">
        <v>790</v>
      </c>
      <c r="C280" t="s">
        <v>35</v>
      </c>
      <c r="D280" t="s">
        <v>791</v>
      </c>
      <c r="E280" t="s">
        <v>792</v>
      </c>
      <c r="F280" t="s">
        <v>354</v>
      </c>
      <c r="G280">
        <f>HYPERLINK("http://clipc-services.ceda.ac.uk/dreq/u/29a3aaf848070fb8ff4ecb7aa2dfa2eb.html","web")</f>
        <v>0</v>
      </c>
      <c r="J280" t="s">
        <v>778</v>
      </c>
      <c r="K280" t="s">
        <v>707</v>
      </c>
      <c r="M280" t="s">
        <v>354</v>
      </c>
    </row>
    <row r="281" spans="1:13">
      <c r="A281" t="s">
        <v>616</v>
      </c>
      <c r="B281" t="s">
        <v>793</v>
      </c>
      <c r="C281" t="s">
        <v>35</v>
      </c>
      <c r="D281" t="s">
        <v>791</v>
      </c>
      <c r="E281" t="s">
        <v>794</v>
      </c>
      <c r="F281" t="s">
        <v>354</v>
      </c>
      <c r="G281">
        <f>HYPERLINK("http://clipc-services.ceda.ac.uk/dreq/u/66a6e45b205b239932b72fa67a6500ed.html","web")</f>
        <v>0</v>
      </c>
      <c r="J281" t="s">
        <v>781</v>
      </c>
      <c r="K281" t="s">
        <v>724</v>
      </c>
      <c r="M281" t="s">
        <v>354</v>
      </c>
    </row>
    <row r="282" spans="1:13">
      <c r="A282" t="s">
        <v>616</v>
      </c>
      <c r="B282" t="s">
        <v>795</v>
      </c>
      <c r="C282" t="s">
        <v>35</v>
      </c>
      <c r="D282" t="s">
        <v>796</v>
      </c>
      <c r="E282" t="s">
        <v>794</v>
      </c>
      <c r="F282" t="s">
        <v>354</v>
      </c>
      <c r="G282">
        <f>HYPERLINK("http://clipc-services.ceda.ac.uk/dreq/u/481469b8223841a5382d43e7c6ae204e.html","web")</f>
        <v>0</v>
      </c>
      <c r="J282" t="s">
        <v>781</v>
      </c>
      <c r="K282" t="s">
        <v>707</v>
      </c>
      <c r="M282" t="s">
        <v>354</v>
      </c>
    </row>
    <row r="283" spans="1:13">
      <c r="A283" t="s">
        <v>616</v>
      </c>
      <c r="B283" t="s">
        <v>797</v>
      </c>
      <c r="C283" t="s">
        <v>35</v>
      </c>
      <c r="D283" t="s">
        <v>783</v>
      </c>
      <c r="E283" t="s">
        <v>798</v>
      </c>
      <c r="F283" t="s">
        <v>354</v>
      </c>
      <c r="G283">
        <f>HYPERLINK("http://clipc-services.ceda.ac.uk/dreq/u/2ac2d8645abddc0eb9fe53a7ea680465.html","web")</f>
        <v>0</v>
      </c>
      <c r="J283" t="s">
        <v>789</v>
      </c>
      <c r="K283" t="s">
        <v>707</v>
      </c>
      <c r="M283" t="s">
        <v>354</v>
      </c>
    </row>
    <row r="284" spans="1:13">
      <c r="A284" t="s">
        <v>616</v>
      </c>
      <c r="B284" t="s">
        <v>190</v>
      </c>
      <c r="C284" t="s">
        <v>16</v>
      </c>
      <c r="D284" t="s">
        <v>85</v>
      </c>
      <c r="E284" t="s">
        <v>191</v>
      </c>
      <c r="F284" t="s">
        <v>87</v>
      </c>
      <c r="G284">
        <f>HYPERLINK("http://clipc-services.ceda.ac.uk/dreq/u/e4e75ce1fe85a547cd0d39d4b64ec0e2.html","web")</f>
        <v>0</v>
      </c>
      <c r="J284" t="s">
        <v>192</v>
      </c>
      <c r="K284" t="s">
        <v>623</v>
      </c>
      <c r="M284" t="s">
        <v>87</v>
      </c>
    </row>
    <row r="285" spans="1:13">
      <c r="A285" t="s">
        <v>616</v>
      </c>
      <c r="B285" t="s">
        <v>799</v>
      </c>
      <c r="C285" t="s">
        <v>50</v>
      </c>
      <c r="D285" t="s">
        <v>152</v>
      </c>
      <c r="E285" t="s">
        <v>800</v>
      </c>
      <c r="F285" t="s">
        <v>87</v>
      </c>
      <c r="G285">
        <f>HYPERLINK("http://clipc-services.ceda.ac.uk/dreq/u/c96daba6-c5f0-11e6-ac20-5404a60d96b5.html","web")</f>
        <v>0</v>
      </c>
      <c r="J285" t="s">
        <v>192</v>
      </c>
      <c r="K285" t="s">
        <v>617</v>
      </c>
      <c r="M285" t="s">
        <v>87</v>
      </c>
    </row>
    <row r="286" spans="1:13">
      <c r="A286" t="s">
        <v>616</v>
      </c>
      <c r="B286" t="s">
        <v>801</v>
      </c>
      <c r="C286" t="s">
        <v>16</v>
      </c>
      <c r="D286" t="s">
        <v>657</v>
      </c>
      <c r="E286" t="s">
        <v>802</v>
      </c>
      <c r="F286" t="s">
        <v>169</v>
      </c>
      <c r="G286">
        <f>HYPERLINK("http://clipc-services.ceda.ac.uk/dreq/u/5be0620fea71e2541aa08aac57ed9243.html","web")</f>
        <v>0</v>
      </c>
      <c r="J286" t="s">
        <v>803</v>
      </c>
      <c r="K286" t="s">
        <v>732</v>
      </c>
      <c r="M286" t="s">
        <v>169</v>
      </c>
    </row>
    <row r="287" spans="1:13">
      <c r="A287" t="s">
        <v>616</v>
      </c>
      <c r="B287" t="s">
        <v>227</v>
      </c>
      <c r="C287" t="s">
        <v>16</v>
      </c>
      <c r="D287" t="s">
        <v>85</v>
      </c>
      <c r="E287" t="s">
        <v>228</v>
      </c>
      <c r="F287" t="s">
        <v>35</v>
      </c>
      <c r="G287">
        <f>HYPERLINK("http://clipc-services.ceda.ac.uk/dreq/u/c977c2da-c5f0-11e6-ac20-5404a60d96b5.html","web")</f>
        <v>0</v>
      </c>
      <c r="J287" t="s">
        <v>229</v>
      </c>
      <c r="K287" t="s">
        <v>623</v>
      </c>
      <c r="M287" t="s">
        <v>35</v>
      </c>
    </row>
    <row r="288" spans="1:13">
      <c r="A288" t="s">
        <v>616</v>
      </c>
      <c r="B288" t="s">
        <v>804</v>
      </c>
      <c r="C288" t="s">
        <v>50</v>
      </c>
      <c r="D288" t="s">
        <v>152</v>
      </c>
      <c r="E288" t="s">
        <v>805</v>
      </c>
      <c r="F288" t="s">
        <v>35</v>
      </c>
      <c r="G288">
        <f>HYPERLINK("http://clipc-services.ceda.ac.uk/dreq/u/c96d8ffe-c5f0-11e6-ac20-5404a60d96b5.html","web")</f>
        <v>0</v>
      </c>
      <c r="J288" t="s">
        <v>232</v>
      </c>
      <c r="K288" t="s">
        <v>617</v>
      </c>
      <c r="M288" t="s">
        <v>35</v>
      </c>
    </row>
    <row r="289" spans="1:13">
      <c r="A289" t="s">
        <v>616</v>
      </c>
      <c r="B289" t="s">
        <v>230</v>
      </c>
      <c r="C289" t="s">
        <v>16</v>
      </c>
      <c r="D289" t="s">
        <v>85</v>
      </c>
      <c r="E289" t="s">
        <v>231</v>
      </c>
      <c r="F289" t="s">
        <v>35</v>
      </c>
      <c r="G289">
        <f>HYPERLINK("http://clipc-services.ceda.ac.uk/dreq/u/c97004d2-c5f0-11e6-ac20-5404a60d96b5.html","web")</f>
        <v>0</v>
      </c>
      <c r="J289" t="s">
        <v>232</v>
      </c>
      <c r="K289" t="s">
        <v>623</v>
      </c>
      <c r="M289" t="s">
        <v>35</v>
      </c>
    </row>
    <row r="290" spans="1:13">
      <c r="A290" t="s">
        <v>616</v>
      </c>
      <c r="B290" t="s">
        <v>806</v>
      </c>
      <c r="C290" t="s">
        <v>50</v>
      </c>
      <c r="D290" t="s">
        <v>152</v>
      </c>
      <c r="E290" t="s">
        <v>807</v>
      </c>
      <c r="F290" t="s">
        <v>35</v>
      </c>
      <c r="G290">
        <f>HYPERLINK("http://clipc-services.ceda.ac.uk/dreq/u/c96d8090-c5f0-11e6-ac20-5404a60d96b5.html","web")</f>
        <v>0</v>
      </c>
      <c r="J290" t="s">
        <v>232</v>
      </c>
      <c r="K290" t="s">
        <v>617</v>
      </c>
      <c r="M290" t="s">
        <v>35</v>
      </c>
    </row>
    <row r="291" spans="1:13">
      <c r="A291" t="s">
        <v>616</v>
      </c>
      <c r="B291" t="s">
        <v>233</v>
      </c>
      <c r="C291" t="s">
        <v>50</v>
      </c>
      <c r="D291" t="s">
        <v>85</v>
      </c>
      <c r="E291" t="s">
        <v>234</v>
      </c>
      <c r="F291" t="s">
        <v>87</v>
      </c>
      <c r="G291">
        <f>HYPERLINK("http://clipc-services.ceda.ac.uk/dreq/u/38c7aa97ad0f74e33dfd3f115124d04f.html","web")</f>
        <v>0</v>
      </c>
      <c r="J291" t="s">
        <v>235</v>
      </c>
      <c r="K291" t="s">
        <v>617</v>
      </c>
      <c r="M291" t="s">
        <v>87</v>
      </c>
    </row>
    <row r="292" spans="1:13">
      <c r="A292" t="s">
        <v>616</v>
      </c>
      <c r="B292" t="s">
        <v>808</v>
      </c>
      <c r="C292" t="s">
        <v>16</v>
      </c>
      <c r="D292" t="s">
        <v>152</v>
      </c>
      <c r="E292" t="s">
        <v>809</v>
      </c>
      <c r="F292" t="s">
        <v>87</v>
      </c>
      <c r="G292">
        <f>HYPERLINK("http://clipc-services.ceda.ac.uk/dreq/u/c96cfd6e-c5f0-11e6-ac20-5404a60d96b5.html","web")</f>
        <v>0</v>
      </c>
      <c r="J292" t="s">
        <v>235</v>
      </c>
      <c r="K292" t="s">
        <v>617</v>
      </c>
      <c r="M292" t="s">
        <v>87</v>
      </c>
    </row>
    <row r="293" spans="1:13">
      <c r="A293" t="s">
        <v>616</v>
      </c>
      <c r="B293" t="s">
        <v>236</v>
      </c>
      <c r="C293" t="s">
        <v>50</v>
      </c>
      <c r="D293" t="s">
        <v>85</v>
      </c>
      <c r="E293" t="s">
        <v>237</v>
      </c>
      <c r="F293" t="s">
        <v>87</v>
      </c>
      <c r="G293">
        <f>HYPERLINK("http://clipc-services.ceda.ac.uk/dreq/u/ad7df7199759ad25164da83e37a6da17.html","web")</f>
        <v>0</v>
      </c>
      <c r="J293" t="s">
        <v>238</v>
      </c>
      <c r="K293" t="s">
        <v>617</v>
      </c>
      <c r="M293" t="s">
        <v>87</v>
      </c>
    </row>
    <row r="294" spans="1:13">
      <c r="A294" t="s">
        <v>616</v>
      </c>
      <c r="B294" t="s">
        <v>810</v>
      </c>
      <c r="C294" t="s">
        <v>16</v>
      </c>
      <c r="D294" t="s">
        <v>152</v>
      </c>
      <c r="E294" t="s">
        <v>811</v>
      </c>
      <c r="F294" t="s">
        <v>87</v>
      </c>
      <c r="G294">
        <f>HYPERLINK("http://clipc-services.ceda.ac.uk/dreq/u/c96cefb8-c5f0-11e6-ac20-5404a60d96b5.html","web")</f>
        <v>0</v>
      </c>
      <c r="J294" t="s">
        <v>238</v>
      </c>
      <c r="K294" t="s">
        <v>617</v>
      </c>
      <c r="M294" t="s">
        <v>87</v>
      </c>
    </row>
    <row r="295" spans="1:13">
      <c r="A295" t="s">
        <v>616</v>
      </c>
      <c r="B295" t="s">
        <v>239</v>
      </c>
      <c r="C295" t="s">
        <v>16</v>
      </c>
      <c r="D295" t="s">
        <v>85</v>
      </c>
      <c r="E295" t="s">
        <v>240</v>
      </c>
      <c r="F295" t="s">
        <v>87</v>
      </c>
      <c r="G295">
        <f>HYPERLINK("http://clipc-services.ceda.ac.uk/dreq/u/80f337469efdd0d5392ad995a90fd15c.html","web")</f>
        <v>0</v>
      </c>
      <c r="J295" t="s">
        <v>241</v>
      </c>
      <c r="K295" t="s">
        <v>623</v>
      </c>
      <c r="M295" t="s">
        <v>87</v>
      </c>
    </row>
    <row r="296" spans="1:13">
      <c r="A296" t="s">
        <v>616</v>
      </c>
      <c r="B296" t="s">
        <v>812</v>
      </c>
      <c r="C296" t="s">
        <v>50</v>
      </c>
      <c r="D296" t="s">
        <v>152</v>
      </c>
      <c r="E296" t="s">
        <v>813</v>
      </c>
      <c r="F296" t="s">
        <v>87</v>
      </c>
      <c r="G296">
        <f>HYPERLINK("http://clipc-services.ceda.ac.uk/dreq/u/c96e895e-c5f0-11e6-ac20-5404a60d96b5.html","web")</f>
        <v>0</v>
      </c>
      <c r="J296" t="s">
        <v>241</v>
      </c>
      <c r="K296" t="s">
        <v>626</v>
      </c>
      <c r="M296" t="s">
        <v>87</v>
      </c>
    </row>
    <row r="297" spans="1:13">
      <c r="A297" t="s">
        <v>616</v>
      </c>
      <c r="B297" t="s">
        <v>242</v>
      </c>
      <c r="C297" t="s">
        <v>16</v>
      </c>
      <c r="D297" t="s">
        <v>85</v>
      </c>
      <c r="E297" t="s">
        <v>243</v>
      </c>
      <c r="F297" t="s">
        <v>87</v>
      </c>
      <c r="G297">
        <f>HYPERLINK("http://clipc-services.ceda.ac.uk/dreq/u/1ae710e405acc14b368f55d9205be258.html","web")</f>
        <v>0</v>
      </c>
      <c r="J297" t="s">
        <v>244</v>
      </c>
      <c r="K297" t="s">
        <v>623</v>
      </c>
      <c r="M297" t="s">
        <v>87</v>
      </c>
    </row>
    <row r="298" spans="1:13">
      <c r="A298" t="s">
        <v>616</v>
      </c>
      <c r="B298" t="s">
        <v>245</v>
      </c>
      <c r="C298" t="s">
        <v>50</v>
      </c>
      <c r="D298" t="s">
        <v>85</v>
      </c>
      <c r="E298" t="s">
        <v>246</v>
      </c>
      <c r="F298" t="s">
        <v>87</v>
      </c>
      <c r="G298">
        <f>HYPERLINK("http://clipc-services.ceda.ac.uk/dreq/u/3aa265a13ddf4caa82a8e1e3d4482f42.html","web")</f>
        <v>0</v>
      </c>
      <c r="J298" t="s">
        <v>247</v>
      </c>
      <c r="K298" t="s">
        <v>626</v>
      </c>
      <c r="M298" t="s">
        <v>87</v>
      </c>
    </row>
    <row r="299" spans="1:13">
      <c r="A299" t="s">
        <v>616</v>
      </c>
      <c r="B299" t="s">
        <v>814</v>
      </c>
      <c r="C299" t="s">
        <v>16</v>
      </c>
      <c r="D299" t="s">
        <v>152</v>
      </c>
      <c r="E299" t="s">
        <v>815</v>
      </c>
      <c r="F299" t="s">
        <v>87</v>
      </c>
      <c r="G299">
        <f>HYPERLINK("http://clipc-services.ceda.ac.uk/dreq/u/c96d0cb4-c5f0-11e6-ac20-5404a60d96b5.html","web")</f>
        <v>0</v>
      </c>
      <c r="J299" t="s">
        <v>247</v>
      </c>
      <c r="K299" t="s">
        <v>617</v>
      </c>
      <c r="M299" t="s">
        <v>87</v>
      </c>
    </row>
    <row r="300" spans="1:13">
      <c r="A300" t="s">
        <v>616</v>
      </c>
      <c r="B300" t="s">
        <v>816</v>
      </c>
      <c r="C300" t="s">
        <v>50</v>
      </c>
      <c r="D300" t="s">
        <v>152</v>
      </c>
      <c r="E300" t="s">
        <v>817</v>
      </c>
      <c r="F300" t="s">
        <v>87</v>
      </c>
      <c r="G300">
        <f>HYPERLINK("http://clipc-services.ceda.ac.uk/dreq/u/c96e9778-c5f0-11e6-ac20-5404a60d96b5.html","web")</f>
        <v>0</v>
      </c>
      <c r="J300" t="s">
        <v>244</v>
      </c>
      <c r="K300" t="s">
        <v>626</v>
      </c>
      <c r="M300" t="s">
        <v>87</v>
      </c>
    </row>
    <row r="301" spans="1:13">
      <c r="A301" t="s">
        <v>616</v>
      </c>
      <c r="B301" t="s">
        <v>248</v>
      </c>
      <c r="C301" t="s">
        <v>16</v>
      </c>
      <c r="D301" t="s">
        <v>85</v>
      </c>
      <c r="E301" t="s">
        <v>249</v>
      </c>
      <c r="F301" t="s">
        <v>87</v>
      </c>
      <c r="G301">
        <f>HYPERLINK("http://clipc-services.ceda.ac.uk/dreq/u/14e5a31ac93e26c50f8c01ed9a032168.html","web")</f>
        <v>0</v>
      </c>
      <c r="J301" t="s">
        <v>250</v>
      </c>
      <c r="K301" t="s">
        <v>623</v>
      </c>
      <c r="M301" t="s">
        <v>87</v>
      </c>
    </row>
    <row r="302" spans="1:13">
      <c r="A302" t="s">
        <v>616</v>
      </c>
      <c r="B302" t="s">
        <v>818</v>
      </c>
      <c r="C302" t="s">
        <v>50</v>
      </c>
      <c r="D302" t="s">
        <v>152</v>
      </c>
      <c r="E302" t="s">
        <v>819</v>
      </c>
      <c r="F302" t="s">
        <v>87</v>
      </c>
      <c r="G302">
        <f>HYPERLINK("http://clipc-services.ceda.ac.uk/dreq/u/c96e5132-c5f0-11e6-ac20-5404a60d96b5.html","web")</f>
        <v>0</v>
      </c>
      <c r="J302" t="s">
        <v>250</v>
      </c>
      <c r="K302" t="s">
        <v>626</v>
      </c>
      <c r="M302" t="s">
        <v>87</v>
      </c>
    </row>
    <row r="303" spans="1:13">
      <c r="A303" t="s">
        <v>616</v>
      </c>
      <c r="B303" t="s">
        <v>251</v>
      </c>
      <c r="C303" t="s">
        <v>16</v>
      </c>
      <c r="D303" t="s">
        <v>85</v>
      </c>
      <c r="E303" t="s">
        <v>252</v>
      </c>
      <c r="F303" t="s">
        <v>87</v>
      </c>
      <c r="G303">
        <f>HYPERLINK("http://clipc-services.ceda.ac.uk/dreq/u/562c99ff069851867df730ed9531c796.html","web")</f>
        <v>0</v>
      </c>
      <c r="J303" t="s">
        <v>253</v>
      </c>
      <c r="K303" t="s">
        <v>623</v>
      </c>
      <c r="M303" t="s">
        <v>87</v>
      </c>
    </row>
    <row r="304" spans="1:13">
      <c r="A304" t="s">
        <v>616</v>
      </c>
      <c r="B304" t="s">
        <v>820</v>
      </c>
      <c r="C304" t="s">
        <v>50</v>
      </c>
      <c r="D304" t="s">
        <v>152</v>
      </c>
      <c r="E304" t="s">
        <v>821</v>
      </c>
      <c r="F304" t="s">
        <v>87</v>
      </c>
      <c r="G304">
        <f>HYPERLINK("http://clipc-services.ceda.ac.uk/dreq/u/c96e5fc4-c5f0-11e6-ac20-5404a60d96b5.html","web")</f>
        <v>0</v>
      </c>
      <c r="J304" t="s">
        <v>253</v>
      </c>
      <c r="K304" t="s">
        <v>626</v>
      </c>
      <c r="M304" t="s">
        <v>87</v>
      </c>
    </row>
    <row r="305" spans="1:13">
      <c r="A305" t="s">
        <v>616</v>
      </c>
      <c r="B305" t="s">
        <v>822</v>
      </c>
      <c r="C305" t="s">
        <v>35</v>
      </c>
      <c r="D305" t="s">
        <v>152</v>
      </c>
      <c r="E305" t="s">
        <v>823</v>
      </c>
      <c r="F305" t="s">
        <v>179</v>
      </c>
      <c r="G305">
        <f>HYPERLINK("http://clipc-services.ceda.ac.uk/dreq/u/ced45b8b1f2797c54425755202dce533.html","web")</f>
        <v>0</v>
      </c>
      <c r="J305" t="s">
        <v>824</v>
      </c>
      <c r="K305" t="s">
        <v>666</v>
      </c>
      <c r="M305" t="s">
        <v>179</v>
      </c>
    </row>
    <row r="306" spans="1:13">
      <c r="A306" t="s">
        <v>616</v>
      </c>
      <c r="B306" t="s">
        <v>825</v>
      </c>
      <c r="C306" t="s">
        <v>35</v>
      </c>
      <c r="D306" t="s">
        <v>657</v>
      </c>
      <c r="E306" t="s">
        <v>826</v>
      </c>
      <c r="F306" t="s">
        <v>319</v>
      </c>
      <c r="G306">
        <f>HYPERLINK("http://clipc-services.ceda.ac.uk/dreq/u/c972ffd4-c5f0-11e6-ac20-5404a60d96b5.html","web")</f>
        <v>0</v>
      </c>
      <c r="J306" t="s">
        <v>827</v>
      </c>
      <c r="K306" t="s">
        <v>617</v>
      </c>
      <c r="M306" t="s">
        <v>319</v>
      </c>
    </row>
    <row r="307" spans="1:13">
      <c r="A307" t="s">
        <v>616</v>
      </c>
      <c r="B307" t="s">
        <v>828</v>
      </c>
      <c r="C307" t="s">
        <v>35</v>
      </c>
      <c r="D307" t="s">
        <v>657</v>
      </c>
      <c r="E307" t="s">
        <v>829</v>
      </c>
      <c r="F307" t="s">
        <v>319</v>
      </c>
      <c r="G307">
        <f>HYPERLINK("http://clipc-services.ceda.ac.uk/dreq/u/c972f264-c5f0-11e6-ac20-5404a60d96b5.html","web")</f>
        <v>0</v>
      </c>
      <c r="J307" t="s">
        <v>830</v>
      </c>
      <c r="K307" t="s">
        <v>617</v>
      </c>
      <c r="M307" t="s">
        <v>319</v>
      </c>
    </row>
    <row r="308" spans="1:13">
      <c r="A308" t="s">
        <v>616</v>
      </c>
      <c r="B308" t="s">
        <v>831</v>
      </c>
      <c r="C308" t="s">
        <v>35</v>
      </c>
      <c r="D308" t="s">
        <v>152</v>
      </c>
      <c r="E308" t="s">
        <v>832</v>
      </c>
      <c r="F308" t="s">
        <v>833</v>
      </c>
      <c r="G308">
        <f>HYPERLINK("http://clipc-services.ceda.ac.uk/dreq/u/06942529e05aac1e9a39ca1f5737af2f.html","web")</f>
        <v>0</v>
      </c>
      <c r="J308" t="s">
        <v>834</v>
      </c>
      <c r="K308" t="s">
        <v>626</v>
      </c>
      <c r="M308" t="s">
        <v>833</v>
      </c>
    </row>
    <row r="309" spans="1:13">
      <c r="A309" t="s">
        <v>616</v>
      </c>
      <c r="B309" t="s">
        <v>835</v>
      </c>
      <c r="C309" t="s">
        <v>35</v>
      </c>
      <c r="D309" t="s">
        <v>152</v>
      </c>
      <c r="E309" t="s">
        <v>836</v>
      </c>
      <c r="F309" t="s">
        <v>833</v>
      </c>
      <c r="G309">
        <f>HYPERLINK("http://clipc-services.ceda.ac.uk/dreq/u/ab495084beb82a29c24bf6c226fd0e57.html","web")</f>
        <v>0</v>
      </c>
      <c r="J309" t="s">
        <v>834</v>
      </c>
      <c r="K309" t="s">
        <v>626</v>
      </c>
      <c r="M309" t="s">
        <v>833</v>
      </c>
    </row>
    <row r="310" spans="1:13">
      <c r="A310" t="s">
        <v>616</v>
      </c>
      <c r="B310" t="s">
        <v>269</v>
      </c>
      <c r="C310" t="s">
        <v>35</v>
      </c>
      <c r="D310" t="s">
        <v>85</v>
      </c>
      <c r="E310" t="s">
        <v>270</v>
      </c>
      <c r="F310" t="s">
        <v>271</v>
      </c>
      <c r="G310">
        <f>HYPERLINK("http://clipc-services.ceda.ac.uk/dreq/u/4c69515bfc84c5cb5624e94228f58351.html","web")</f>
        <v>0</v>
      </c>
      <c r="J310" t="s">
        <v>272</v>
      </c>
      <c r="K310" t="s">
        <v>837</v>
      </c>
      <c r="M310" t="s">
        <v>271</v>
      </c>
    </row>
    <row r="311" spans="1:13">
      <c r="A311" t="s">
        <v>616</v>
      </c>
      <c r="B311" t="s">
        <v>838</v>
      </c>
      <c r="C311" t="s">
        <v>50</v>
      </c>
      <c r="D311" t="s">
        <v>152</v>
      </c>
      <c r="E311" t="s">
        <v>839</v>
      </c>
      <c r="F311" t="s">
        <v>179</v>
      </c>
      <c r="G311">
        <f>HYPERLINK("http://clipc-services.ceda.ac.uk/dreq/u/f45dc6b68a774051705e099da83e79cf.html","web")</f>
        <v>0</v>
      </c>
      <c r="J311" t="s">
        <v>840</v>
      </c>
      <c r="K311" t="s">
        <v>841</v>
      </c>
      <c r="M311" t="s">
        <v>179</v>
      </c>
    </row>
    <row r="312" spans="1:13">
      <c r="A312" t="s">
        <v>616</v>
      </c>
      <c r="B312" t="s">
        <v>842</v>
      </c>
      <c r="C312" t="s">
        <v>50</v>
      </c>
      <c r="D312" t="s">
        <v>152</v>
      </c>
      <c r="E312" t="s">
        <v>843</v>
      </c>
      <c r="F312" t="s">
        <v>179</v>
      </c>
      <c r="G312">
        <f>HYPERLINK("http://clipc-services.ceda.ac.uk/dreq/u/87fbc4126ce4daecf084edf9ad1f4aaf.html","web")</f>
        <v>0</v>
      </c>
      <c r="J312" t="s">
        <v>840</v>
      </c>
      <c r="K312" t="s">
        <v>626</v>
      </c>
      <c r="M312" t="s">
        <v>179</v>
      </c>
    </row>
    <row r="313" spans="1:13">
      <c r="A313" t="s">
        <v>616</v>
      </c>
      <c r="B313" t="s">
        <v>844</v>
      </c>
      <c r="C313" t="s">
        <v>50</v>
      </c>
      <c r="D313" t="s">
        <v>152</v>
      </c>
      <c r="E313" t="s">
        <v>845</v>
      </c>
      <c r="F313" t="s">
        <v>179</v>
      </c>
      <c r="G313">
        <f>HYPERLINK("http://clipc-services.ceda.ac.uk/dreq/u/b76d616f8f03bb60a0dffa023dfd0525.html","web")</f>
        <v>0</v>
      </c>
      <c r="J313" t="s">
        <v>846</v>
      </c>
      <c r="K313" t="s">
        <v>626</v>
      </c>
      <c r="M313" t="s">
        <v>179</v>
      </c>
    </row>
    <row r="314" spans="1:13">
      <c r="A314" t="s">
        <v>616</v>
      </c>
      <c r="B314" t="s">
        <v>847</v>
      </c>
      <c r="C314" t="s">
        <v>50</v>
      </c>
      <c r="D314" t="s">
        <v>152</v>
      </c>
      <c r="E314" t="s">
        <v>848</v>
      </c>
      <c r="F314" t="s">
        <v>179</v>
      </c>
      <c r="G314">
        <f>HYPERLINK("http://clipc-services.ceda.ac.uk/dreq/u/7002f5a3bc5218f16a39f3dfabf42244.html","web")</f>
        <v>0</v>
      </c>
      <c r="J314" t="s">
        <v>846</v>
      </c>
      <c r="K314" t="s">
        <v>626</v>
      </c>
      <c r="M314" t="s">
        <v>179</v>
      </c>
    </row>
    <row r="315" spans="1:13">
      <c r="A315" t="s">
        <v>616</v>
      </c>
      <c r="B315" t="s">
        <v>849</v>
      </c>
      <c r="C315" t="s">
        <v>50</v>
      </c>
      <c r="D315" t="s">
        <v>152</v>
      </c>
      <c r="E315" t="s">
        <v>850</v>
      </c>
      <c r="F315" t="s">
        <v>179</v>
      </c>
      <c r="G315">
        <f>HYPERLINK("http://clipc-services.ceda.ac.uk/dreq/u/86e9eba62a2d7875705086a75ba7f78c.html","web")</f>
        <v>0</v>
      </c>
      <c r="J315" t="s">
        <v>846</v>
      </c>
      <c r="K315" t="s">
        <v>626</v>
      </c>
      <c r="M315" t="s">
        <v>179</v>
      </c>
    </row>
    <row r="316" spans="1:13">
      <c r="A316" t="s">
        <v>616</v>
      </c>
      <c r="B316" t="s">
        <v>851</v>
      </c>
      <c r="C316" t="s">
        <v>50</v>
      </c>
      <c r="D316" t="s">
        <v>152</v>
      </c>
      <c r="E316" t="s">
        <v>852</v>
      </c>
      <c r="F316" t="s">
        <v>179</v>
      </c>
      <c r="G316">
        <f>HYPERLINK("http://clipc-services.ceda.ac.uk/dreq/u/d0c290e7deb148591b62f8f050a885c2.html","web")</f>
        <v>0</v>
      </c>
      <c r="J316" t="s">
        <v>853</v>
      </c>
      <c r="K316" t="s">
        <v>626</v>
      </c>
      <c r="M316" t="s">
        <v>179</v>
      </c>
    </row>
    <row r="317" spans="1:13">
      <c r="A317" t="s">
        <v>616</v>
      </c>
      <c r="B317" t="s">
        <v>338</v>
      </c>
      <c r="C317" t="s">
        <v>35</v>
      </c>
      <c r="D317" t="s">
        <v>85</v>
      </c>
      <c r="E317" t="s">
        <v>339</v>
      </c>
      <c r="F317" t="s">
        <v>57</v>
      </c>
      <c r="G317">
        <f>HYPERLINK("http://clipc-services.ceda.ac.uk/dreq/u/44471dd9799293cef70ac63fcdd2476e.html","web")</f>
        <v>0</v>
      </c>
      <c r="J317" t="s">
        <v>340</v>
      </c>
      <c r="K317" t="s">
        <v>854</v>
      </c>
      <c r="M317" t="s">
        <v>57</v>
      </c>
    </row>
    <row r="318" spans="1:13">
      <c r="A318" t="s">
        <v>616</v>
      </c>
      <c r="B318" t="s">
        <v>273</v>
      </c>
      <c r="C318" t="s">
        <v>50</v>
      </c>
      <c r="D318" t="s">
        <v>85</v>
      </c>
      <c r="E318" t="s">
        <v>274</v>
      </c>
      <c r="F318" t="s">
        <v>87</v>
      </c>
      <c r="G318">
        <f>HYPERLINK("http://clipc-services.ceda.ac.uk/dreq/u/c9776970-c5f0-11e6-ac20-5404a60d96b5.html","web")</f>
        <v>0</v>
      </c>
      <c r="J318" t="s">
        <v>275</v>
      </c>
      <c r="K318" t="s">
        <v>617</v>
      </c>
      <c r="M318" t="s">
        <v>87</v>
      </c>
    </row>
    <row r="319" spans="1:13">
      <c r="A319" t="s">
        <v>616</v>
      </c>
      <c r="B319" t="s">
        <v>855</v>
      </c>
      <c r="C319" t="s">
        <v>16</v>
      </c>
      <c r="D319" t="s">
        <v>152</v>
      </c>
      <c r="E319" t="s">
        <v>856</v>
      </c>
      <c r="F319" t="s">
        <v>87</v>
      </c>
      <c r="G319">
        <f>HYPERLINK("http://clipc-services.ceda.ac.uk/dreq/u/c96d459e-c5f0-11e6-ac20-5404a60d96b5.html","web")</f>
        <v>0</v>
      </c>
      <c r="J319" t="s">
        <v>275</v>
      </c>
      <c r="K319" t="s">
        <v>617</v>
      </c>
      <c r="M319" t="s">
        <v>87</v>
      </c>
    </row>
    <row r="320" spans="1:13">
      <c r="A320" t="s">
        <v>616</v>
      </c>
      <c r="B320" t="s">
        <v>857</v>
      </c>
      <c r="C320" t="s">
        <v>16</v>
      </c>
      <c r="D320" t="s">
        <v>152</v>
      </c>
      <c r="E320" t="s">
        <v>858</v>
      </c>
      <c r="F320" t="s">
        <v>57</v>
      </c>
      <c r="G320">
        <f>HYPERLINK("http://clipc-services.ceda.ac.uk/dreq/u/f4b0302d898785a6003754fe9b097690.html","web")</f>
        <v>0</v>
      </c>
      <c r="J320" t="s">
        <v>859</v>
      </c>
      <c r="K320" t="s">
        <v>860</v>
      </c>
      <c r="M320" t="s">
        <v>57</v>
      </c>
    </row>
    <row r="321" spans="1:13">
      <c r="A321" t="s">
        <v>616</v>
      </c>
      <c r="B321" t="s">
        <v>861</v>
      </c>
      <c r="C321" t="s">
        <v>16</v>
      </c>
      <c r="D321" t="s">
        <v>152</v>
      </c>
      <c r="E321" t="s">
        <v>862</v>
      </c>
      <c r="F321" t="s">
        <v>57</v>
      </c>
      <c r="G321">
        <f>HYPERLINK("http://clipc-services.ceda.ac.uk/dreq/u/7324bbd4b756759ef380f305fe5856b2.html","web")</f>
        <v>0</v>
      </c>
      <c r="J321" t="s">
        <v>863</v>
      </c>
      <c r="K321" t="s">
        <v>860</v>
      </c>
      <c r="M321" t="s">
        <v>57</v>
      </c>
    </row>
    <row r="323" spans="1:13">
      <c r="A323" t="s">
        <v>864</v>
      </c>
      <c r="B323" t="s">
        <v>71</v>
      </c>
      <c r="C323" t="s">
        <v>16</v>
      </c>
      <c r="D323" t="s">
        <v>865</v>
      </c>
      <c r="E323" t="s">
        <v>73</v>
      </c>
      <c r="F323" t="s">
        <v>74</v>
      </c>
      <c r="G323">
        <f>HYPERLINK("http://clipc-services.ceda.ac.uk/dreq/u/5914a1ea-9e49-11e5-803c-0d0b866b59f3.html","web")</f>
        <v>0</v>
      </c>
      <c r="J323" t="s">
        <v>75</v>
      </c>
      <c r="K323" t="s">
        <v>76</v>
      </c>
      <c r="M323" t="s">
        <v>74</v>
      </c>
    </row>
    <row r="324" spans="1:13">
      <c r="A324" t="s">
        <v>864</v>
      </c>
      <c r="B324" t="s">
        <v>77</v>
      </c>
      <c r="C324" t="s">
        <v>50</v>
      </c>
      <c r="D324" t="s">
        <v>865</v>
      </c>
      <c r="E324" t="s">
        <v>78</v>
      </c>
      <c r="F324" t="s">
        <v>57</v>
      </c>
      <c r="G324">
        <f>HYPERLINK("http://clipc-services.ceda.ac.uk/dreq/u/59176b14-9e49-11e5-803c-0d0b866b59f3.html","web")</f>
        <v>0</v>
      </c>
      <c r="J324" t="s">
        <v>79</v>
      </c>
      <c r="K324" t="s">
        <v>76</v>
      </c>
      <c r="M324" t="s">
        <v>57</v>
      </c>
    </row>
    <row r="325" spans="1:13">
      <c r="A325" t="s">
        <v>864</v>
      </c>
      <c r="B325" t="s">
        <v>80</v>
      </c>
      <c r="C325" t="s">
        <v>50</v>
      </c>
      <c r="D325" t="s">
        <v>865</v>
      </c>
      <c r="E325" t="s">
        <v>81</v>
      </c>
      <c r="F325" t="s">
        <v>57</v>
      </c>
      <c r="G325">
        <f>HYPERLINK("http://clipc-services.ceda.ac.uk/dreq/u/59148cf0-9e49-11e5-803c-0d0b866b59f3.html","web")</f>
        <v>0</v>
      </c>
      <c r="J325" t="s">
        <v>82</v>
      </c>
      <c r="K325" t="s">
        <v>76</v>
      </c>
      <c r="M325" t="s">
        <v>57</v>
      </c>
    </row>
    <row r="327" spans="1:13">
      <c r="A327" t="s">
        <v>866</v>
      </c>
      <c r="B327" t="s">
        <v>343</v>
      </c>
      <c r="C327" t="s">
        <v>50</v>
      </c>
      <c r="D327" t="s">
        <v>344</v>
      </c>
      <c r="E327" t="s">
        <v>345</v>
      </c>
      <c r="F327" t="s">
        <v>346</v>
      </c>
      <c r="G327">
        <f>HYPERLINK("http://clipc-services.ceda.ac.uk/dreq/u/9522ca96d0b066ebe8defd5541de0582.html","web")</f>
        <v>0</v>
      </c>
      <c r="J327" t="s">
        <v>347</v>
      </c>
      <c r="K327" t="s">
        <v>867</v>
      </c>
      <c r="M327" t="s">
        <v>346</v>
      </c>
    </row>
    <row r="328" spans="1:13">
      <c r="A328" t="s">
        <v>866</v>
      </c>
      <c r="B328" t="s">
        <v>349</v>
      </c>
      <c r="C328" t="s">
        <v>35</v>
      </c>
      <c r="D328" t="s">
        <v>344</v>
      </c>
      <c r="E328" t="s">
        <v>350</v>
      </c>
      <c r="F328" t="s">
        <v>346</v>
      </c>
      <c r="G328">
        <f>HYPERLINK("http://clipc-services.ceda.ac.uk/dreq/u/85631e0f7a8fdcb10737a525f4134181.html","web")</f>
        <v>0</v>
      </c>
      <c r="J328" t="s">
        <v>351</v>
      </c>
      <c r="K328" t="s">
        <v>867</v>
      </c>
      <c r="M328" t="s">
        <v>346</v>
      </c>
    </row>
    <row r="329" spans="1:13">
      <c r="A329" t="s">
        <v>866</v>
      </c>
      <c r="B329" t="s">
        <v>868</v>
      </c>
      <c r="C329" t="s">
        <v>35</v>
      </c>
      <c r="D329" t="s">
        <v>344</v>
      </c>
      <c r="E329" t="s">
        <v>869</v>
      </c>
      <c r="F329" t="s">
        <v>455</v>
      </c>
      <c r="G329">
        <f>HYPERLINK("http://clipc-services.ceda.ac.uk/dreq/u/59137d56-9e49-11e5-803c-0d0b866b59f3.html","web")</f>
        <v>0</v>
      </c>
      <c r="J329" t="s">
        <v>870</v>
      </c>
      <c r="K329" t="s">
        <v>871</v>
      </c>
      <c r="M329" t="s">
        <v>455</v>
      </c>
    </row>
    <row r="330" spans="1:13">
      <c r="A330" t="s">
        <v>866</v>
      </c>
      <c r="B330" t="s">
        <v>872</v>
      </c>
      <c r="C330" t="s">
        <v>35</v>
      </c>
      <c r="D330" t="s">
        <v>344</v>
      </c>
      <c r="E330" t="s">
        <v>873</v>
      </c>
      <c r="F330" t="s">
        <v>455</v>
      </c>
      <c r="G330">
        <f>HYPERLINK("http://clipc-services.ceda.ac.uk/dreq/u/59137fd6-9e49-11e5-803c-0d0b866b59f3.html","web")</f>
        <v>0</v>
      </c>
      <c r="J330" t="s">
        <v>874</v>
      </c>
      <c r="K330" t="s">
        <v>871</v>
      </c>
      <c r="M330" t="s">
        <v>455</v>
      </c>
    </row>
    <row r="331" spans="1:13">
      <c r="A331" t="s">
        <v>866</v>
      </c>
      <c r="B331" t="s">
        <v>875</v>
      </c>
      <c r="C331" t="s">
        <v>35</v>
      </c>
      <c r="D331" t="s">
        <v>344</v>
      </c>
      <c r="E331" t="s">
        <v>876</v>
      </c>
      <c r="F331" t="s">
        <v>95</v>
      </c>
      <c r="G331">
        <f>HYPERLINK("http://clipc-services.ceda.ac.uk/dreq/u/590db8c6-9e49-11e5-803c-0d0b866b59f3.html","web")</f>
        <v>0</v>
      </c>
      <c r="J331" t="s">
        <v>877</v>
      </c>
      <c r="K331" t="s">
        <v>871</v>
      </c>
      <c r="M331" t="s">
        <v>95</v>
      </c>
    </row>
    <row r="332" spans="1:13">
      <c r="A332" t="s">
        <v>866</v>
      </c>
      <c r="B332" t="s">
        <v>878</v>
      </c>
      <c r="C332" t="s">
        <v>35</v>
      </c>
      <c r="D332" t="s">
        <v>344</v>
      </c>
      <c r="E332" t="s">
        <v>879</v>
      </c>
      <c r="F332" t="s">
        <v>95</v>
      </c>
      <c r="G332">
        <f>HYPERLINK("http://clipc-services.ceda.ac.uk/dreq/u/5917ff52-9e49-11e5-803c-0d0b866b59f3.html","web")</f>
        <v>0</v>
      </c>
      <c r="J332" t="s">
        <v>880</v>
      </c>
      <c r="K332" t="s">
        <v>871</v>
      </c>
      <c r="M332" t="s">
        <v>95</v>
      </c>
    </row>
    <row r="333" spans="1:13">
      <c r="A333" t="s">
        <v>866</v>
      </c>
      <c r="B333" t="s">
        <v>356</v>
      </c>
      <c r="C333" t="s">
        <v>50</v>
      </c>
      <c r="D333" t="s">
        <v>344</v>
      </c>
      <c r="E333" t="s">
        <v>357</v>
      </c>
      <c r="F333" t="s">
        <v>24</v>
      </c>
      <c r="G333">
        <f>HYPERLINK("http://clipc-services.ceda.ac.uk/dreq/u/590fa2bc-9e49-11e5-803c-0d0b866b59f3.html","web")</f>
        <v>0</v>
      </c>
      <c r="J333" t="s">
        <v>358</v>
      </c>
      <c r="K333" t="s">
        <v>867</v>
      </c>
      <c r="M333" t="s">
        <v>24</v>
      </c>
    </row>
    <row r="334" spans="1:13">
      <c r="A334" t="s">
        <v>866</v>
      </c>
      <c r="B334" t="s">
        <v>881</v>
      </c>
      <c r="C334" t="s">
        <v>35</v>
      </c>
      <c r="D334" t="s">
        <v>344</v>
      </c>
      <c r="E334" t="s">
        <v>882</v>
      </c>
      <c r="F334" t="s">
        <v>883</v>
      </c>
      <c r="G334">
        <f>HYPERLINK("http://clipc-services.ceda.ac.uk/dreq/u/e51c1fc2-00a7-11e6-a8a4-5404a60d96b5.html","web")</f>
        <v>0</v>
      </c>
      <c r="J334" t="s">
        <v>884</v>
      </c>
      <c r="K334" t="s">
        <v>871</v>
      </c>
      <c r="M334" t="s">
        <v>883</v>
      </c>
    </row>
    <row r="335" spans="1:13">
      <c r="A335" t="s">
        <v>866</v>
      </c>
      <c r="B335" t="s">
        <v>366</v>
      </c>
      <c r="C335" t="s">
        <v>50</v>
      </c>
      <c r="D335" t="s">
        <v>344</v>
      </c>
      <c r="E335" t="s">
        <v>367</v>
      </c>
      <c r="F335" t="s">
        <v>368</v>
      </c>
      <c r="G335">
        <f>HYPERLINK("http://clipc-services.ceda.ac.uk/dreq/u/ba7be4134a9cf4838434bf204d80b903.html","web")</f>
        <v>0</v>
      </c>
      <c r="J335" t="s">
        <v>369</v>
      </c>
      <c r="K335" t="s">
        <v>867</v>
      </c>
      <c r="M335" t="s">
        <v>368</v>
      </c>
    </row>
    <row r="336" spans="1:13">
      <c r="A336" t="s">
        <v>866</v>
      </c>
      <c r="B336" t="s">
        <v>370</v>
      </c>
      <c r="C336" t="s">
        <v>50</v>
      </c>
      <c r="D336" t="s">
        <v>344</v>
      </c>
      <c r="E336" t="s">
        <v>371</v>
      </c>
      <c r="F336" t="s">
        <v>368</v>
      </c>
      <c r="G336">
        <f>HYPERLINK("http://clipc-services.ceda.ac.uk/dreq/u/c64364df884a3cebaa7aebb664260776.html","web")</f>
        <v>0</v>
      </c>
      <c r="J336" t="s">
        <v>372</v>
      </c>
      <c r="K336" t="s">
        <v>867</v>
      </c>
      <c r="M336" t="s">
        <v>368</v>
      </c>
    </row>
    <row r="337" spans="1:13">
      <c r="A337" t="s">
        <v>866</v>
      </c>
      <c r="B337" t="s">
        <v>885</v>
      </c>
      <c r="C337" t="s">
        <v>50</v>
      </c>
      <c r="D337" t="s">
        <v>344</v>
      </c>
      <c r="E337" t="s">
        <v>886</v>
      </c>
      <c r="F337" t="s">
        <v>319</v>
      </c>
      <c r="G337">
        <f>HYPERLINK("http://clipc-services.ceda.ac.uk/dreq/u/591472f6-9e49-11e5-803c-0d0b866b59f3.html","web")</f>
        <v>0</v>
      </c>
      <c r="J337" t="s">
        <v>887</v>
      </c>
      <c r="K337" t="s">
        <v>21</v>
      </c>
      <c r="M337" t="s">
        <v>319</v>
      </c>
    </row>
    <row r="338" spans="1:13">
      <c r="A338" t="s">
        <v>866</v>
      </c>
      <c r="B338" t="s">
        <v>888</v>
      </c>
      <c r="C338" t="s">
        <v>50</v>
      </c>
      <c r="D338" t="s">
        <v>344</v>
      </c>
      <c r="E338" t="s">
        <v>889</v>
      </c>
      <c r="F338" t="s">
        <v>319</v>
      </c>
      <c r="G338">
        <f>HYPERLINK("http://clipc-services.ceda.ac.uk/dreq/u/59132e1e-9e49-11e5-803c-0d0b866b59f3.html","web")</f>
        <v>0</v>
      </c>
      <c r="J338" t="s">
        <v>890</v>
      </c>
      <c r="K338" t="s">
        <v>21</v>
      </c>
      <c r="M338" t="s">
        <v>319</v>
      </c>
    </row>
    <row r="339" spans="1:13">
      <c r="A339" t="s">
        <v>866</v>
      </c>
      <c r="B339" t="s">
        <v>891</v>
      </c>
      <c r="C339" t="s">
        <v>35</v>
      </c>
      <c r="D339" t="s">
        <v>344</v>
      </c>
      <c r="E339" t="s">
        <v>892</v>
      </c>
      <c r="F339" t="s">
        <v>19</v>
      </c>
      <c r="G339">
        <f>HYPERLINK("http://clipc-services.ceda.ac.uk/dreq/u/00efa75221917486576896481325ce2f.html","web")</f>
        <v>0</v>
      </c>
      <c r="J339" t="s">
        <v>893</v>
      </c>
      <c r="K339" t="s">
        <v>871</v>
      </c>
      <c r="M339" t="s">
        <v>19</v>
      </c>
    </row>
    <row r="341" spans="1:13">
      <c r="A341" t="s">
        <v>894</v>
      </c>
      <c r="B341" t="s">
        <v>317</v>
      </c>
      <c r="C341" t="s">
        <v>35</v>
      </c>
      <c r="D341" t="s">
        <v>152</v>
      </c>
      <c r="E341" t="s">
        <v>318</v>
      </c>
      <c r="F341" t="s">
        <v>319</v>
      </c>
      <c r="G341">
        <f>HYPERLINK("http://clipc-services.ceda.ac.uk/dreq/u/13484743dd3369c69df93379e6dafbb5.html","web")</f>
        <v>0</v>
      </c>
      <c r="J341" t="s">
        <v>320</v>
      </c>
      <c r="K341" t="s">
        <v>895</v>
      </c>
      <c r="M341" t="s">
        <v>319</v>
      </c>
    </row>
    <row r="342" spans="1:13">
      <c r="A342" t="s">
        <v>894</v>
      </c>
      <c r="B342" t="s">
        <v>322</v>
      </c>
      <c r="C342" t="s">
        <v>35</v>
      </c>
      <c r="D342" t="s">
        <v>152</v>
      </c>
      <c r="E342" t="s">
        <v>323</v>
      </c>
      <c r="F342" t="s">
        <v>319</v>
      </c>
      <c r="G342">
        <f>HYPERLINK("http://clipc-services.ceda.ac.uk/dreq/u/0062272a6a4176b8c32af87642b062c5.html","web")</f>
        <v>0</v>
      </c>
      <c r="J342" t="s">
        <v>324</v>
      </c>
      <c r="K342" t="s">
        <v>895</v>
      </c>
      <c r="M342" t="s">
        <v>319</v>
      </c>
    </row>
    <row r="343" spans="1:13">
      <c r="A343" t="s">
        <v>894</v>
      </c>
      <c r="B343" t="s">
        <v>896</v>
      </c>
      <c r="C343" t="s">
        <v>16</v>
      </c>
      <c r="D343" t="s">
        <v>897</v>
      </c>
      <c r="E343" t="s">
        <v>898</v>
      </c>
      <c r="F343" t="s">
        <v>899</v>
      </c>
      <c r="G343">
        <f>HYPERLINK("http://clipc-services.ceda.ac.uk/dreq/u/c92e83db9d11646c271cc3ca75aaa267.html","web")</f>
        <v>0</v>
      </c>
      <c r="J343" t="s">
        <v>900</v>
      </c>
      <c r="K343" t="s">
        <v>901</v>
      </c>
      <c r="M343" t="s">
        <v>899</v>
      </c>
    </row>
    <row r="344" spans="1:13">
      <c r="A344" t="s">
        <v>894</v>
      </c>
      <c r="B344" t="s">
        <v>902</v>
      </c>
      <c r="C344" t="s">
        <v>16</v>
      </c>
      <c r="D344" t="s">
        <v>897</v>
      </c>
      <c r="E344" t="s">
        <v>903</v>
      </c>
      <c r="F344" t="s">
        <v>899</v>
      </c>
      <c r="G344">
        <f>HYPERLINK("http://clipc-services.ceda.ac.uk/dreq/u/4f875cf09480e892812e0d76a67aff79.html","web")</f>
        <v>0</v>
      </c>
      <c r="J344" t="s">
        <v>904</v>
      </c>
      <c r="K344" t="s">
        <v>901</v>
      </c>
      <c r="M344" t="s">
        <v>899</v>
      </c>
    </row>
    <row r="345" spans="1:13">
      <c r="A345" t="s">
        <v>894</v>
      </c>
      <c r="B345" t="s">
        <v>905</v>
      </c>
      <c r="C345" t="s">
        <v>16</v>
      </c>
      <c r="D345" t="s">
        <v>897</v>
      </c>
      <c r="E345" t="s">
        <v>906</v>
      </c>
      <c r="F345" t="s">
        <v>899</v>
      </c>
      <c r="G345">
        <f>HYPERLINK("http://clipc-services.ceda.ac.uk/dreq/u/d833c036446ac363dcdf22027e28c0ed.html","web")</f>
        <v>0</v>
      </c>
      <c r="J345" t="s">
        <v>907</v>
      </c>
      <c r="K345" t="s">
        <v>901</v>
      </c>
      <c r="M345" t="s">
        <v>899</v>
      </c>
    </row>
    <row r="346" spans="1:13">
      <c r="A346" t="s">
        <v>894</v>
      </c>
      <c r="B346" t="s">
        <v>403</v>
      </c>
      <c r="C346" t="s">
        <v>35</v>
      </c>
      <c r="D346" t="s">
        <v>152</v>
      </c>
      <c r="E346" t="s">
        <v>404</v>
      </c>
      <c r="F346" t="s">
        <v>35</v>
      </c>
      <c r="G346">
        <f>HYPERLINK("http://clipc-services.ceda.ac.uk/dreq/u/29fae9ea0f236a3eb144026e1bafde28.html","web")</f>
        <v>0</v>
      </c>
      <c r="J346" t="s">
        <v>405</v>
      </c>
      <c r="K346" t="s">
        <v>908</v>
      </c>
      <c r="M346" t="s">
        <v>35</v>
      </c>
    </row>
    <row r="347" spans="1:13">
      <c r="A347" t="s">
        <v>894</v>
      </c>
      <c r="B347" t="s">
        <v>909</v>
      </c>
      <c r="C347" t="s">
        <v>35</v>
      </c>
      <c r="D347" t="s">
        <v>910</v>
      </c>
      <c r="E347" t="s">
        <v>911</v>
      </c>
      <c r="F347" t="s">
        <v>883</v>
      </c>
      <c r="G347">
        <f>HYPERLINK("http://clipc-services.ceda.ac.uk/dreq/u/9bb9a503065dfbd30c9bbe5c3c6abf99.html","web")</f>
        <v>0</v>
      </c>
      <c r="J347" t="s">
        <v>912</v>
      </c>
      <c r="K347" t="s">
        <v>913</v>
      </c>
      <c r="M347" t="s">
        <v>883</v>
      </c>
    </row>
    <row r="348" spans="1:13">
      <c r="A348" t="s">
        <v>894</v>
      </c>
      <c r="B348" t="s">
        <v>914</v>
      </c>
      <c r="C348" t="s">
        <v>35</v>
      </c>
      <c r="D348" t="s">
        <v>915</v>
      </c>
      <c r="E348" t="s">
        <v>916</v>
      </c>
      <c r="F348" t="s">
        <v>917</v>
      </c>
      <c r="G348">
        <f>HYPERLINK("http://clipc-services.ceda.ac.uk/dreq/u/ddf060894b16cf89e906ecfedbba4ffb.html","web")</f>
        <v>0</v>
      </c>
      <c r="J348" t="s">
        <v>918</v>
      </c>
      <c r="K348" t="s">
        <v>913</v>
      </c>
      <c r="M348" t="s">
        <v>917</v>
      </c>
    </row>
    <row r="349" spans="1:13">
      <c r="A349" t="s">
        <v>894</v>
      </c>
      <c r="B349" t="s">
        <v>413</v>
      </c>
      <c r="C349" t="s">
        <v>35</v>
      </c>
      <c r="D349" t="s">
        <v>152</v>
      </c>
      <c r="E349" t="s">
        <v>414</v>
      </c>
      <c r="F349" t="s">
        <v>179</v>
      </c>
      <c r="G349">
        <f>HYPERLINK("http://clipc-services.ceda.ac.uk/dreq/u/5e49c0b73ac161d5e5dd05173416c400.html","web")</f>
        <v>0</v>
      </c>
      <c r="J349" t="s">
        <v>415</v>
      </c>
      <c r="K349" t="s">
        <v>919</v>
      </c>
      <c r="M349" t="s">
        <v>179</v>
      </c>
    </row>
    <row r="350" spans="1:13">
      <c r="A350" t="s">
        <v>894</v>
      </c>
      <c r="B350" t="s">
        <v>920</v>
      </c>
      <c r="C350" t="s">
        <v>16</v>
      </c>
      <c r="D350" t="s">
        <v>897</v>
      </c>
      <c r="E350" t="s">
        <v>921</v>
      </c>
      <c r="F350" t="s">
        <v>899</v>
      </c>
      <c r="G350">
        <f>HYPERLINK("http://clipc-services.ceda.ac.uk/dreq/u/2c1d2748570f208b1dde04d1e926b5e0.html","web")</f>
        <v>0</v>
      </c>
      <c r="J350" t="s">
        <v>922</v>
      </c>
      <c r="K350" t="s">
        <v>901</v>
      </c>
      <c r="M350" t="s">
        <v>899</v>
      </c>
    </row>
    <row r="351" spans="1:13">
      <c r="A351" t="s">
        <v>894</v>
      </c>
      <c r="B351" t="s">
        <v>333</v>
      </c>
      <c r="C351" t="s">
        <v>35</v>
      </c>
      <c r="D351" t="s">
        <v>334</v>
      </c>
      <c r="E351" t="s">
        <v>335</v>
      </c>
      <c r="F351" t="s">
        <v>179</v>
      </c>
      <c r="G351">
        <f>HYPERLINK("http://clipc-services.ceda.ac.uk/dreq/u/6d790fe4caa7feff46a41ae7b3811e52.html","web")</f>
        <v>0</v>
      </c>
      <c r="J351" t="s">
        <v>336</v>
      </c>
      <c r="K351" t="s">
        <v>923</v>
      </c>
      <c r="M351" t="s">
        <v>179</v>
      </c>
    </row>
    <row r="352" spans="1:13">
      <c r="A352" t="s">
        <v>894</v>
      </c>
      <c r="B352" t="s">
        <v>924</v>
      </c>
      <c r="C352" t="s">
        <v>35</v>
      </c>
      <c r="D352" t="s">
        <v>925</v>
      </c>
      <c r="E352" t="s">
        <v>926</v>
      </c>
      <c r="F352" t="s">
        <v>883</v>
      </c>
      <c r="G352">
        <f>HYPERLINK("http://clipc-services.ceda.ac.uk/dreq/u/942125e5a461fef57b1477b9a2bd5fa0.html","web")</f>
        <v>0</v>
      </c>
      <c r="J352" t="s">
        <v>927</v>
      </c>
      <c r="K352" t="s">
        <v>913</v>
      </c>
      <c r="M352" t="s">
        <v>883</v>
      </c>
    </row>
    <row r="353" spans="1:13">
      <c r="A353" t="s">
        <v>894</v>
      </c>
      <c r="B353" t="s">
        <v>928</v>
      </c>
      <c r="C353" t="s">
        <v>35</v>
      </c>
      <c r="D353" t="s">
        <v>910</v>
      </c>
      <c r="E353" t="s">
        <v>926</v>
      </c>
      <c r="F353" t="s">
        <v>883</v>
      </c>
      <c r="G353">
        <f>HYPERLINK("http://clipc-services.ceda.ac.uk/dreq/u/942125e5a461fef57b1477b9a2bd5fa0.html","web")</f>
        <v>0</v>
      </c>
      <c r="J353" t="s">
        <v>927</v>
      </c>
      <c r="K353" t="s">
        <v>913</v>
      </c>
      <c r="M353" t="s">
        <v>883</v>
      </c>
    </row>
    <row r="354" spans="1:13">
      <c r="A354" t="s">
        <v>894</v>
      </c>
      <c r="B354" t="s">
        <v>929</v>
      </c>
      <c r="C354" t="s">
        <v>35</v>
      </c>
      <c r="D354" t="s">
        <v>897</v>
      </c>
      <c r="E354" t="s">
        <v>930</v>
      </c>
      <c r="F354" t="s">
        <v>931</v>
      </c>
      <c r="G354">
        <f>HYPERLINK("http://clipc-services.ceda.ac.uk/dreq/u/09c328529f2fac58c1b016da33ba394c.html","web")</f>
        <v>0</v>
      </c>
      <c r="J354" t="s">
        <v>932</v>
      </c>
      <c r="K354" t="s">
        <v>913</v>
      </c>
      <c r="M354" t="s">
        <v>931</v>
      </c>
    </row>
    <row r="355" spans="1:13">
      <c r="A355" t="s">
        <v>894</v>
      </c>
      <c r="B355" t="s">
        <v>933</v>
      </c>
      <c r="C355" t="s">
        <v>35</v>
      </c>
      <c r="D355" t="s">
        <v>915</v>
      </c>
      <c r="E355" t="s">
        <v>930</v>
      </c>
      <c r="F355" t="s">
        <v>931</v>
      </c>
      <c r="G355">
        <f>HYPERLINK("http://clipc-services.ceda.ac.uk/dreq/u/09c328529f2fac58c1b016da33ba394c.html","web")</f>
        <v>0</v>
      </c>
      <c r="J355" t="s">
        <v>932</v>
      </c>
      <c r="K355" t="s">
        <v>913</v>
      </c>
      <c r="M355" t="s">
        <v>931</v>
      </c>
    </row>
    <row r="356" spans="1:13">
      <c r="A356" t="s">
        <v>894</v>
      </c>
      <c r="B356" t="s">
        <v>450</v>
      </c>
      <c r="C356" t="s">
        <v>35</v>
      </c>
      <c r="D356" t="s">
        <v>152</v>
      </c>
      <c r="E356" t="s">
        <v>451</v>
      </c>
      <c r="F356" t="s">
        <v>35</v>
      </c>
      <c r="G356">
        <f>HYPERLINK("http://clipc-services.ceda.ac.uk/dreq/u/8de0f30b91b15720398fc10fd712a182.html","web")</f>
        <v>0</v>
      </c>
      <c r="J356" t="s">
        <v>452</v>
      </c>
      <c r="K356" t="s">
        <v>934</v>
      </c>
      <c r="M356" t="s">
        <v>35</v>
      </c>
    </row>
    <row r="358" spans="1:13">
      <c r="A358" t="s">
        <v>935</v>
      </c>
      <c r="B358" t="s">
        <v>936</v>
      </c>
      <c r="C358" t="s">
        <v>16</v>
      </c>
      <c r="D358" t="s">
        <v>152</v>
      </c>
      <c r="E358" t="s">
        <v>937</v>
      </c>
      <c r="F358" t="s">
        <v>179</v>
      </c>
      <c r="G358">
        <f>HYPERLINK("http://clipc-services.ceda.ac.uk/dreq/u/7553003ead183dd3276108b6311a337f.html","web")</f>
        <v>0</v>
      </c>
      <c r="J358" t="s">
        <v>938</v>
      </c>
      <c r="K358" t="s">
        <v>939</v>
      </c>
      <c r="M358" t="s">
        <v>179</v>
      </c>
    </row>
    <row r="359" spans="1:13">
      <c r="A359" t="s">
        <v>935</v>
      </c>
      <c r="B359" t="s">
        <v>940</v>
      </c>
      <c r="C359" t="s">
        <v>35</v>
      </c>
      <c r="D359" t="s">
        <v>941</v>
      </c>
      <c r="E359" t="s">
        <v>942</v>
      </c>
      <c r="F359" t="s">
        <v>368</v>
      </c>
      <c r="G359">
        <f>HYPERLINK("http://clipc-services.ceda.ac.uk/dreq/u/e4b039da-b621-11e6-bbe2-ac72891c3257.html","web")</f>
        <v>0</v>
      </c>
      <c r="J359" t="s">
        <v>943</v>
      </c>
      <c r="K359" t="s">
        <v>944</v>
      </c>
      <c r="M359" t="s">
        <v>368</v>
      </c>
    </row>
    <row r="361" spans="1:13">
      <c r="A361" t="s">
        <v>945</v>
      </c>
      <c r="B361" t="s">
        <v>946</v>
      </c>
      <c r="C361" t="s">
        <v>35</v>
      </c>
      <c r="D361" t="s">
        <v>541</v>
      </c>
      <c r="E361" t="s">
        <v>947</v>
      </c>
      <c r="F361" t="s">
        <v>948</v>
      </c>
      <c r="G361">
        <f>HYPERLINK("http://clipc-services.ceda.ac.uk/dreq/u/98114e26-b896-11e6-a189-5404a60d96b5.html","web")</f>
        <v>0</v>
      </c>
      <c r="J361" t="s">
        <v>949</v>
      </c>
      <c r="K361" t="s">
        <v>950</v>
      </c>
      <c r="M361" t="s">
        <v>948</v>
      </c>
    </row>
    <row r="362" spans="1:13">
      <c r="A362" t="s">
        <v>945</v>
      </c>
      <c r="B362" t="s">
        <v>951</v>
      </c>
      <c r="C362" t="s">
        <v>35</v>
      </c>
      <c r="D362" t="s">
        <v>541</v>
      </c>
      <c r="E362" t="s">
        <v>952</v>
      </c>
      <c r="F362" t="s">
        <v>883</v>
      </c>
      <c r="G362">
        <f>HYPERLINK("http://clipc-services.ceda.ac.uk/dreq/u/e8d5bdfd24b275f0530646361967483d.html","web")</f>
        <v>0</v>
      </c>
      <c r="J362" t="s">
        <v>912</v>
      </c>
      <c r="K362" t="s">
        <v>950</v>
      </c>
      <c r="M362" t="s">
        <v>883</v>
      </c>
    </row>
    <row r="363" spans="1:13">
      <c r="A363" t="s">
        <v>945</v>
      </c>
      <c r="B363" t="s">
        <v>953</v>
      </c>
      <c r="C363" t="s">
        <v>35</v>
      </c>
      <c r="D363" t="s">
        <v>152</v>
      </c>
      <c r="E363" t="s">
        <v>954</v>
      </c>
      <c r="F363" t="s">
        <v>955</v>
      </c>
      <c r="G363">
        <f>HYPERLINK("http://clipc-services.ceda.ac.uk/dreq/u/5fb2c6633cdd98673b7b12d257575460.html","web")</f>
        <v>0</v>
      </c>
      <c r="J363" t="s">
        <v>956</v>
      </c>
      <c r="K363" t="s">
        <v>957</v>
      </c>
      <c r="M363" t="s">
        <v>955</v>
      </c>
    </row>
    <row r="364" spans="1:13">
      <c r="A364" t="s">
        <v>945</v>
      </c>
      <c r="B364" t="s">
        <v>958</v>
      </c>
      <c r="C364" t="s">
        <v>35</v>
      </c>
      <c r="D364" t="s">
        <v>152</v>
      </c>
      <c r="E364" t="s">
        <v>959</v>
      </c>
      <c r="F364" t="s">
        <v>179</v>
      </c>
      <c r="G364">
        <f>HYPERLINK("http://clipc-services.ceda.ac.uk/dreq/u/4ffc1f50b844980dbbae006dbcfca869.html","web")</f>
        <v>0</v>
      </c>
      <c r="J364" t="s">
        <v>960</v>
      </c>
      <c r="K364" t="s">
        <v>957</v>
      </c>
      <c r="M364" t="s">
        <v>179</v>
      </c>
    </row>
    <row r="365" spans="1:13">
      <c r="A365" t="s">
        <v>945</v>
      </c>
      <c r="B365" t="s">
        <v>961</v>
      </c>
      <c r="C365" t="s">
        <v>35</v>
      </c>
      <c r="D365" t="s">
        <v>152</v>
      </c>
      <c r="E365" t="s">
        <v>962</v>
      </c>
      <c r="F365" t="s">
        <v>35</v>
      </c>
      <c r="G365">
        <f>HYPERLINK("http://clipc-services.ceda.ac.uk/dreq/u/db3d77eebc6dc2fbcab4e0f894e46037.html","web")</f>
        <v>0</v>
      </c>
      <c r="J365" t="s">
        <v>963</v>
      </c>
      <c r="K365" t="s">
        <v>957</v>
      </c>
      <c r="M365" t="s">
        <v>35</v>
      </c>
    </row>
    <row r="366" spans="1:13">
      <c r="A366" t="s">
        <v>945</v>
      </c>
      <c r="B366" t="s">
        <v>964</v>
      </c>
      <c r="C366" t="s">
        <v>35</v>
      </c>
      <c r="D366" t="s">
        <v>152</v>
      </c>
      <c r="E366" t="s">
        <v>965</v>
      </c>
      <c r="F366" t="s">
        <v>179</v>
      </c>
      <c r="G366">
        <f>HYPERLINK("http://clipc-services.ceda.ac.uk/dreq/u/ea546e38aa8fc0e021f03e746e1adb10.html","web")</f>
        <v>0</v>
      </c>
      <c r="J366" t="s">
        <v>966</v>
      </c>
      <c r="K366" t="s">
        <v>957</v>
      </c>
      <c r="M366" t="s">
        <v>179</v>
      </c>
    </row>
    <row r="367" spans="1:13">
      <c r="A367" t="s">
        <v>945</v>
      </c>
      <c r="B367" t="s">
        <v>967</v>
      </c>
      <c r="C367" t="s">
        <v>35</v>
      </c>
      <c r="D367" t="s">
        <v>152</v>
      </c>
      <c r="E367" t="s">
        <v>968</v>
      </c>
      <c r="F367" t="s">
        <v>179</v>
      </c>
      <c r="G367">
        <f>HYPERLINK("http://clipc-services.ceda.ac.uk/dreq/u/691673a210102ac652eed2b784dd2ab4.html","web")</f>
        <v>0</v>
      </c>
      <c r="J367" t="s">
        <v>969</v>
      </c>
      <c r="K367" t="s">
        <v>957</v>
      </c>
      <c r="M367" t="s">
        <v>179</v>
      </c>
    </row>
    <row r="368" spans="1:13">
      <c r="A368" t="s">
        <v>945</v>
      </c>
      <c r="B368" t="s">
        <v>970</v>
      </c>
      <c r="C368" t="s">
        <v>35</v>
      </c>
      <c r="D368" t="s">
        <v>152</v>
      </c>
      <c r="E368" t="s">
        <v>971</v>
      </c>
      <c r="F368" t="s">
        <v>179</v>
      </c>
      <c r="G368">
        <f>HYPERLINK("http://clipc-services.ceda.ac.uk/dreq/u/a4e52f0f3833b395c09c73f1b6f3f748.html","web")</f>
        <v>0</v>
      </c>
      <c r="J368" t="s">
        <v>972</v>
      </c>
      <c r="K368" t="s">
        <v>957</v>
      </c>
      <c r="M368" t="s">
        <v>179</v>
      </c>
    </row>
    <row r="369" spans="1:13">
      <c r="A369" t="s">
        <v>945</v>
      </c>
      <c r="B369" t="s">
        <v>973</v>
      </c>
      <c r="C369" t="s">
        <v>35</v>
      </c>
      <c r="D369" t="s">
        <v>541</v>
      </c>
      <c r="E369" t="s">
        <v>974</v>
      </c>
      <c r="F369" t="s">
        <v>35</v>
      </c>
      <c r="G369">
        <f>HYPERLINK("http://clipc-services.ceda.ac.uk/dreq/u/a7cf325e9bf994ade073a1297378a57c.html","web")</f>
        <v>0</v>
      </c>
      <c r="J369" t="s">
        <v>975</v>
      </c>
      <c r="K369" t="s">
        <v>950</v>
      </c>
      <c r="M369" t="s">
        <v>35</v>
      </c>
    </row>
    <row r="370" spans="1:13">
      <c r="A370" t="s">
        <v>945</v>
      </c>
      <c r="B370" t="s">
        <v>976</v>
      </c>
      <c r="C370" t="s">
        <v>35</v>
      </c>
      <c r="D370" t="s">
        <v>541</v>
      </c>
      <c r="E370" t="s">
        <v>977</v>
      </c>
      <c r="F370" t="s">
        <v>883</v>
      </c>
      <c r="G370">
        <f>HYPERLINK("http://clipc-services.ceda.ac.uk/dreq/u/cc8f92a2635774d636748ec8007c4bab.html","web")</f>
        <v>0</v>
      </c>
      <c r="J370" t="s">
        <v>978</v>
      </c>
      <c r="K370" t="s">
        <v>950</v>
      </c>
      <c r="M370" t="s">
        <v>883</v>
      </c>
    </row>
    <row r="371" spans="1:13">
      <c r="A371" t="s">
        <v>945</v>
      </c>
      <c r="B371" t="s">
        <v>979</v>
      </c>
      <c r="C371" t="s">
        <v>35</v>
      </c>
      <c r="D371" t="s">
        <v>541</v>
      </c>
      <c r="E371" t="s">
        <v>980</v>
      </c>
      <c r="F371" t="s">
        <v>95</v>
      </c>
      <c r="G371">
        <f>HYPERLINK("http://clipc-services.ceda.ac.uk/dreq/u/2b133ea2-1b42-11e6-a696-35cd2d8034df.html","web")</f>
        <v>0</v>
      </c>
      <c r="J371" t="s">
        <v>981</v>
      </c>
      <c r="K371" t="s">
        <v>950</v>
      </c>
      <c r="M371" t="s">
        <v>95</v>
      </c>
    </row>
    <row r="372" spans="1:13">
      <c r="A372" t="s">
        <v>945</v>
      </c>
      <c r="B372" t="s">
        <v>924</v>
      </c>
      <c r="C372" t="s">
        <v>35</v>
      </c>
      <c r="D372" t="s">
        <v>541</v>
      </c>
      <c r="E372" t="s">
        <v>926</v>
      </c>
      <c r="F372" t="s">
        <v>883</v>
      </c>
      <c r="G372">
        <f>HYPERLINK("http://clipc-services.ceda.ac.uk/dreq/u/942125e5a461fef57b1477b9a2bd5fa0.html","web")</f>
        <v>0</v>
      </c>
      <c r="J372" t="s">
        <v>927</v>
      </c>
      <c r="K372" t="s">
        <v>950</v>
      </c>
      <c r="M372" t="s">
        <v>883</v>
      </c>
    </row>
    <row r="373" spans="1:13">
      <c r="A373" t="s">
        <v>945</v>
      </c>
      <c r="B373" t="s">
        <v>982</v>
      </c>
      <c r="C373" t="s">
        <v>35</v>
      </c>
      <c r="D373" t="s">
        <v>541</v>
      </c>
      <c r="E373" t="s">
        <v>983</v>
      </c>
      <c r="F373" t="s">
        <v>883</v>
      </c>
      <c r="G373">
        <f>HYPERLINK("http://clipc-services.ceda.ac.uk/dreq/u/97bf948c-b896-11e6-a189-5404a60d96b5.html","web")</f>
        <v>0</v>
      </c>
      <c r="J373" t="s">
        <v>984</v>
      </c>
      <c r="K373" t="s">
        <v>950</v>
      </c>
      <c r="M373" t="s">
        <v>883</v>
      </c>
    </row>
    <row r="374" spans="1:13">
      <c r="A374" t="s">
        <v>945</v>
      </c>
      <c r="B374" t="s">
        <v>985</v>
      </c>
      <c r="C374" t="s">
        <v>35</v>
      </c>
      <c r="D374" t="s">
        <v>986</v>
      </c>
      <c r="E374" t="s">
        <v>987</v>
      </c>
      <c r="F374" t="s">
        <v>35</v>
      </c>
      <c r="G374">
        <f>HYPERLINK("http://clipc-services.ceda.ac.uk/dreq/u/a0c10a4b65d3b79db581a649058a08b1.html","web")</f>
        <v>0</v>
      </c>
      <c r="J374" t="s">
        <v>988</v>
      </c>
      <c r="K374" t="s">
        <v>989</v>
      </c>
      <c r="M374" t="s">
        <v>35</v>
      </c>
    </row>
    <row r="375" spans="1:13">
      <c r="A375" t="s">
        <v>945</v>
      </c>
      <c r="B375" t="s">
        <v>990</v>
      </c>
      <c r="C375" t="s">
        <v>35</v>
      </c>
      <c r="D375" t="s">
        <v>986</v>
      </c>
      <c r="E375" t="s">
        <v>991</v>
      </c>
      <c r="F375" t="s">
        <v>35</v>
      </c>
      <c r="G375">
        <f>HYPERLINK("http://clipc-services.ceda.ac.uk/dreq/u/c9a72dd6-c5f0-11e6-ac20-5404a60d96b5.html","web")</f>
        <v>0</v>
      </c>
      <c r="J375" t="s">
        <v>992</v>
      </c>
      <c r="K375" t="s">
        <v>957</v>
      </c>
      <c r="M375" t="s">
        <v>35</v>
      </c>
    </row>
    <row r="376" spans="1:13">
      <c r="A376" t="s">
        <v>945</v>
      </c>
      <c r="B376" t="s">
        <v>993</v>
      </c>
      <c r="C376" t="s">
        <v>35</v>
      </c>
      <c r="D376" t="s">
        <v>541</v>
      </c>
      <c r="E376" t="s">
        <v>994</v>
      </c>
      <c r="F376" t="s">
        <v>455</v>
      </c>
      <c r="G376">
        <f>HYPERLINK("http://clipc-services.ceda.ac.uk/dreq/u/a2609abee6ecd5d535a48e29ae70e852.html","web")</f>
        <v>0</v>
      </c>
      <c r="J376" t="s">
        <v>995</v>
      </c>
      <c r="K376" t="s">
        <v>950</v>
      </c>
      <c r="M376" t="s">
        <v>455</v>
      </c>
    </row>
    <row r="377" spans="1:13">
      <c r="A377" t="s">
        <v>945</v>
      </c>
      <c r="B377" t="s">
        <v>996</v>
      </c>
      <c r="C377" t="s">
        <v>35</v>
      </c>
      <c r="D377" t="s">
        <v>152</v>
      </c>
      <c r="E377" t="s">
        <v>997</v>
      </c>
      <c r="F377" t="s">
        <v>998</v>
      </c>
      <c r="G377">
        <f>HYPERLINK("http://clipc-services.ceda.ac.uk/dreq/u/c9a5b6b8-c5f0-11e6-ac20-5404a60d96b5.html","web")</f>
        <v>0</v>
      </c>
      <c r="J377" t="s">
        <v>999</v>
      </c>
      <c r="K377" t="s">
        <v>957</v>
      </c>
      <c r="M377" t="s">
        <v>998</v>
      </c>
    </row>
    <row r="378" spans="1:13">
      <c r="A378" t="s">
        <v>945</v>
      </c>
      <c r="B378" t="s">
        <v>1000</v>
      </c>
      <c r="C378" t="s">
        <v>35</v>
      </c>
      <c r="D378" t="s">
        <v>152</v>
      </c>
      <c r="E378" t="s">
        <v>1001</v>
      </c>
      <c r="F378" t="s">
        <v>57</v>
      </c>
      <c r="G378">
        <f>HYPERLINK("http://clipc-services.ceda.ac.uk/dreq/u/83d1d066c3325c7402b6265eee068056.html","web")</f>
        <v>0</v>
      </c>
      <c r="J378" t="s">
        <v>1002</v>
      </c>
      <c r="K378" t="s">
        <v>1003</v>
      </c>
      <c r="M378" t="s">
        <v>57</v>
      </c>
    </row>
    <row r="379" spans="1:13">
      <c r="A379" t="s">
        <v>945</v>
      </c>
      <c r="B379" t="s">
        <v>1004</v>
      </c>
      <c r="C379" t="s">
        <v>35</v>
      </c>
      <c r="D379" t="s">
        <v>152</v>
      </c>
      <c r="E379" t="s">
        <v>1005</v>
      </c>
      <c r="F379" t="s">
        <v>299</v>
      </c>
      <c r="G379">
        <f>HYPERLINK("http://clipc-services.ceda.ac.uk/dreq/u/c26eed24b27782de78cfab86e3d3b2d2.html","web")</f>
        <v>0</v>
      </c>
      <c r="J379" t="s">
        <v>1006</v>
      </c>
      <c r="K379" t="s">
        <v>957</v>
      </c>
      <c r="M379" t="s">
        <v>299</v>
      </c>
    </row>
    <row r="381" spans="1:13">
      <c r="A381" t="s">
        <v>1007</v>
      </c>
      <c r="B381" t="s">
        <v>1008</v>
      </c>
      <c r="C381" t="s">
        <v>35</v>
      </c>
      <c r="D381" t="s">
        <v>1009</v>
      </c>
      <c r="E381" t="s">
        <v>1010</v>
      </c>
      <c r="F381" t="s">
        <v>35</v>
      </c>
      <c r="G381">
        <f>HYPERLINK("http://clipc-services.ceda.ac.uk/dreq/u/b089240c-a0da-11e6-bc63-ac72891c3257.html","web")</f>
        <v>0</v>
      </c>
      <c r="J381" t="s">
        <v>1011</v>
      </c>
      <c r="K381" t="s">
        <v>1012</v>
      </c>
      <c r="M381" t="s">
        <v>35</v>
      </c>
    </row>
    <row r="382" spans="1:13">
      <c r="A382" t="s">
        <v>1007</v>
      </c>
      <c r="B382" t="s">
        <v>1013</v>
      </c>
      <c r="C382" t="s">
        <v>35</v>
      </c>
      <c r="D382" t="s">
        <v>1009</v>
      </c>
      <c r="E382" t="s">
        <v>1014</v>
      </c>
      <c r="F382" t="s">
        <v>35</v>
      </c>
      <c r="G382">
        <f>HYPERLINK("http://clipc-services.ceda.ac.uk/dreq/u/afd8ba4a-a0da-11e6-bc63-ac72891c3257.html","web")</f>
        <v>0</v>
      </c>
      <c r="J382" t="s">
        <v>1015</v>
      </c>
      <c r="K382" t="s">
        <v>1012</v>
      </c>
      <c r="M382" t="s">
        <v>35</v>
      </c>
    </row>
    <row r="383" spans="1:13">
      <c r="A383" t="s">
        <v>1007</v>
      </c>
      <c r="B383" t="s">
        <v>1016</v>
      </c>
      <c r="C383" t="s">
        <v>35</v>
      </c>
      <c r="D383" t="s">
        <v>1009</v>
      </c>
      <c r="E383" t="s">
        <v>1017</v>
      </c>
      <c r="F383" t="s">
        <v>35</v>
      </c>
      <c r="G383">
        <f>HYPERLINK("http://clipc-services.ceda.ac.uk/dreq/u/b02eb8b4-a0da-11e6-bc63-ac72891c3257.html","web")</f>
        <v>0</v>
      </c>
      <c r="J383" t="s">
        <v>1018</v>
      </c>
      <c r="K383" t="s">
        <v>1012</v>
      </c>
      <c r="M383" t="s">
        <v>35</v>
      </c>
    </row>
    <row r="384" spans="1:13">
      <c r="A384" t="s">
        <v>1007</v>
      </c>
      <c r="B384" t="s">
        <v>1019</v>
      </c>
      <c r="C384" t="s">
        <v>35</v>
      </c>
      <c r="D384" t="s">
        <v>1020</v>
      </c>
      <c r="E384" t="s">
        <v>1021</v>
      </c>
      <c r="F384" t="s">
        <v>35</v>
      </c>
      <c r="G384">
        <f>HYPERLINK("http://clipc-services.ceda.ac.uk/dreq/u/59139cfa-9e49-11e5-803c-0d0b866b59f3.html","web")</f>
        <v>0</v>
      </c>
      <c r="J384" t="s">
        <v>1022</v>
      </c>
      <c r="K384" t="s">
        <v>1012</v>
      </c>
      <c r="M384" t="s">
        <v>35</v>
      </c>
    </row>
    <row r="385" spans="1:13">
      <c r="A385" t="s">
        <v>1007</v>
      </c>
      <c r="B385" t="s">
        <v>1023</v>
      </c>
      <c r="C385" t="s">
        <v>35</v>
      </c>
      <c r="D385" t="s">
        <v>1020</v>
      </c>
      <c r="E385" t="s">
        <v>1024</v>
      </c>
      <c r="F385" t="s">
        <v>35</v>
      </c>
      <c r="G385">
        <f>HYPERLINK("http://clipc-services.ceda.ac.uk/dreq/u/590f3f16-9e49-11e5-803c-0d0b866b59f3.html","web")</f>
        <v>0</v>
      </c>
      <c r="J385" t="s">
        <v>1025</v>
      </c>
      <c r="K385" t="s">
        <v>1012</v>
      </c>
      <c r="M385" t="s">
        <v>35</v>
      </c>
    </row>
    <row r="386" spans="1:13">
      <c r="A386" t="s">
        <v>1007</v>
      </c>
      <c r="B386" t="s">
        <v>1026</v>
      </c>
      <c r="C386" t="s">
        <v>35</v>
      </c>
      <c r="D386" t="s">
        <v>1027</v>
      </c>
      <c r="E386" t="s">
        <v>1028</v>
      </c>
      <c r="F386" t="s">
        <v>35</v>
      </c>
      <c r="G386">
        <f>HYPERLINK("http://clipc-services.ceda.ac.uk/dreq/u/5a6730cdd3fef77dc53ea1f61b23821f.html","web")</f>
        <v>0</v>
      </c>
      <c r="J386" t="s">
        <v>1029</v>
      </c>
      <c r="K386" t="s">
        <v>1030</v>
      </c>
      <c r="M386" t="s">
        <v>35</v>
      </c>
    </row>
    <row r="387" spans="1:13">
      <c r="A387" t="s">
        <v>1007</v>
      </c>
      <c r="B387" t="s">
        <v>1031</v>
      </c>
      <c r="C387" t="s">
        <v>35</v>
      </c>
      <c r="D387" t="s">
        <v>1032</v>
      </c>
      <c r="E387" t="s">
        <v>1033</v>
      </c>
      <c r="F387" t="s">
        <v>35</v>
      </c>
      <c r="G387">
        <f>HYPERLINK("http://clipc-services.ceda.ac.uk/dreq/u/823b0a0d39e3f3f3a992c49948fde77c.html","web")</f>
        <v>0</v>
      </c>
      <c r="J387" t="s">
        <v>1034</v>
      </c>
      <c r="K387" t="s">
        <v>1030</v>
      </c>
      <c r="M387" t="s">
        <v>35</v>
      </c>
    </row>
    <row r="388" spans="1:13">
      <c r="A388" t="s">
        <v>1007</v>
      </c>
      <c r="B388" t="s">
        <v>325</v>
      </c>
      <c r="C388" t="s">
        <v>35</v>
      </c>
      <c r="D388" t="s">
        <v>1035</v>
      </c>
      <c r="E388" t="s">
        <v>327</v>
      </c>
      <c r="F388" t="s">
        <v>38</v>
      </c>
      <c r="G388">
        <f>HYPERLINK("http://clipc-services.ceda.ac.uk/dreq/u/400e5707b65c01e31f2ec6a59dd3983b.html","web")</f>
        <v>0</v>
      </c>
      <c r="J388" t="s">
        <v>328</v>
      </c>
      <c r="K388" t="s">
        <v>1030</v>
      </c>
      <c r="M388" t="s">
        <v>38</v>
      </c>
    </row>
    <row r="389" spans="1:13">
      <c r="A389" t="s">
        <v>1007</v>
      </c>
      <c r="B389" t="s">
        <v>1036</v>
      </c>
      <c r="C389" t="s">
        <v>35</v>
      </c>
      <c r="D389" t="s">
        <v>1035</v>
      </c>
      <c r="E389" t="s">
        <v>1037</v>
      </c>
      <c r="F389" t="s">
        <v>38</v>
      </c>
      <c r="G389">
        <f>HYPERLINK("http://clipc-services.ceda.ac.uk/dreq/u/0245fef16f6eb29465d7fa55923fd12d.html","web")</f>
        <v>0</v>
      </c>
      <c r="J389" t="s">
        <v>1038</v>
      </c>
      <c r="K389" t="s">
        <v>1030</v>
      </c>
      <c r="M389" t="s">
        <v>38</v>
      </c>
    </row>
    <row r="390" spans="1:13">
      <c r="A390" t="s">
        <v>1007</v>
      </c>
      <c r="B390" t="s">
        <v>329</v>
      </c>
      <c r="C390" t="s">
        <v>50</v>
      </c>
      <c r="D390" t="s">
        <v>1039</v>
      </c>
      <c r="E390" t="s">
        <v>331</v>
      </c>
      <c r="F390" t="s">
        <v>38</v>
      </c>
      <c r="G390">
        <f>HYPERLINK("http://clipc-services.ceda.ac.uk/dreq/u/fa7666d61b92de5bad1ad76561b8b850.html","web")</f>
        <v>0</v>
      </c>
      <c r="J390" t="s">
        <v>332</v>
      </c>
      <c r="K390" t="s">
        <v>321</v>
      </c>
      <c r="M390" t="s">
        <v>38</v>
      </c>
    </row>
    <row r="391" spans="1:13">
      <c r="A391" t="s">
        <v>1007</v>
      </c>
      <c r="B391" t="s">
        <v>1040</v>
      </c>
      <c r="C391" t="s">
        <v>35</v>
      </c>
      <c r="D391" t="s">
        <v>1041</v>
      </c>
      <c r="E391" t="s">
        <v>1042</v>
      </c>
      <c r="F391" t="s">
        <v>38</v>
      </c>
      <c r="G391">
        <f>HYPERLINK("http://clipc-services.ceda.ac.uk/dreq/u/59151ed6-9e49-11e5-803c-0d0b866b59f3.html","web")</f>
        <v>0</v>
      </c>
      <c r="J391" t="s">
        <v>1043</v>
      </c>
      <c r="K391" t="s">
        <v>1030</v>
      </c>
      <c r="M391" t="s">
        <v>38</v>
      </c>
    </row>
    <row r="392" spans="1:13">
      <c r="A392" t="s">
        <v>1007</v>
      </c>
      <c r="B392" t="s">
        <v>1044</v>
      </c>
      <c r="C392" t="s">
        <v>35</v>
      </c>
      <c r="D392" t="s">
        <v>1045</v>
      </c>
      <c r="E392" t="s">
        <v>1046</v>
      </c>
      <c r="F392" t="s">
        <v>38</v>
      </c>
      <c r="G392">
        <f>HYPERLINK("http://clipc-services.ceda.ac.uk/dreq/u/59149a10-9e49-11e5-803c-0d0b866b59f3.html","web")</f>
        <v>0</v>
      </c>
      <c r="J392" t="s">
        <v>1047</v>
      </c>
      <c r="K392" t="s">
        <v>1030</v>
      </c>
      <c r="M392" t="s">
        <v>38</v>
      </c>
    </row>
    <row r="393" spans="1:13">
      <c r="A393" t="s">
        <v>1007</v>
      </c>
      <c r="B393" t="s">
        <v>1048</v>
      </c>
      <c r="C393" t="s">
        <v>35</v>
      </c>
      <c r="D393" t="s">
        <v>1049</v>
      </c>
      <c r="E393" t="s">
        <v>1050</v>
      </c>
      <c r="F393" t="s">
        <v>38</v>
      </c>
      <c r="G393">
        <f>HYPERLINK("http://clipc-services.ceda.ac.uk/dreq/u/5912eff8-9e49-11e5-803c-0d0b866b59f3.html","web")</f>
        <v>0</v>
      </c>
      <c r="J393" t="s">
        <v>1051</v>
      </c>
      <c r="K393" t="s">
        <v>1030</v>
      </c>
      <c r="M393" t="s">
        <v>38</v>
      </c>
    </row>
    <row r="394" spans="1:13">
      <c r="A394" t="s">
        <v>1007</v>
      </c>
      <c r="B394" t="s">
        <v>924</v>
      </c>
      <c r="C394" t="s">
        <v>35</v>
      </c>
      <c r="D394" t="s">
        <v>1052</v>
      </c>
      <c r="E394" t="s">
        <v>926</v>
      </c>
      <c r="F394" t="s">
        <v>883</v>
      </c>
      <c r="G394">
        <f>HYPERLINK("http://clipc-services.ceda.ac.uk/dreq/u/942125e5a461fef57b1477b9a2bd5fa0.html","web")</f>
        <v>0</v>
      </c>
      <c r="J394" t="s">
        <v>927</v>
      </c>
      <c r="K394" t="s">
        <v>1012</v>
      </c>
      <c r="M394" t="s">
        <v>883</v>
      </c>
    </row>
    <row r="395" spans="1:13">
      <c r="A395" t="s">
        <v>1007</v>
      </c>
      <c r="B395" t="s">
        <v>1053</v>
      </c>
      <c r="C395" t="s">
        <v>35</v>
      </c>
      <c r="D395" t="s">
        <v>1054</v>
      </c>
      <c r="E395" t="s">
        <v>1055</v>
      </c>
      <c r="F395" t="s">
        <v>35</v>
      </c>
      <c r="G395">
        <f>HYPERLINK("http://clipc-services.ceda.ac.uk/dreq/u/a06b8e83250b870d9f39dc1f6534efcb.html","web")</f>
        <v>0</v>
      </c>
      <c r="J395" t="s">
        <v>1056</v>
      </c>
      <c r="K395" t="s">
        <v>1030</v>
      </c>
      <c r="M395" t="s">
        <v>35</v>
      </c>
    </row>
    <row r="396" spans="1:13">
      <c r="A396" t="s">
        <v>1007</v>
      </c>
      <c r="B396" t="s">
        <v>441</v>
      </c>
      <c r="C396" t="s">
        <v>35</v>
      </c>
      <c r="D396" t="s">
        <v>1057</v>
      </c>
      <c r="E396" t="s">
        <v>442</v>
      </c>
      <c r="F396" t="s">
        <v>74</v>
      </c>
      <c r="G396">
        <f>HYPERLINK("http://clipc-services.ceda.ac.uk/dreq/u/38806cec3ba894d7745fada80c9f6fe6.html","web")</f>
        <v>0</v>
      </c>
      <c r="J396" t="s">
        <v>443</v>
      </c>
      <c r="K396" t="s">
        <v>1012</v>
      </c>
      <c r="M396" t="s">
        <v>74</v>
      </c>
    </row>
    <row r="397" spans="1:13">
      <c r="A397" t="s">
        <v>1007</v>
      </c>
      <c r="B397" t="s">
        <v>1058</v>
      </c>
      <c r="C397" t="s">
        <v>35</v>
      </c>
      <c r="D397" t="s">
        <v>1057</v>
      </c>
      <c r="E397" t="s">
        <v>1059</v>
      </c>
      <c r="F397" t="s">
        <v>74</v>
      </c>
      <c r="G397">
        <f>HYPERLINK("http://clipc-services.ceda.ac.uk/dreq/u/ea83846e-a0de-11e6-bc63-ac72891c3257.html","web")</f>
        <v>0</v>
      </c>
      <c r="J397" t="s">
        <v>1060</v>
      </c>
      <c r="K397" t="s">
        <v>1012</v>
      </c>
      <c r="M397" t="s">
        <v>74</v>
      </c>
    </row>
    <row r="398" spans="1:13">
      <c r="A398" t="s">
        <v>1007</v>
      </c>
      <c r="B398" t="s">
        <v>1061</v>
      </c>
      <c r="C398" t="s">
        <v>35</v>
      </c>
      <c r="D398" t="s">
        <v>1062</v>
      </c>
      <c r="E398" t="s">
        <v>1063</v>
      </c>
      <c r="F398" t="s">
        <v>74</v>
      </c>
      <c r="G398">
        <f>HYPERLINK("http://clipc-services.ceda.ac.uk/dreq/u/eb28c564-a0de-11e6-bc63-ac72891c3257.html","web")</f>
        <v>0</v>
      </c>
      <c r="J398" t="s">
        <v>1060</v>
      </c>
      <c r="K398" t="s">
        <v>1012</v>
      </c>
      <c r="M398" t="s">
        <v>74</v>
      </c>
    </row>
    <row r="399" spans="1:13">
      <c r="A399" t="s">
        <v>1007</v>
      </c>
      <c r="B399" t="s">
        <v>1064</v>
      </c>
      <c r="C399" t="s">
        <v>35</v>
      </c>
      <c r="D399" t="s">
        <v>1062</v>
      </c>
      <c r="E399" t="s">
        <v>1065</v>
      </c>
      <c r="F399" t="s">
        <v>74</v>
      </c>
      <c r="G399">
        <f>HYPERLINK("http://clipc-services.ceda.ac.uk/dreq/u/ebd63780-a0de-11e6-bc63-ac72891c3257.html","web")</f>
        <v>0</v>
      </c>
      <c r="J399" t="s">
        <v>1066</v>
      </c>
      <c r="K399" t="s">
        <v>1012</v>
      </c>
      <c r="M399" t="s">
        <v>74</v>
      </c>
    </row>
    <row r="400" spans="1:13">
      <c r="A400" t="s">
        <v>1007</v>
      </c>
      <c r="B400" t="s">
        <v>1067</v>
      </c>
      <c r="C400" t="s">
        <v>35</v>
      </c>
      <c r="D400" t="s">
        <v>1068</v>
      </c>
      <c r="E400" t="s">
        <v>1069</v>
      </c>
      <c r="F400" t="s">
        <v>74</v>
      </c>
      <c r="G400">
        <f>HYPERLINK("http://clipc-services.ceda.ac.uk/dreq/u/590daf66-9e49-11e5-803c-0d0b866b59f3.html","web")</f>
        <v>0</v>
      </c>
      <c r="J400" t="s">
        <v>1070</v>
      </c>
      <c r="K400" t="s">
        <v>1012</v>
      </c>
      <c r="M400" t="s">
        <v>74</v>
      </c>
    </row>
    <row r="401" spans="1:13">
      <c r="A401" t="s">
        <v>1007</v>
      </c>
      <c r="B401" t="s">
        <v>1071</v>
      </c>
      <c r="C401" t="s">
        <v>35</v>
      </c>
      <c r="D401" t="s">
        <v>1020</v>
      </c>
      <c r="E401" t="s">
        <v>1072</v>
      </c>
      <c r="F401" t="s">
        <v>74</v>
      </c>
      <c r="G401">
        <f>HYPERLINK("http://clipc-services.ceda.ac.uk/dreq/u/386fb33a-a0dc-11e6-bc63-ac72891c3257.html","web")</f>
        <v>0</v>
      </c>
      <c r="J401" t="s">
        <v>1073</v>
      </c>
      <c r="K401" t="s">
        <v>1012</v>
      </c>
      <c r="M401" t="s">
        <v>74</v>
      </c>
    </row>
    <row r="402" spans="1:13">
      <c r="A402" t="s">
        <v>1007</v>
      </c>
      <c r="B402" t="s">
        <v>1074</v>
      </c>
      <c r="C402" t="s">
        <v>35</v>
      </c>
      <c r="D402" t="s">
        <v>1020</v>
      </c>
      <c r="E402" t="s">
        <v>1075</v>
      </c>
      <c r="F402" t="s">
        <v>74</v>
      </c>
      <c r="G402">
        <f>HYPERLINK("http://clipc-services.ceda.ac.uk/dreq/u/398683d4-a0dc-11e6-bc63-ac72891c3257.html","web")</f>
        <v>0</v>
      </c>
      <c r="J402" t="s">
        <v>1066</v>
      </c>
      <c r="K402" t="s">
        <v>1012</v>
      </c>
      <c r="M402" t="s">
        <v>74</v>
      </c>
    </row>
    <row r="403" spans="1:13">
      <c r="A403" t="s">
        <v>1007</v>
      </c>
      <c r="B403" t="s">
        <v>447</v>
      </c>
      <c r="C403" t="s">
        <v>35</v>
      </c>
      <c r="D403" t="s">
        <v>1057</v>
      </c>
      <c r="E403" t="s">
        <v>448</v>
      </c>
      <c r="F403" t="s">
        <v>74</v>
      </c>
      <c r="G403">
        <f>HYPERLINK("http://clipc-services.ceda.ac.uk/dreq/u/eb72b66b6365daed79aefeda9d3d30b5.html","web")</f>
        <v>0</v>
      </c>
      <c r="J403" t="s">
        <v>449</v>
      </c>
      <c r="K403" t="s">
        <v>1012</v>
      </c>
      <c r="M403" t="s">
        <v>74</v>
      </c>
    </row>
    <row r="404" spans="1:13">
      <c r="A404" t="s">
        <v>1007</v>
      </c>
      <c r="B404" t="s">
        <v>1076</v>
      </c>
      <c r="C404" t="s">
        <v>35</v>
      </c>
      <c r="D404" t="s">
        <v>1057</v>
      </c>
      <c r="E404" t="s">
        <v>1077</v>
      </c>
      <c r="F404" t="s">
        <v>74</v>
      </c>
      <c r="G404">
        <f>HYPERLINK("http://clipc-services.ceda.ac.uk/dreq/u/ea313ee8-a0de-11e6-bc63-ac72891c3257.html","web")</f>
        <v>0</v>
      </c>
      <c r="J404" t="s">
        <v>1060</v>
      </c>
      <c r="K404" t="s">
        <v>1012</v>
      </c>
      <c r="M404" t="s">
        <v>74</v>
      </c>
    </row>
    <row r="405" spans="1:13">
      <c r="A405" t="s">
        <v>1007</v>
      </c>
      <c r="B405" t="s">
        <v>1078</v>
      </c>
      <c r="C405" t="s">
        <v>35</v>
      </c>
      <c r="D405" t="s">
        <v>1062</v>
      </c>
      <c r="E405" t="s">
        <v>1079</v>
      </c>
      <c r="F405" t="s">
        <v>74</v>
      </c>
      <c r="G405">
        <f>HYPERLINK("http://clipc-services.ceda.ac.uk/dreq/u/ead5a730-a0de-11e6-bc63-ac72891c3257.html","web")</f>
        <v>0</v>
      </c>
      <c r="J405" t="s">
        <v>1060</v>
      </c>
      <c r="K405" t="s">
        <v>1012</v>
      </c>
      <c r="M405" t="s">
        <v>74</v>
      </c>
    </row>
    <row r="406" spans="1:13">
      <c r="A406" t="s">
        <v>1007</v>
      </c>
      <c r="B406" t="s">
        <v>1080</v>
      </c>
      <c r="C406" t="s">
        <v>35</v>
      </c>
      <c r="D406" t="s">
        <v>1062</v>
      </c>
      <c r="E406" t="s">
        <v>1081</v>
      </c>
      <c r="F406" t="s">
        <v>74</v>
      </c>
      <c r="G406">
        <f>HYPERLINK("http://clipc-services.ceda.ac.uk/dreq/u/eb85339e-a0de-11e6-bc63-ac72891c3257.html","web")</f>
        <v>0</v>
      </c>
      <c r="J406" t="s">
        <v>1066</v>
      </c>
      <c r="K406" t="s">
        <v>1012</v>
      </c>
      <c r="M406" t="s">
        <v>74</v>
      </c>
    </row>
    <row r="407" spans="1:13">
      <c r="A407" t="s">
        <v>1007</v>
      </c>
      <c r="B407" t="s">
        <v>1082</v>
      </c>
      <c r="C407" t="s">
        <v>35</v>
      </c>
      <c r="D407" t="s">
        <v>1068</v>
      </c>
      <c r="E407" t="s">
        <v>1083</v>
      </c>
      <c r="F407" t="s">
        <v>74</v>
      </c>
      <c r="G407">
        <f>HYPERLINK("http://clipc-services.ceda.ac.uk/dreq/u/90df05fe3dcd9fe0c9b48aaa74b5e9e.html","web")</f>
        <v>0</v>
      </c>
      <c r="J407" t="s">
        <v>1084</v>
      </c>
      <c r="K407" t="s">
        <v>1012</v>
      </c>
      <c r="M407" t="s">
        <v>74</v>
      </c>
    </row>
    <row r="408" spans="1:13">
      <c r="A408" t="s">
        <v>1007</v>
      </c>
      <c r="B408" t="s">
        <v>1085</v>
      </c>
      <c r="C408" t="s">
        <v>35</v>
      </c>
      <c r="D408" t="s">
        <v>1020</v>
      </c>
      <c r="E408" t="s">
        <v>1086</v>
      </c>
      <c r="F408" t="s">
        <v>74</v>
      </c>
      <c r="G408">
        <f>HYPERLINK("http://clipc-services.ceda.ac.uk/dreq/u/38bd2912-a0dc-11e6-bc63-ac72891c3257.html","web")</f>
        <v>0</v>
      </c>
      <c r="J408" t="s">
        <v>1087</v>
      </c>
      <c r="K408" t="s">
        <v>1012</v>
      </c>
      <c r="M408" t="s">
        <v>74</v>
      </c>
    </row>
    <row r="409" spans="1:13">
      <c r="A409" t="s">
        <v>1007</v>
      </c>
      <c r="B409" t="s">
        <v>1088</v>
      </c>
      <c r="C409" t="s">
        <v>35</v>
      </c>
      <c r="D409" t="s">
        <v>1020</v>
      </c>
      <c r="E409" t="s">
        <v>1089</v>
      </c>
      <c r="F409" t="s">
        <v>74</v>
      </c>
      <c r="G409">
        <f>HYPERLINK("http://clipc-services.ceda.ac.uk/dreq/u/39d8c78e-a0dc-11e6-bc63-ac72891c3257.html","web")</f>
        <v>0</v>
      </c>
      <c r="J409" t="s">
        <v>1066</v>
      </c>
      <c r="K409" t="s">
        <v>1012</v>
      </c>
      <c r="M409" t="s">
        <v>74</v>
      </c>
    </row>
    <row r="410" spans="1:13">
      <c r="A410" t="s">
        <v>1007</v>
      </c>
      <c r="B410" t="s">
        <v>1090</v>
      </c>
      <c r="C410" t="s">
        <v>35</v>
      </c>
      <c r="D410" t="s">
        <v>1020</v>
      </c>
      <c r="E410" t="s">
        <v>1091</v>
      </c>
      <c r="F410" t="s">
        <v>74</v>
      </c>
      <c r="G410">
        <f>HYPERLINK("http://clipc-services.ceda.ac.uk/dreq/u/3819950e-a0dc-11e6-bc63-ac72891c3257.html","web")</f>
        <v>0</v>
      </c>
      <c r="J410" t="s">
        <v>1073</v>
      </c>
      <c r="K410" t="s">
        <v>1012</v>
      </c>
      <c r="M410" t="s">
        <v>74</v>
      </c>
    </row>
    <row r="411" spans="1:13">
      <c r="A411" t="s">
        <v>1007</v>
      </c>
      <c r="B411" t="s">
        <v>1092</v>
      </c>
      <c r="C411" t="s">
        <v>35</v>
      </c>
      <c r="D411" t="s">
        <v>1020</v>
      </c>
      <c r="E411" t="s">
        <v>1093</v>
      </c>
      <c r="F411" t="s">
        <v>74</v>
      </c>
      <c r="G411">
        <f>HYPERLINK("http://clipc-services.ceda.ac.uk/dreq/u/3912bdc8-a0dc-11e6-bc63-ac72891c3257.html","web")</f>
        <v>0</v>
      </c>
      <c r="J411" t="s">
        <v>1066</v>
      </c>
      <c r="K411" t="s">
        <v>1012</v>
      </c>
      <c r="M411" t="s">
        <v>74</v>
      </c>
    </row>
    <row r="412" spans="1:13">
      <c r="A412" t="s">
        <v>1007</v>
      </c>
      <c r="B412" t="s">
        <v>1094</v>
      </c>
      <c r="C412" t="s">
        <v>35</v>
      </c>
      <c r="D412" t="s">
        <v>1020</v>
      </c>
      <c r="E412" t="s">
        <v>1095</v>
      </c>
      <c r="F412" t="s">
        <v>74</v>
      </c>
      <c r="G412">
        <f>HYPERLINK("http://clipc-services.ceda.ac.uk/dreq/u/af7306dc-a0da-11e6-bc63-ac72891c3257.html","web")</f>
        <v>0</v>
      </c>
      <c r="J412" t="s">
        <v>1096</v>
      </c>
      <c r="K412" t="s">
        <v>1012</v>
      </c>
      <c r="M412" t="s">
        <v>74</v>
      </c>
    </row>
    <row r="413" spans="1:13">
      <c r="A413" t="s">
        <v>1007</v>
      </c>
      <c r="B413" t="s">
        <v>1097</v>
      </c>
      <c r="C413" t="s">
        <v>35</v>
      </c>
      <c r="D413" t="s">
        <v>1068</v>
      </c>
      <c r="E413" t="s">
        <v>1098</v>
      </c>
      <c r="F413" t="s">
        <v>1099</v>
      </c>
      <c r="G413">
        <f>HYPERLINK("http://clipc-services.ceda.ac.uk/dreq/u/9c35e2ac-a0de-11e6-bc63-ac72891c3257.html","web")</f>
        <v>0</v>
      </c>
      <c r="J413" t="s">
        <v>1100</v>
      </c>
      <c r="K413" t="s">
        <v>1012</v>
      </c>
      <c r="M413" t="s">
        <v>1099</v>
      </c>
    </row>
    <row r="414" spans="1:13">
      <c r="A414" t="s">
        <v>1007</v>
      </c>
      <c r="B414" t="s">
        <v>1101</v>
      </c>
      <c r="C414" t="s">
        <v>50</v>
      </c>
      <c r="D414" t="s">
        <v>1102</v>
      </c>
      <c r="E414" t="s">
        <v>30</v>
      </c>
      <c r="F414" t="s">
        <v>31</v>
      </c>
      <c r="G414">
        <f>HYPERLINK("http://clipc-services.ceda.ac.uk/dreq/u/51fb29dd55442361fa9c5dbe23aca9c6.html","web")</f>
        <v>0</v>
      </c>
      <c r="J414" t="s">
        <v>32</v>
      </c>
      <c r="K414" t="s">
        <v>21</v>
      </c>
      <c r="M414" t="s">
        <v>31</v>
      </c>
    </row>
    <row r="416" spans="1:13">
      <c r="A416" t="s">
        <v>1103</v>
      </c>
      <c r="B416" t="s">
        <v>333</v>
      </c>
      <c r="C416" t="s">
        <v>16</v>
      </c>
      <c r="D416" t="s">
        <v>1052</v>
      </c>
      <c r="E416" t="s">
        <v>335</v>
      </c>
      <c r="F416" t="s">
        <v>179</v>
      </c>
      <c r="G416">
        <f>HYPERLINK("http://clipc-services.ceda.ac.uk/dreq/u/6d790fe4caa7feff46a41ae7b3811e52.html","web")</f>
        <v>0</v>
      </c>
      <c r="J416" t="s">
        <v>336</v>
      </c>
      <c r="K416" t="s">
        <v>21</v>
      </c>
      <c r="M416" t="s">
        <v>179</v>
      </c>
    </row>
    <row r="417" spans="1:13">
      <c r="A417" t="s">
        <v>1103</v>
      </c>
      <c r="B417" t="s">
        <v>1104</v>
      </c>
      <c r="C417" t="s">
        <v>50</v>
      </c>
      <c r="D417" t="s">
        <v>407</v>
      </c>
      <c r="E417" t="s">
        <v>1105</v>
      </c>
      <c r="F417" t="s">
        <v>57</v>
      </c>
      <c r="G417">
        <f>HYPERLINK("http://clipc-services.ceda.ac.uk/dreq/u/d80ff3a0dec0b1256a0943aadab66813.html","web")</f>
        <v>0</v>
      </c>
      <c r="J417" t="s">
        <v>1106</v>
      </c>
      <c r="K417" t="s">
        <v>1030</v>
      </c>
      <c r="M417" t="s">
        <v>57</v>
      </c>
    </row>
    <row r="418" spans="1:13">
      <c r="A418" t="s">
        <v>1103</v>
      </c>
      <c r="B418" t="s">
        <v>1107</v>
      </c>
      <c r="C418" t="s">
        <v>50</v>
      </c>
      <c r="D418" t="s">
        <v>407</v>
      </c>
      <c r="E418" t="s">
        <v>1108</v>
      </c>
      <c r="F418" t="s">
        <v>57</v>
      </c>
      <c r="G418">
        <f>HYPERLINK("http://clipc-services.ceda.ac.uk/dreq/u/c2270065bb39bfa4fbf0d13a78dfa8a1.html","web")</f>
        <v>0</v>
      </c>
      <c r="J418" t="s">
        <v>1106</v>
      </c>
      <c r="K418" t="s">
        <v>1030</v>
      </c>
      <c r="M418" t="s">
        <v>57</v>
      </c>
    </row>
    <row r="419" spans="1:13">
      <c r="A419" t="s">
        <v>1103</v>
      </c>
      <c r="B419" t="s">
        <v>1109</v>
      </c>
      <c r="C419" t="s">
        <v>50</v>
      </c>
      <c r="D419" t="s">
        <v>407</v>
      </c>
      <c r="E419" t="s">
        <v>1110</v>
      </c>
      <c r="F419" t="s">
        <v>57</v>
      </c>
      <c r="G419">
        <f>HYPERLINK("http://clipc-services.ceda.ac.uk/dreq/u/7aa8f285b17a5bcfce416f19c29d6d72.html","web")</f>
        <v>0</v>
      </c>
      <c r="J419" t="s">
        <v>1111</v>
      </c>
      <c r="K419" t="s">
        <v>1030</v>
      </c>
      <c r="M419" t="s">
        <v>57</v>
      </c>
    </row>
    <row r="420" spans="1:13">
      <c r="A420" t="s">
        <v>1103</v>
      </c>
      <c r="B420" t="s">
        <v>1112</v>
      </c>
      <c r="C420" t="s">
        <v>35</v>
      </c>
      <c r="D420" t="s">
        <v>407</v>
      </c>
      <c r="E420" t="s">
        <v>1113</v>
      </c>
      <c r="F420" t="s">
        <v>455</v>
      </c>
      <c r="G420">
        <f>HYPERLINK("http://clipc-services.ceda.ac.uk/dreq/u/590ec6bc-9e49-11e5-803c-0d0b866b59f3.html","web")</f>
        <v>0</v>
      </c>
      <c r="J420" t="s">
        <v>1114</v>
      </c>
      <c r="K420" t="s">
        <v>1030</v>
      </c>
      <c r="M420" t="s">
        <v>455</v>
      </c>
    </row>
    <row r="421" spans="1:13">
      <c r="A421" t="s">
        <v>1103</v>
      </c>
      <c r="B421" t="s">
        <v>1115</v>
      </c>
      <c r="C421" t="s">
        <v>35</v>
      </c>
      <c r="D421" t="s">
        <v>407</v>
      </c>
      <c r="E421" t="s">
        <v>1116</v>
      </c>
      <c r="F421" t="s">
        <v>455</v>
      </c>
      <c r="G421">
        <f>HYPERLINK("http://clipc-services.ceda.ac.uk/dreq/u/59135d8a-9e49-11e5-803c-0d0b866b59f3.html","web")</f>
        <v>0</v>
      </c>
      <c r="J421" t="s">
        <v>1117</v>
      </c>
      <c r="K421" t="s">
        <v>1030</v>
      </c>
      <c r="M421" t="s">
        <v>455</v>
      </c>
    </row>
    <row r="422" spans="1:13">
      <c r="A422" t="s">
        <v>1103</v>
      </c>
      <c r="B422" t="s">
        <v>463</v>
      </c>
      <c r="C422" t="s">
        <v>16</v>
      </c>
      <c r="D422" t="s">
        <v>1052</v>
      </c>
      <c r="E422" t="s">
        <v>464</v>
      </c>
      <c r="F422" t="s">
        <v>19</v>
      </c>
      <c r="G422">
        <f>HYPERLINK("http://clipc-services.ceda.ac.uk/dreq/u/c8b1814845661bcad37910e70a59b285.html","web")</f>
        <v>0</v>
      </c>
      <c r="J422" t="s">
        <v>464</v>
      </c>
      <c r="K422" t="s">
        <v>21</v>
      </c>
      <c r="M422" t="s">
        <v>19</v>
      </c>
    </row>
    <row r="423" spans="1:13">
      <c r="A423" t="s">
        <v>1103</v>
      </c>
      <c r="B423" t="s">
        <v>1118</v>
      </c>
      <c r="C423" t="s">
        <v>35</v>
      </c>
      <c r="D423" t="s">
        <v>407</v>
      </c>
      <c r="E423" t="s">
        <v>1119</v>
      </c>
      <c r="F423" t="s">
        <v>19</v>
      </c>
      <c r="G423">
        <f>HYPERLINK("http://clipc-services.ceda.ac.uk/dreq/u/590dcb0e-9e49-11e5-803c-0d0b866b59f3.html","web")</f>
        <v>0</v>
      </c>
      <c r="J423" t="s">
        <v>1120</v>
      </c>
      <c r="K423" t="s">
        <v>1030</v>
      </c>
      <c r="M423" t="s">
        <v>19</v>
      </c>
    </row>
    <row r="424" spans="1:13">
      <c r="A424" t="s">
        <v>1103</v>
      </c>
      <c r="B424" t="s">
        <v>1121</v>
      </c>
      <c r="C424" t="s">
        <v>35</v>
      </c>
      <c r="D424" t="s">
        <v>407</v>
      </c>
      <c r="E424" t="s">
        <v>1122</v>
      </c>
      <c r="F424" t="s">
        <v>19</v>
      </c>
      <c r="G424">
        <f>HYPERLINK("http://clipc-services.ceda.ac.uk/dreq/u/59143570-9e49-11e5-803c-0d0b866b59f3.html","web")</f>
        <v>0</v>
      </c>
      <c r="J424" t="s">
        <v>1114</v>
      </c>
      <c r="K424" t="s">
        <v>1030</v>
      </c>
      <c r="M424" t="s">
        <v>19</v>
      </c>
    </row>
    <row r="426" spans="1:13">
      <c r="A426" t="s">
        <v>1123</v>
      </c>
      <c r="B426" t="s">
        <v>961</v>
      </c>
      <c r="C426" t="s">
        <v>35</v>
      </c>
      <c r="D426" t="s">
        <v>152</v>
      </c>
      <c r="E426" t="s">
        <v>962</v>
      </c>
      <c r="F426" t="s">
        <v>35</v>
      </c>
      <c r="G426">
        <f>HYPERLINK("http://clipc-services.ceda.ac.uk/dreq/u/db3d77eebc6dc2fbcab4e0f894e46037.html","web")</f>
        <v>0</v>
      </c>
      <c r="J426" t="s">
        <v>963</v>
      </c>
      <c r="K426" t="s">
        <v>69</v>
      </c>
      <c r="M426" t="s">
        <v>35</v>
      </c>
    </row>
    <row r="427" spans="1:13">
      <c r="A427" t="s">
        <v>1123</v>
      </c>
      <c r="B427" t="s">
        <v>1124</v>
      </c>
      <c r="C427" t="s">
        <v>35</v>
      </c>
      <c r="D427" t="s">
        <v>1125</v>
      </c>
      <c r="E427" t="s">
        <v>1126</v>
      </c>
      <c r="F427" t="s">
        <v>368</v>
      </c>
      <c r="G427">
        <f>HYPERLINK("http://clipc-services.ceda.ac.uk/dreq/u/0cde14f7745a201d47b856579bf6e759.html","web")</f>
        <v>0</v>
      </c>
      <c r="J427" t="s">
        <v>1127</v>
      </c>
      <c r="K427" t="s">
        <v>69</v>
      </c>
      <c r="M427" t="s">
        <v>368</v>
      </c>
    </row>
    <row r="428" spans="1:13">
      <c r="A428" t="s">
        <v>1123</v>
      </c>
      <c r="B428" t="s">
        <v>1128</v>
      </c>
      <c r="C428" t="s">
        <v>35</v>
      </c>
      <c r="D428" t="s">
        <v>1125</v>
      </c>
      <c r="E428" t="s">
        <v>1129</v>
      </c>
      <c r="F428" t="s">
        <v>57</v>
      </c>
      <c r="G428">
        <f>HYPERLINK("http://clipc-services.ceda.ac.uk/dreq/u/fc0bedbaf6d676fb85fe189310c871a8.html","web")</f>
        <v>0</v>
      </c>
      <c r="J428" t="s">
        <v>1130</v>
      </c>
      <c r="K428" t="s">
        <v>69</v>
      </c>
      <c r="M428" t="s">
        <v>57</v>
      </c>
    </row>
    <row r="429" spans="1:13">
      <c r="A429" t="s">
        <v>1123</v>
      </c>
      <c r="B429" t="s">
        <v>1131</v>
      </c>
      <c r="C429" t="s">
        <v>35</v>
      </c>
      <c r="D429" t="s">
        <v>1132</v>
      </c>
      <c r="E429" t="s">
        <v>1133</v>
      </c>
      <c r="F429" t="s">
        <v>57</v>
      </c>
      <c r="G429">
        <f>HYPERLINK("http://clipc-services.ceda.ac.uk/dreq/u/b1644981b0abd369ad35fac3fc930873.html","web")</f>
        <v>0</v>
      </c>
      <c r="J429" t="s">
        <v>1134</v>
      </c>
      <c r="K429" t="s">
        <v>69</v>
      </c>
      <c r="M429" t="s">
        <v>57</v>
      </c>
    </row>
    <row r="431" spans="1:13">
      <c r="A431" t="s">
        <v>1135</v>
      </c>
      <c r="B431" t="s">
        <v>136</v>
      </c>
      <c r="C431" t="s">
        <v>16</v>
      </c>
      <c r="D431" t="s">
        <v>1136</v>
      </c>
      <c r="E431" t="s">
        <v>137</v>
      </c>
      <c r="F431" t="s">
        <v>138</v>
      </c>
      <c r="G431">
        <f>HYPERLINK("http://clipc-services.ceda.ac.uk/dreq/u/84115d24881654a3deceba63b22cba06.html","web")</f>
        <v>0</v>
      </c>
      <c r="J431" t="s">
        <v>139</v>
      </c>
      <c r="K431" t="s">
        <v>1137</v>
      </c>
      <c r="M431" t="s">
        <v>138</v>
      </c>
    </row>
    <row r="432" spans="1:13">
      <c r="A432" t="s">
        <v>1135</v>
      </c>
      <c r="B432" t="s">
        <v>1138</v>
      </c>
      <c r="C432" t="s">
        <v>16</v>
      </c>
      <c r="D432" t="s">
        <v>1139</v>
      </c>
      <c r="E432" t="s">
        <v>137</v>
      </c>
      <c r="F432" t="s">
        <v>138</v>
      </c>
      <c r="G432">
        <f>HYPERLINK("http://clipc-services.ceda.ac.uk/dreq/u/84115d24881654a3deceba63b22cba06.html","web")</f>
        <v>0</v>
      </c>
      <c r="J432" t="s">
        <v>139</v>
      </c>
      <c r="K432" t="s">
        <v>1137</v>
      </c>
      <c r="M432" t="s">
        <v>138</v>
      </c>
    </row>
    <row r="433" spans="1:13">
      <c r="A433" t="s">
        <v>1135</v>
      </c>
      <c r="B433" t="s">
        <v>141</v>
      </c>
      <c r="C433" t="s">
        <v>16</v>
      </c>
      <c r="D433" t="s">
        <v>1136</v>
      </c>
      <c r="E433" t="s">
        <v>142</v>
      </c>
      <c r="F433" t="s">
        <v>143</v>
      </c>
      <c r="G433">
        <f>HYPERLINK("http://clipc-services.ceda.ac.uk/dreq/u/64c32fcf490e2e5e9918a5401fa48424.html","web")</f>
        <v>0</v>
      </c>
      <c r="J433" t="s">
        <v>144</v>
      </c>
      <c r="K433" t="s">
        <v>1137</v>
      </c>
      <c r="M433" t="s">
        <v>143</v>
      </c>
    </row>
    <row r="434" spans="1:13">
      <c r="A434" t="s">
        <v>1135</v>
      </c>
      <c r="B434" t="s">
        <v>1140</v>
      </c>
      <c r="C434" t="s">
        <v>16</v>
      </c>
      <c r="D434" t="s">
        <v>1139</v>
      </c>
      <c r="E434" t="s">
        <v>142</v>
      </c>
      <c r="F434" t="s">
        <v>143</v>
      </c>
      <c r="G434">
        <f>HYPERLINK("http://clipc-services.ceda.ac.uk/dreq/u/64c32fcf490e2e5e9918a5401fa48424.html","web")</f>
        <v>0</v>
      </c>
      <c r="J434" t="s">
        <v>144</v>
      </c>
      <c r="K434" t="s">
        <v>1137</v>
      </c>
      <c r="M434" t="s">
        <v>143</v>
      </c>
    </row>
    <row r="435" spans="1:13">
      <c r="A435" t="s">
        <v>1135</v>
      </c>
      <c r="B435" t="s">
        <v>1141</v>
      </c>
      <c r="C435" t="s">
        <v>16</v>
      </c>
      <c r="D435" t="s">
        <v>1136</v>
      </c>
      <c r="E435" t="s">
        <v>1142</v>
      </c>
      <c r="F435" t="s">
        <v>138</v>
      </c>
      <c r="G435">
        <f>HYPERLINK("http://clipc-services.ceda.ac.uk/dreq/u/b21073e1a8fa421ecd21766bc8442acd.html","web")</f>
        <v>0</v>
      </c>
      <c r="J435" t="s">
        <v>1143</v>
      </c>
      <c r="K435" t="s">
        <v>1137</v>
      </c>
      <c r="M435" t="s">
        <v>138</v>
      </c>
    </row>
    <row r="436" spans="1:13">
      <c r="A436" t="s">
        <v>1135</v>
      </c>
      <c r="B436" t="s">
        <v>1144</v>
      </c>
      <c r="C436" t="s">
        <v>16</v>
      </c>
      <c r="D436" t="s">
        <v>1139</v>
      </c>
      <c r="E436" t="s">
        <v>1142</v>
      </c>
      <c r="F436" t="s">
        <v>138</v>
      </c>
      <c r="G436">
        <f>HYPERLINK("http://clipc-services.ceda.ac.uk/dreq/u/b21073e1a8fa421ecd21766bc8442acd.html","web")</f>
        <v>0</v>
      </c>
      <c r="J436" t="s">
        <v>1143</v>
      </c>
      <c r="K436" t="s">
        <v>1137</v>
      </c>
      <c r="M436" t="s">
        <v>138</v>
      </c>
    </row>
    <row r="437" spans="1:13">
      <c r="A437" t="s">
        <v>1135</v>
      </c>
      <c r="B437" t="s">
        <v>145</v>
      </c>
      <c r="C437" t="s">
        <v>16</v>
      </c>
      <c r="D437" t="s">
        <v>1136</v>
      </c>
      <c r="E437" t="s">
        <v>146</v>
      </c>
      <c r="F437" t="s">
        <v>143</v>
      </c>
      <c r="G437">
        <f>HYPERLINK("http://clipc-services.ceda.ac.uk/dreq/u/1cf6c7fa0adedf95b3eaad5fb3f96b1c.html","web")</f>
        <v>0</v>
      </c>
      <c r="J437" t="s">
        <v>147</v>
      </c>
      <c r="K437" t="s">
        <v>1137</v>
      </c>
      <c r="M437" t="s">
        <v>143</v>
      </c>
    </row>
    <row r="438" spans="1:13">
      <c r="A438" t="s">
        <v>1135</v>
      </c>
      <c r="B438" t="s">
        <v>1145</v>
      </c>
      <c r="C438" t="s">
        <v>16</v>
      </c>
      <c r="D438" t="s">
        <v>1136</v>
      </c>
      <c r="E438" t="s">
        <v>1146</v>
      </c>
      <c r="F438" t="s">
        <v>138</v>
      </c>
      <c r="G438">
        <f>HYPERLINK("http://clipc-services.ceda.ac.uk/dreq/u/00460a02b5fde2d2bc592e8ac81af0c5.html","web")</f>
        <v>0</v>
      </c>
      <c r="J438" t="s">
        <v>1147</v>
      </c>
      <c r="K438" t="s">
        <v>1137</v>
      </c>
      <c r="M438" t="s">
        <v>138</v>
      </c>
    </row>
    <row r="439" spans="1:13">
      <c r="A439" t="s">
        <v>1135</v>
      </c>
      <c r="B439" t="s">
        <v>1148</v>
      </c>
      <c r="C439" t="s">
        <v>16</v>
      </c>
      <c r="D439" t="s">
        <v>1139</v>
      </c>
      <c r="E439" t="s">
        <v>1146</v>
      </c>
      <c r="F439" t="s">
        <v>138</v>
      </c>
      <c r="G439">
        <f>HYPERLINK("http://clipc-services.ceda.ac.uk/dreq/u/00460a02b5fde2d2bc592e8ac81af0c5.html","web")</f>
        <v>0</v>
      </c>
      <c r="J439" t="s">
        <v>1147</v>
      </c>
      <c r="K439" t="s">
        <v>1137</v>
      </c>
      <c r="M439" t="s">
        <v>138</v>
      </c>
    </row>
    <row r="440" spans="1:13">
      <c r="A440" t="s">
        <v>1135</v>
      </c>
      <c r="B440" t="s">
        <v>148</v>
      </c>
      <c r="C440" t="s">
        <v>16</v>
      </c>
      <c r="D440" t="s">
        <v>1136</v>
      </c>
      <c r="E440" t="s">
        <v>149</v>
      </c>
      <c r="F440" t="s">
        <v>143</v>
      </c>
      <c r="G440">
        <f>HYPERLINK("http://clipc-services.ceda.ac.uk/dreq/u/b02d071fff99f2632aa8ac5e83e92215.html","web")</f>
        <v>0</v>
      </c>
      <c r="J440" t="s">
        <v>150</v>
      </c>
      <c r="K440" t="s">
        <v>1137</v>
      </c>
      <c r="M440" t="s">
        <v>143</v>
      </c>
    </row>
    <row r="441" spans="1:13">
      <c r="A441" t="s">
        <v>1135</v>
      </c>
      <c r="B441" t="s">
        <v>1149</v>
      </c>
      <c r="C441" t="s">
        <v>16</v>
      </c>
      <c r="D441" t="s">
        <v>1136</v>
      </c>
      <c r="E441" t="s">
        <v>1150</v>
      </c>
      <c r="F441" t="s">
        <v>138</v>
      </c>
      <c r="G441">
        <f>HYPERLINK("http://clipc-services.ceda.ac.uk/dreq/u/007c5380d1b91abef954c3b97871f018.html","web")</f>
        <v>0</v>
      </c>
      <c r="J441" t="s">
        <v>1151</v>
      </c>
      <c r="K441" t="s">
        <v>1137</v>
      </c>
      <c r="M441" t="s">
        <v>138</v>
      </c>
    </row>
    <row r="442" spans="1:13">
      <c r="A442" t="s">
        <v>1135</v>
      </c>
      <c r="B442" t="s">
        <v>1152</v>
      </c>
      <c r="C442" t="s">
        <v>16</v>
      </c>
      <c r="D442" t="s">
        <v>1139</v>
      </c>
      <c r="E442" t="s">
        <v>1150</v>
      </c>
      <c r="F442" t="s">
        <v>138</v>
      </c>
      <c r="G442">
        <f>HYPERLINK("http://clipc-services.ceda.ac.uk/dreq/u/007c5380d1b91abef954c3b97871f018.html","web")</f>
        <v>0</v>
      </c>
      <c r="J442" t="s">
        <v>1151</v>
      </c>
      <c r="K442" t="s">
        <v>1137</v>
      </c>
      <c r="M442" t="s">
        <v>138</v>
      </c>
    </row>
    <row r="443" spans="1:13">
      <c r="A443" t="s">
        <v>1135</v>
      </c>
      <c r="B443" t="s">
        <v>1153</v>
      </c>
      <c r="C443" t="s">
        <v>16</v>
      </c>
      <c r="D443" t="s">
        <v>1136</v>
      </c>
      <c r="E443" t="s">
        <v>1154</v>
      </c>
      <c r="F443" t="s">
        <v>143</v>
      </c>
      <c r="G443">
        <f>HYPERLINK("http://clipc-services.ceda.ac.uk/dreq/u/478c43820503be64675fb49227d2f999.html","web")</f>
        <v>0</v>
      </c>
      <c r="J443" t="s">
        <v>1155</v>
      </c>
      <c r="K443" t="s">
        <v>1137</v>
      </c>
      <c r="M443" t="s">
        <v>143</v>
      </c>
    </row>
    <row r="444" spans="1:13">
      <c r="A444" t="s">
        <v>1135</v>
      </c>
      <c r="B444" t="s">
        <v>1156</v>
      </c>
      <c r="C444" t="s">
        <v>16</v>
      </c>
      <c r="D444" t="s">
        <v>1136</v>
      </c>
      <c r="E444" t="s">
        <v>1157</v>
      </c>
      <c r="F444" t="s">
        <v>143</v>
      </c>
      <c r="G444">
        <f>HYPERLINK("http://clipc-services.ceda.ac.uk/dreq/u/f94930c327a257dddea9ef9d0e260ed3.html","web")</f>
        <v>0</v>
      </c>
      <c r="J444" t="s">
        <v>1158</v>
      </c>
      <c r="K444" t="s">
        <v>1159</v>
      </c>
      <c r="M444" t="s">
        <v>143</v>
      </c>
    </row>
    <row r="445" spans="1:13">
      <c r="A445" t="s">
        <v>1135</v>
      </c>
      <c r="B445" t="s">
        <v>1160</v>
      </c>
      <c r="C445" t="s">
        <v>16</v>
      </c>
      <c r="D445" t="s">
        <v>1136</v>
      </c>
      <c r="E445" t="s">
        <v>1161</v>
      </c>
      <c r="F445" t="s">
        <v>143</v>
      </c>
      <c r="G445">
        <f>HYPERLINK("http://clipc-services.ceda.ac.uk/dreq/u/62cb333ec6550e64596f563d114977af.html","web")</f>
        <v>0</v>
      </c>
      <c r="J445" t="s">
        <v>1162</v>
      </c>
      <c r="K445" t="s">
        <v>1159</v>
      </c>
      <c r="M445" t="s">
        <v>143</v>
      </c>
    </row>
    <row r="446" spans="1:13">
      <c r="A446" t="s">
        <v>1135</v>
      </c>
      <c r="B446" t="s">
        <v>1163</v>
      </c>
      <c r="C446" t="s">
        <v>16</v>
      </c>
      <c r="D446" t="s">
        <v>1136</v>
      </c>
      <c r="E446" t="s">
        <v>1164</v>
      </c>
      <c r="F446" t="s">
        <v>143</v>
      </c>
      <c r="G446">
        <f>HYPERLINK("http://clipc-services.ceda.ac.uk/dreq/u/4fb426293126d528f2bbf902b6ede847.html","web")</f>
        <v>0</v>
      </c>
      <c r="J446" t="s">
        <v>1165</v>
      </c>
      <c r="K446" t="s">
        <v>1159</v>
      </c>
      <c r="M446" t="s">
        <v>143</v>
      </c>
    </row>
    <row r="447" spans="1:13">
      <c r="A447" t="s">
        <v>1135</v>
      </c>
      <c r="B447" t="s">
        <v>151</v>
      </c>
      <c r="C447" t="s">
        <v>16</v>
      </c>
      <c r="D447" t="s">
        <v>1136</v>
      </c>
      <c r="E447" t="s">
        <v>153</v>
      </c>
      <c r="F447" t="s">
        <v>74</v>
      </c>
      <c r="G447">
        <f>HYPERLINK("http://clipc-services.ceda.ac.uk/dreq/u/f56a3a44b60650b58309b1d8cf58b913.html","web")</f>
        <v>0</v>
      </c>
      <c r="J447" t="s">
        <v>154</v>
      </c>
      <c r="K447" t="s">
        <v>1137</v>
      </c>
      <c r="M447" t="s">
        <v>74</v>
      </c>
    </row>
    <row r="448" spans="1:13">
      <c r="A448" t="s">
        <v>1135</v>
      </c>
      <c r="B448" t="s">
        <v>266</v>
      </c>
      <c r="C448" t="s">
        <v>16</v>
      </c>
      <c r="D448" t="s">
        <v>1136</v>
      </c>
      <c r="E448" t="s">
        <v>267</v>
      </c>
      <c r="F448" t="s">
        <v>74</v>
      </c>
      <c r="G448">
        <f>HYPERLINK("http://clipc-services.ceda.ac.uk/dreq/u/bb27046ce21470dfbbecdd4f7eca546a.html","web")</f>
        <v>0</v>
      </c>
      <c r="J448" t="s">
        <v>268</v>
      </c>
      <c r="K448" t="s">
        <v>1137</v>
      </c>
      <c r="M448" t="s">
        <v>74</v>
      </c>
    </row>
    <row r="449" spans="1:13">
      <c r="A449" t="s">
        <v>1135</v>
      </c>
      <c r="B449" t="s">
        <v>1166</v>
      </c>
      <c r="C449" t="s">
        <v>16</v>
      </c>
      <c r="D449" t="s">
        <v>1136</v>
      </c>
      <c r="E449" t="s">
        <v>1167</v>
      </c>
      <c r="F449" t="s">
        <v>74</v>
      </c>
      <c r="G449">
        <f>HYPERLINK("http://clipc-services.ceda.ac.uk/dreq/u/1763f47c438dc252b1317c9861792f50.html","web")</f>
        <v>0</v>
      </c>
      <c r="J449" t="s">
        <v>1168</v>
      </c>
      <c r="K449" t="s">
        <v>1159</v>
      </c>
      <c r="M449" t="s">
        <v>74</v>
      </c>
    </row>
    <row r="450" spans="1:13">
      <c r="A450" t="s">
        <v>1135</v>
      </c>
      <c r="B450" t="s">
        <v>1169</v>
      </c>
      <c r="C450" t="s">
        <v>16</v>
      </c>
      <c r="D450" t="s">
        <v>1136</v>
      </c>
      <c r="E450" t="s">
        <v>1170</v>
      </c>
      <c r="F450" t="s">
        <v>74</v>
      </c>
      <c r="G450">
        <f>HYPERLINK("http://clipc-services.ceda.ac.uk/dreq/u/d00cab8104f1a9e853ebfa511d725462.html","web")</f>
        <v>0</v>
      </c>
      <c r="J450" t="s">
        <v>1171</v>
      </c>
      <c r="K450" t="s">
        <v>1159</v>
      </c>
      <c r="M450" t="s">
        <v>74</v>
      </c>
    </row>
    <row r="451" spans="1:13">
      <c r="A451" t="s">
        <v>1135</v>
      </c>
      <c r="B451" t="s">
        <v>338</v>
      </c>
      <c r="C451" t="s">
        <v>35</v>
      </c>
      <c r="D451" t="s">
        <v>1136</v>
      </c>
      <c r="E451" t="s">
        <v>339</v>
      </c>
      <c r="F451" t="s">
        <v>57</v>
      </c>
      <c r="G451">
        <f>HYPERLINK("http://clipc-services.ceda.ac.uk/dreq/u/44471dd9799293cef70ac63fcdd2476e.html","web")</f>
        <v>0</v>
      </c>
      <c r="J451" t="s">
        <v>340</v>
      </c>
      <c r="K451" t="s">
        <v>1159</v>
      </c>
      <c r="M451" t="s">
        <v>57</v>
      </c>
    </row>
    <row r="453" spans="1:13">
      <c r="A453" t="s">
        <v>1172</v>
      </c>
      <c r="B453" t="s">
        <v>1173</v>
      </c>
      <c r="C453" t="s">
        <v>35</v>
      </c>
      <c r="D453" t="s">
        <v>51</v>
      </c>
      <c r="E453" t="s">
        <v>1174</v>
      </c>
      <c r="G453">
        <f>HYPERLINK("http://clipc-services.ceda.ac.uk/dreq/u/962e51dc-267b-11e7-96a5-ac72891c3257.html","web")</f>
        <v>0</v>
      </c>
      <c r="J453" t="s">
        <v>1175</v>
      </c>
      <c r="K453" t="s">
        <v>1176</v>
      </c>
    </row>
    <row r="454" spans="1:13">
      <c r="A454" t="s">
        <v>1172</v>
      </c>
      <c r="B454" t="s">
        <v>269</v>
      </c>
      <c r="C454" t="s">
        <v>35</v>
      </c>
      <c r="D454" t="s">
        <v>1177</v>
      </c>
      <c r="E454" t="s">
        <v>270</v>
      </c>
      <c r="F454" t="s">
        <v>271</v>
      </c>
      <c r="G454">
        <f>HYPERLINK("http://clipc-services.ceda.ac.uk/dreq/u/4c69515bfc84c5cb5624e94228f58351.html","web")</f>
        <v>0</v>
      </c>
      <c r="J454" t="s">
        <v>272</v>
      </c>
      <c r="K454" t="s">
        <v>1178</v>
      </c>
      <c r="M454" t="s">
        <v>271</v>
      </c>
    </row>
    <row r="456" spans="1:13">
      <c r="A456" t="s">
        <v>1179</v>
      </c>
      <c r="B456" t="s">
        <v>1180</v>
      </c>
      <c r="C456" t="s">
        <v>16</v>
      </c>
      <c r="D456" t="s">
        <v>17</v>
      </c>
      <c r="E456" t="s">
        <v>1181</v>
      </c>
      <c r="F456" t="s">
        <v>35</v>
      </c>
      <c r="G456">
        <f>HYPERLINK("http://clipc-services.ceda.ac.uk/dreq/u/5913a2fe-9e49-11e5-803c-0d0b866b59f3.html","web")</f>
        <v>0</v>
      </c>
      <c r="J456" t="s">
        <v>1182</v>
      </c>
      <c r="K456" t="s">
        <v>21</v>
      </c>
      <c r="M456" t="s">
        <v>35</v>
      </c>
    </row>
    <row r="457" spans="1:13">
      <c r="A457" t="s">
        <v>1179</v>
      </c>
      <c r="B457" t="s">
        <v>1183</v>
      </c>
      <c r="C457" t="s">
        <v>16</v>
      </c>
      <c r="D457" t="s">
        <v>17</v>
      </c>
      <c r="E457" t="s">
        <v>1184</v>
      </c>
      <c r="F457" t="s">
        <v>35</v>
      </c>
      <c r="G457">
        <f>HYPERLINK("http://clipc-services.ceda.ac.uk/dreq/u/59151288-9e49-11e5-803c-0d0b866b59f3.html","web")</f>
        <v>0</v>
      </c>
      <c r="J457" t="s">
        <v>1185</v>
      </c>
      <c r="K457" t="s">
        <v>21</v>
      </c>
      <c r="M457" t="s">
        <v>35</v>
      </c>
    </row>
    <row r="458" spans="1:13">
      <c r="A458" t="s">
        <v>1179</v>
      </c>
      <c r="B458" t="s">
        <v>1186</v>
      </c>
      <c r="C458" t="s">
        <v>16</v>
      </c>
      <c r="D458" t="s">
        <v>1068</v>
      </c>
      <c r="E458" t="s">
        <v>1187</v>
      </c>
      <c r="F458" t="s">
        <v>35</v>
      </c>
      <c r="G458">
        <f>HYPERLINK("http://clipc-services.ceda.ac.uk/dreq/u/7c0c62d0dc4787a601a1bc1c4e3f7597.html","web")</f>
        <v>0</v>
      </c>
      <c r="J458" t="s">
        <v>1188</v>
      </c>
      <c r="K458" t="s">
        <v>21</v>
      </c>
      <c r="M458" t="s">
        <v>35</v>
      </c>
    </row>
    <row r="459" spans="1:13">
      <c r="A459" t="s">
        <v>1179</v>
      </c>
      <c r="B459" t="s">
        <v>1189</v>
      </c>
      <c r="C459" t="s">
        <v>16</v>
      </c>
      <c r="D459" t="s">
        <v>1068</v>
      </c>
      <c r="E459" t="s">
        <v>1190</v>
      </c>
      <c r="F459" t="s">
        <v>35</v>
      </c>
      <c r="G459">
        <f>HYPERLINK("http://clipc-services.ceda.ac.uk/dreq/u/ffa75c4442ad340cb0cdeb11aa19f044.html","web")</f>
        <v>0</v>
      </c>
      <c r="J459" t="s">
        <v>1191</v>
      </c>
      <c r="K459" t="s">
        <v>21</v>
      </c>
      <c r="M459" t="s">
        <v>35</v>
      </c>
    </row>
    <row r="460" spans="1:13">
      <c r="A460" t="s">
        <v>1179</v>
      </c>
      <c r="B460" t="s">
        <v>1192</v>
      </c>
      <c r="C460" t="s">
        <v>16</v>
      </c>
      <c r="D460" t="s">
        <v>17</v>
      </c>
      <c r="E460" t="s">
        <v>1193</v>
      </c>
      <c r="F460" t="s">
        <v>35</v>
      </c>
      <c r="G460">
        <f>HYPERLINK("http://clipc-services.ceda.ac.uk/dreq/u/590f21d4-9e49-11e5-803c-0d0b866b59f3.html","web")</f>
        <v>0</v>
      </c>
      <c r="J460" t="s">
        <v>1194</v>
      </c>
      <c r="K460" t="s">
        <v>21</v>
      </c>
      <c r="M460" t="s">
        <v>35</v>
      </c>
    </row>
    <row r="461" spans="1:13">
      <c r="A461" t="s">
        <v>1179</v>
      </c>
      <c r="B461" t="s">
        <v>1195</v>
      </c>
      <c r="C461" t="s">
        <v>16</v>
      </c>
      <c r="D461" t="s">
        <v>17</v>
      </c>
      <c r="E461" t="s">
        <v>1196</v>
      </c>
      <c r="F461" t="s">
        <v>35</v>
      </c>
      <c r="G461">
        <f>HYPERLINK("http://clipc-services.ceda.ac.uk/dreq/u/5914b9be-9e49-11e5-803c-0d0b866b59f3.html","web")</f>
        <v>0</v>
      </c>
      <c r="J461" t="s">
        <v>1197</v>
      </c>
      <c r="K461" t="s">
        <v>21</v>
      </c>
      <c r="M461" t="s">
        <v>35</v>
      </c>
    </row>
    <row r="462" spans="1:13">
      <c r="A462" t="s">
        <v>1179</v>
      </c>
      <c r="B462" t="s">
        <v>1198</v>
      </c>
      <c r="C462" t="s">
        <v>16</v>
      </c>
      <c r="D462" t="s">
        <v>17</v>
      </c>
      <c r="E462" t="s">
        <v>1199</v>
      </c>
      <c r="F462" t="s">
        <v>35</v>
      </c>
      <c r="G462">
        <f>HYPERLINK("http://clipc-services.ceda.ac.uk/dreq/u/5917d1d0-9e49-11e5-803c-0d0b866b59f3.html","web")</f>
        <v>0</v>
      </c>
      <c r="J462" t="s">
        <v>1200</v>
      </c>
      <c r="K462" t="s">
        <v>21</v>
      </c>
      <c r="M462" t="s">
        <v>35</v>
      </c>
    </row>
    <row r="463" spans="1:13">
      <c r="A463" t="s">
        <v>1179</v>
      </c>
      <c r="B463" t="s">
        <v>1201</v>
      </c>
      <c r="C463" t="s">
        <v>35</v>
      </c>
      <c r="D463" t="s">
        <v>1102</v>
      </c>
      <c r="E463" t="s">
        <v>1202</v>
      </c>
      <c r="F463" t="s">
        <v>299</v>
      </c>
      <c r="G463">
        <f>HYPERLINK("http://clipc-services.ceda.ac.uk/dreq/u/5917b704-9e49-11e5-803c-0d0b866b59f3.html","web")</f>
        <v>0</v>
      </c>
      <c r="J463" t="s">
        <v>1203</v>
      </c>
      <c r="K463" t="s">
        <v>21</v>
      </c>
      <c r="M463" t="s">
        <v>299</v>
      </c>
    </row>
    <row r="465" spans="1:13">
      <c r="A465" t="s">
        <v>1204</v>
      </c>
      <c r="B465" t="s">
        <v>1205</v>
      </c>
      <c r="C465" t="s">
        <v>35</v>
      </c>
      <c r="D465" t="s">
        <v>152</v>
      </c>
      <c r="E465" t="s">
        <v>1206</v>
      </c>
      <c r="F465" t="s">
        <v>955</v>
      </c>
      <c r="G465">
        <f>HYPERLINK("http://clipc-services.ceda.ac.uk/dreq/u/59137996-9e49-11e5-803c-0d0b866b59f3.html","web")</f>
        <v>0</v>
      </c>
      <c r="J465" t="s">
        <v>1207</v>
      </c>
      <c r="K465" t="s">
        <v>1030</v>
      </c>
      <c r="M465" t="s">
        <v>955</v>
      </c>
    </row>
    <row r="466" spans="1:13">
      <c r="A466" t="s">
        <v>1204</v>
      </c>
      <c r="B466" t="s">
        <v>1208</v>
      </c>
      <c r="C466" t="s">
        <v>35</v>
      </c>
      <c r="D466" t="s">
        <v>152</v>
      </c>
      <c r="E466" t="s">
        <v>1209</v>
      </c>
      <c r="F466" t="s">
        <v>955</v>
      </c>
      <c r="G466">
        <f>HYPERLINK("http://clipc-services.ceda.ac.uk/dreq/u/59d5c1ca37702f3ab916f1c9096d8f7f.html","web")</f>
        <v>0</v>
      </c>
      <c r="J466" t="s">
        <v>1210</v>
      </c>
      <c r="K466" t="s">
        <v>1030</v>
      </c>
      <c r="M466" t="s">
        <v>955</v>
      </c>
    </row>
    <row r="467" spans="1:13">
      <c r="A467" t="s">
        <v>1204</v>
      </c>
      <c r="B467" t="s">
        <v>1211</v>
      </c>
      <c r="C467" t="s">
        <v>35</v>
      </c>
      <c r="D467" t="s">
        <v>152</v>
      </c>
      <c r="E467" t="s">
        <v>1212</v>
      </c>
      <c r="F467" t="s">
        <v>1213</v>
      </c>
      <c r="G467">
        <f>HYPERLINK("http://clipc-services.ceda.ac.uk/dreq/u/f946653cd518e221676f263a895c7852.html","web")</f>
        <v>0</v>
      </c>
      <c r="J467" t="s">
        <v>1214</v>
      </c>
      <c r="K467" t="s">
        <v>1030</v>
      </c>
      <c r="M467" t="s">
        <v>1213</v>
      </c>
    </row>
    <row r="468" spans="1:13">
      <c r="A468" t="s">
        <v>1204</v>
      </c>
      <c r="B468" t="s">
        <v>1215</v>
      </c>
      <c r="C468" t="s">
        <v>35</v>
      </c>
      <c r="D468" t="s">
        <v>152</v>
      </c>
      <c r="E468" t="s">
        <v>1216</v>
      </c>
      <c r="F468" t="s">
        <v>47</v>
      </c>
      <c r="G468">
        <f>HYPERLINK("http://clipc-services.ceda.ac.uk/dreq/u/59150acc-9e49-11e5-803c-0d0b866b59f3.html","web")</f>
        <v>0</v>
      </c>
      <c r="J468" t="s">
        <v>1217</v>
      </c>
      <c r="K468" t="s">
        <v>1030</v>
      </c>
      <c r="M468" t="s">
        <v>47</v>
      </c>
    </row>
    <row r="469" spans="1:13">
      <c r="A469" t="s">
        <v>1204</v>
      </c>
      <c r="B469" t="s">
        <v>1218</v>
      </c>
      <c r="C469" t="s">
        <v>35</v>
      </c>
      <c r="D469" t="s">
        <v>152</v>
      </c>
      <c r="E469" t="s">
        <v>1219</v>
      </c>
      <c r="F469" t="s">
        <v>47</v>
      </c>
      <c r="G469">
        <f>HYPERLINK("http://clipc-services.ceda.ac.uk/dreq/u/590ef7b8-9e49-11e5-803c-0d0b866b59f3.html","web")</f>
        <v>0</v>
      </c>
      <c r="J469" t="s">
        <v>1220</v>
      </c>
      <c r="K469" t="s">
        <v>1030</v>
      </c>
      <c r="M469" t="s">
        <v>47</v>
      </c>
    </row>
    <row r="470" spans="1:13">
      <c r="A470" t="s">
        <v>1204</v>
      </c>
      <c r="B470" t="s">
        <v>1221</v>
      </c>
      <c r="C470" t="s">
        <v>35</v>
      </c>
      <c r="D470" t="s">
        <v>1222</v>
      </c>
      <c r="E470" t="s">
        <v>1223</v>
      </c>
      <c r="F470" t="s">
        <v>38</v>
      </c>
      <c r="G470">
        <f>HYPERLINK("http://clipc-services.ceda.ac.uk/dreq/u/bf56baca-c14c-11e6-bb6a-ac72891c3257.html","web")</f>
        <v>0</v>
      </c>
      <c r="J470" t="s">
        <v>1224</v>
      </c>
      <c r="K470" t="s">
        <v>944</v>
      </c>
      <c r="M470" t="s">
        <v>38</v>
      </c>
    </row>
    <row r="471" spans="1:13">
      <c r="A471" t="s">
        <v>1204</v>
      </c>
      <c r="B471" t="s">
        <v>1044</v>
      </c>
      <c r="C471" t="s">
        <v>35</v>
      </c>
      <c r="D471" t="s">
        <v>1225</v>
      </c>
      <c r="E471" t="s">
        <v>1046</v>
      </c>
      <c r="F471" t="s">
        <v>38</v>
      </c>
      <c r="G471">
        <f>HYPERLINK("http://clipc-services.ceda.ac.uk/dreq/u/59149a10-9e49-11e5-803c-0d0b866b59f3.html","web")</f>
        <v>0</v>
      </c>
      <c r="J471" t="s">
        <v>1047</v>
      </c>
      <c r="K471" t="s">
        <v>1030</v>
      </c>
      <c r="M471" t="s">
        <v>38</v>
      </c>
    </row>
    <row r="472" spans="1:13">
      <c r="A472" t="s">
        <v>1204</v>
      </c>
      <c r="B472" t="s">
        <v>1048</v>
      </c>
      <c r="C472" t="s">
        <v>35</v>
      </c>
      <c r="D472" t="s">
        <v>1226</v>
      </c>
      <c r="E472" t="s">
        <v>1050</v>
      </c>
      <c r="F472" t="s">
        <v>38</v>
      </c>
      <c r="G472">
        <f>HYPERLINK("http://clipc-services.ceda.ac.uk/dreq/u/5912eff8-9e49-11e5-803c-0d0b866b59f3.html","web")</f>
        <v>0</v>
      </c>
      <c r="J472" t="s">
        <v>1051</v>
      </c>
      <c r="K472" t="s">
        <v>1030</v>
      </c>
      <c r="M472" t="s">
        <v>38</v>
      </c>
    </row>
    <row r="473" spans="1:13">
      <c r="A473" t="s">
        <v>1204</v>
      </c>
      <c r="B473" t="s">
        <v>1227</v>
      </c>
      <c r="C473" t="s">
        <v>35</v>
      </c>
      <c r="D473" t="s">
        <v>152</v>
      </c>
      <c r="E473" t="s">
        <v>1228</v>
      </c>
      <c r="F473" t="s">
        <v>47</v>
      </c>
      <c r="G473">
        <f>HYPERLINK("http://clipc-services.ceda.ac.uk/dreq/u/63f4c915f87b16a8be343d68da4cb588.html","web")</f>
        <v>0</v>
      </c>
      <c r="J473" t="s">
        <v>1229</v>
      </c>
      <c r="K473" t="s">
        <v>1030</v>
      </c>
      <c r="M473" t="s">
        <v>47</v>
      </c>
    </row>
    <row r="474" spans="1:13">
      <c r="A474" t="s">
        <v>1204</v>
      </c>
      <c r="B474" t="s">
        <v>1230</v>
      </c>
      <c r="C474" t="s">
        <v>35</v>
      </c>
      <c r="D474" t="s">
        <v>152</v>
      </c>
      <c r="E474" t="s">
        <v>1231</v>
      </c>
      <c r="F474" t="s">
        <v>47</v>
      </c>
      <c r="G474">
        <f>HYPERLINK("http://clipc-services.ceda.ac.uk/dreq/u/56a47cf7cfc55a6e7e2cd20570ca58d2.html","web")</f>
        <v>0</v>
      </c>
      <c r="J474" t="s">
        <v>1232</v>
      </c>
      <c r="K474" t="s">
        <v>1030</v>
      </c>
      <c r="M474" t="s">
        <v>47</v>
      </c>
    </row>
    <row r="475" spans="1:13">
      <c r="A475" t="s">
        <v>1204</v>
      </c>
      <c r="B475" t="s">
        <v>1233</v>
      </c>
      <c r="C475" t="s">
        <v>35</v>
      </c>
      <c r="D475" t="s">
        <v>152</v>
      </c>
      <c r="E475" t="s">
        <v>1234</v>
      </c>
      <c r="F475" t="s">
        <v>47</v>
      </c>
      <c r="G475">
        <f>HYPERLINK("http://clipc-services.ceda.ac.uk/dreq/u/ea403af77498d4ba904c34318ad875d2.html","web")</f>
        <v>0</v>
      </c>
      <c r="J475" t="s">
        <v>1235</v>
      </c>
      <c r="K475" t="s">
        <v>1030</v>
      </c>
      <c r="M475" t="s">
        <v>47</v>
      </c>
    </row>
    <row r="476" spans="1:13">
      <c r="A476" t="s">
        <v>1204</v>
      </c>
      <c r="B476" t="s">
        <v>1236</v>
      </c>
      <c r="C476" t="s">
        <v>35</v>
      </c>
      <c r="D476" t="s">
        <v>152</v>
      </c>
      <c r="E476" t="s">
        <v>1237</v>
      </c>
      <c r="F476" t="s">
        <v>47</v>
      </c>
      <c r="G476">
        <f>HYPERLINK("http://clipc-services.ceda.ac.uk/dreq/u/0083db3aca27478aebd38e9de419dda1.html","web")</f>
        <v>0</v>
      </c>
      <c r="J476" t="s">
        <v>1238</v>
      </c>
      <c r="K476" t="s">
        <v>1030</v>
      </c>
      <c r="M476" t="s">
        <v>47</v>
      </c>
    </row>
    <row r="477" spans="1:13">
      <c r="A477" t="s">
        <v>1204</v>
      </c>
      <c r="B477" t="s">
        <v>1239</v>
      </c>
      <c r="C477" t="s">
        <v>35</v>
      </c>
      <c r="D477" t="s">
        <v>152</v>
      </c>
      <c r="E477" t="s">
        <v>1240</v>
      </c>
      <c r="F477" t="s">
        <v>47</v>
      </c>
      <c r="G477">
        <f>HYPERLINK("http://clipc-services.ceda.ac.uk/dreq/u/0b532d0ceea95666627dcf99b44f68c3.html","web")</f>
        <v>0</v>
      </c>
      <c r="J477" t="s">
        <v>1241</v>
      </c>
      <c r="K477" t="s">
        <v>1030</v>
      </c>
      <c r="M477" t="s">
        <v>47</v>
      </c>
    </row>
    <row r="478" spans="1:13">
      <c r="A478" t="s">
        <v>1204</v>
      </c>
      <c r="B478" t="s">
        <v>1242</v>
      </c>
      <c r="C478" t="s">
        <v>35</v>
      </c>
      <c r="D478" t="s">
        <v>152</v>
      </c>
      <c r="E478" t="s">
        <v>1243</v>
      </c>
      <c r="F478" t="s">
        <v>47</v>
      </c>
      <c r="G478">
        <f>HYPERLINK("http://clipc-services.ceda.ac.uk/dreq/u/a17b2a3bcad6c41455a7e2474fb1fdcb.html","web")</f>
        <v>0</v>
      </c>
      <c r="J478" t="s">
        <v>1244</v>
      </c>
      <c r="K478" t="s">
        <v>1030</v>
      </c>
      <c r="M478" t="s">
        <v>47</v>
      </c>
    </row>
    <row r="479" spans="1:13">
      <c r="A479" t="s">
        <v>1204</v>
      </c>
      <c r="B479" t="s">
        <v>1245</v>
      </c>
      <c r="C479" t="s">
        <v>35</v>
      </c>
      <c r="D479" t="s">
        <v>152</v>
      </c>
      <c r="E479" t="s">
        <v>1246</v>
      </c>
      <c r="F479" t="s">
        <v>47</v>
      </c>
      <c r="G479">
        <f>HYPERLINK("http://clipc-services.ceda.ac.uk/dreq/u/3ba3b98a96f7c6bc89f96004879811d3.html","web")</f>
        <v>0</v>
      </c>
      <c r="J479" t="s">
        <v>1247</v>
      </c>
      <c r="K479" t="s">
        <v>1030</v>
      </c>
      <c r="M479" t="s">
        <v>47</v>
      </c>
    </row>
    <row r="480" spans="1:13">
      <c r="A480" t="s">
        <v>1204</v>
      </c>
      <c r="B480" t="s">
        <v>1248</v>
      </c>
      <c r="C480" t="s">
        <v>35</v>
      </c>
      <c r="D480" t="s">
        <v>152</v>
      </c>
      <c r="E480" t="s">
        <v>1249</v>
      </c>
      <c r="F480" t="s">
        <v>47</v>
      </c>
      <c r="G480">
        <f>HYPERLINK("http://clipc-services.ceda.ac.uk/dreq/u/e8d9deb887c24ae8008ca2179208f99d.html","web")</f>
        <v>0</v>
      </c>
      <c r="J480" t="s">
        <v>1250</v>
      </c>
      <c r="K480" t="s">
        <v>1030</v>
      </c>
      <c r="M480" t="s">
        <v>47</v>
      </c>
    </row>
    <row r="481" spans="1:13">
      <c r="A481" t="s">
        <v>1204</v>
      </c>
      <c r="B481" t="s">
        <v>1251</v>
      </c>
      <c r="C481" t="s">
        <v>35</v>
      </c>
      <c r="D481" t="s">
        <v>1252</v>
      </c>
      <c r="E481" t="s">
        <v>1253</v>
      </c>
      <c r="F481" t="s">
        <v>47</v>
      </c>
      <c r="G481">
        <f>HYPERLINK("http://clipc-services.ceda.ac.uk/dreq/u/590d17f4-9e49-11e5-803c-0d0b866b59f3.html","web")</f>
        <v>0</v>
      </c>
      <c r="J481" t="s">
        <v>1254</v>
      </c>
      <c r="K481" t="s">
        <v>1255</v>
      </c>
      <c r="M481" t="s">
        <v>47</v>
      </c>
    </row>
    <row r="482" spans="1:13">
      <c r="A482" t="s">
        <v>1204</v>
      </c>
      <c r="B482" t="s">
        <v>1053</v>
      </c>
      <c r="C482" t="s">
        <v>35</v>
      </c>
      <c r="D482" t="s">
        <v>1256</v>
      </c>
      <c r="E482" t="s">
        <v>1055</v>
      </c>
      <c r="F482" t="s">
        <v>35</v>
      </c>
      <c r="G482">
        <f>HYPERLINK("http://clipc-services.ceda.ac.uk/dreq/u/a06b8e83250b870d9f39dc1f6534efcb.html","web")</f>
        <v>0</v>
      </c>
      <c r="J482" t="s">
        <v>1056</v>
      </c>
      <c r="K482" t="s">
        <v>1030</v>
      </c>
      <c r="M482" t="s">
        <v>35</v>
      </c>
    </row>
    <row r="483" spans="1:13">
      <c r="A483" t="s">
        <v>1204</v>
      </c>
      <c r="B483" t="s">
        <v>936</v>
      </c>
      <c r="C483" t="s">
        <v>35</v>
      </c>
      <c r="D483" t="s">
        <v>152</v>
      </c>
      <c r="E483" t="s">
        <v>937</v>
      </c>
      <c r="F483" t="s">
        <v>179</v>
      </c>
      <c r="G483">
        <f>HYPERLINK("http://clipc-services.ceda.ac.uk/dreq/u/7553003ead183dd3276108b6311a337f.html","web")</f>
        <v>0</v>
      </c>
      <c r="J483" t="s">
        <v>938</v>
      </c>
      <c r="K483" t="s">
        <v>1257</v>
      </c>
      <c r="M483" t="s">
        <v>179</v>
      </c>
    </row>
    <row r="484" spans="1:13">
      <c r="A484" t="s">
        <v>1204</v>
      </c>
      <c r="B484" t="s">
        <v>1258</v>
      </c>
      <c r="C484" t="s">
        <v>35</v>
      </c>
      <c r="D484" t="s">
        <v>152</v>
      </c>
      <c r="E484" t="s">
        <v>1259</v>
      </c>
      <c r="F484" t="s">
        <v>57</v>
      </c>
      <c r="G484">
        <f>HYPERLINK("http://clipc-services.ceda.ac.uk/dreq/u/590f64fa-9e49-11e5-803c-0d0b866b59f3.html","web")</f>
        <v>0</v>
      </c>
      <c r="J484" t="s">
        <v>1260</v>
      </c>
      <c r="K484" t="s">
        <v>1030</v>
      </c>
      <c r="M484" t="s">
        <v>57</v>
      </c>
    </row>
    <row r="485" spans="1:13">
      <c r="A485" t="s">
        <v>1204</v>
      </c>
      <c r="B485" t="s">
        <v>1261</v>
      </c>
      <c r="C485" t="s">
        <v>35</v>
      </c>
      <c r="D485" t="s">
        <v>152</v>
      </c>
      <c r="E485" t="s">
        <v>1262</v>
      </c>
      <c r="F485" t="s">
        <v>57</v>
      </c>
      <c r="G485">
        <f>HYPERLINK("http://clipc-services.ceda.ac.uk/dreq/u/59131be0-9e49-11e5-803c-0d0b866b59f3.html","web")</f>
        <v>0</v>
      </c>
      <c r="J485" t="s">
        <v>1263</v>
      </c>
      <c r="K485" t="s">
        <v>1030</v>
      </c>
      <c r="M485" t="s">
        <v>57</v>
      </c>
    </row>
    <row r="486" spans="1:13">
      <c r="A486" t="s">
        <v>1204</v>
      </c>
      <c r="B486" t="s">
        <v>1264</v>
      </c>
      <c r="C486" t="s">
        <v>35</v>
      </c>
      <c r="D486" t="s">
        <v>152</v>
      </c>
      <c r="E486" t="s">
        <v>1265</v>
      </c>
      <c r="F486" t="s">
        <v>74</v>
      </c>
      <c r="G486">
        <f>HYPERLINK("http://clipc-services.ceda.ac.uk/dreq/u/6ca9dd8a089b15fb96841e9fe56411cf.html","web")</f>
        <v>0</v>
      </c>
      <c r="J486" t="s">
        <v>1266</v>
      </c>
      <c r="K486" t="s">
        <v>1030</v>
      </c>
      <c r="M486" t="s">
        <v>74</v>
      </c>
    </row>
    <row r="487" spans="1:13">
      <c r="A487" t="s">
        <v>1204</v>
      </c>
      <c r="B487" t="s">
        <v>472</v>
      </c>
      <c r="C487" t="s">
        <v>35</v>
      </c>
      <c r="D487" t="s">
        <v>152</v>
      </c>
      <c r="E487" t="s">
        <v>473</v>
      </c>
      <c r="F487" t="s">
        <v>74</v>
      </c>
      <c r="G487">
        <f>HYPERLINK("http://clipc-services.ceda.ac.uk/dreq/u/f27656eeae247192e82aa1032c911399.html","web")</f>
        <v>0</v>
      </c>
      <c r="J487" t="s">
        <v>474</v>
      </c>
      <c r="K487" t="s">
        <v>1030</v>
      </c>
      <c r="M487" t="s">
        <v>74</v>
      </c>
    </row>
    <row r="488" spans="1:13">
      <c r="A488" t="s">
        <v>1204</v>
      </c>
      <c r="B488" t="s">
        <v>1267</v>
      </c>
      <c r="C488" t="s">
        <v>35</v>
      </c>
      <c r="D488" t="s">
        <v>152</v>
      </c>
      <c r="E488" t="s">
        <v>1268</v>
      </c>
      <c r="F488" t="s">
        <v>955</v>
      </c>
      <c r="G488">
        <f>HYPERLINK("http://clipc-services.ceda.ac.uk/dreq/u/5917af7a-9e49-11e5-803c-0d0b866b59f3.html","web")</f>
        <v>0</v>
      </c>
      <c r="J488" t="s">
        <v>1269</v>
      </c>
      <c r="K488" t="s">
        <v>1030</v>
      </c>
      <c r="M488" t="s">
        <v>955</v>
      </c>
    </row>
    <row r="489" spans="1:13">
      <c r="A489" t="s">
        <v>1204</v>
      </c>
      <c r="B489" t="s">
        <v>1270</v>
      </c>
      <c r="C489" t="s">
        <v>35</v>
      </c>
      <c r="D489" t="s">
        <v>1222</v>
      </c>
      <c r="E489" t="s">
        <v>1271</v>
      </c>
      <c r="F489" t="s">
        <v>299</v>
      </c>
      <c r="G489">
        <f>HYPERLINK("http://clipc-services.ceda.ac.uk/dreq/u/170ff384-b622-11e6-bbe2-ac72891c3257.html","web")</f>
        <v>0</v>
      </c>
      <c r="J489" t="s">
        <v>1272</v>
      </c>
      <c r="K489" t="s">
        <v>944</v>
      </c>
      <c r="M489" t="s">
        <v>299</v>
      </c>
    </row>
    <row r="490" spans="1:13">
      <c r="A490" t="s">
        <v>1204</v>
      </c>
      <c r="B490" t="s">
        <v>1273</v>
      </c>
      <c r="C490" t="s">
        <v>35</v>
      </c>
      <c r="D490" t="s">
        <v>1222</v>
      </c>
      <c r="E490" t="s">
        <v>1274</v>
      </c>
      <c r="F490" t="s">
        <v>299</v>
      </c>
      <c r="G490">
        <f>HYPERLINK("http://clipc-services.ceda.ac.uk/dreq/u/1758307c-b622-11e6-bbe2-ac72891c3257.html","web")</f>
        <v>0</v>
      </c>
      <c r="J490" t="s">
        <v>1275</v>
      </c>
      <c r="K490" t="s">
        <v>944</v>
      </c>
      <c r="M490" t="s">
        <v>299</v>
      </c>
    </row>
    <row r="491" spans="1:13">
      <c r="A491" t="s">
        <v>1204</v>
      </c>
      <c r="B491" t="s">
        <v>1276</v>
      </c>
      <c r="C491" t="s">
        <v>35</v>
      </c>
      <c r="D491" t="s">
        <v>152</v>
      </c>
      <c r="E491" t="s">
        <v>1277</v>
      </c>
      <c r="F491" t="s">
        <v>319</v>
      </c>
      <c r="G491">
        <f>HYPERLINK("http://clipc-services.ceda.ac.uk/dreq/u/590ea93e-9e49-11e5-803c-0d0b866b59f3.html","web")</f>
        <v>0</v>
      </c>
      <c r="J491" t="s">
        <v>1278</v>
      </c>
      <c r="K491" t="s">
        <v>348</v>
      </c>
      <c r="M491" t="s">
        <v>319</v>
      </c>
    </row>
    <row r="492" spans="1:13">
      <c r="A492" t="s">
        <v>1204</v>
      </c>
      <c r="B492" t="s">
        <v>1279</v>
      </c>
      <c r="C492" t="s">
        <v>35</v>
      </c>
      <c r="D492" t="s">
        <v>152</v>
      </c>
      <c r="E492" t="s">
        <v>1280</v>
      </c>
      <c r="F492" t="s">
        <v>319</v>
      </c>
      <c r="G492">
        <f>HYPERLINK("http://clipc-services.ceda.ac.uk/dreq/u/590f5b72-9e49-11e5-803c-0d0b866b59f3.html","web")</f>
        <v>0</v>
      </c>
      <c r="J492" t="s">
        <v>1281</v>
      </c>
      <c r="K492" t="s">
        <v>348</v>
      </c>
      <c r="M492" t="s">
        <v>319</v>
      </c>
    </row>
    <row r="494" spans="1:13">
      <c r="A494" t="s">
        <v>1282</v>
      </c>
      <c r="B494" t="s">
        <v>1283</v>
      </c>
      <c r="C494" t="s">
        <v>35</v>
      </c>
      <c r="D494" t="s">
        <v>344</v>
      </c>
      <c r="E494" t="s">
        <v>1284</v>
      </c>
      <c r="F494" t="s">
        <v>883</v>
      </c>
      <c r="G494">
        <f>HYPERLINK("http://clipc-services.ceda.ac.uk/dreq/u/96a44ea6-b096-11e6-aab6-ac72891c3257.html","web")</f>
        <v>0</v>
      </c>
      <c r="J494" t="s">
        <v>1285</v>
      </c>
      <c r="K494" t="s">
        <v>69</v>
      </c>
      <c r="M494" t="s">
        <v>883</v>
      </c>
    </row>
    <row r="495" spans="1:13">
      <c r="A495" t="s">
        <v>1282</v>
      </c>
      <c r="B495" t="s">
        <v>1286</v>
      </c>
      <c r="C495" t="s">
        <v>35</v>
      </c>
      <c r="D495" t="s">
        <v>344</v>
      </c>
      <c r="E495" t="s">
        <v>1287</v>
      </c>
      <c r="F495" t="s">
        <v>883</v>
      </c>
      <c r="G495">
        <f>HYPERLINK("http://clipc-services.ceda.ac.uk/dreq/u/afef6490-b096-11e6-aab6-ac72891c3257.html","web")</f>
        <v>0</v>
      </c>
      <c r="J495" t="s">
        <v>1288</v>
      </c>
      <c r="K495" t="s">
        <v>69</v>
      </c>
      <c r="M495" t="s">
        <v>883</v>
      </c>
    </row>
    <row r="496" spans="1:13">
      <c r="A496" t="s">
        <v>1282</v>
      </c>
      <c r="B496" t="s">
        <v>973</v>
      </c>
      <c r="C496" t="s">
        <v>35</v>
      </c>
      <c r="D496" t="s">
        <v>344</v>
      </c>
      <c r="E496" t="s">
        <v>974</v>
      </c>
      <c r="F496" t="s">
        <v>35</v>
      </c>
      <c r="G496">
        <f>HYPERLINK("http://clipc-services.ceda.ac.uk/dreq/u/a7cf325e9bf994ade073a1297378a57c.html","web")</f>
        <v>0</v>
      </c>
      <c r="J496" t="s">
        <v>975</v>
      </c>
      <c r="K496" t="s">
        <v>69</v>
      </c>
      <c r="M496" t="s">
        <v>35</v>
      </c>
    </row>
    <row r="497" spans="1:13">
      <c r="A497" t="s">
        <v>1282</v>
      </c>
      <c r="B497" t="s">
        <v>976</v>
      </c>
      <c r="C497" t="s">
        <v>35</v>
      </c>
      <c r="D497" t="s">
        <v>344</v>
      </c>
      <c r="E497" t="s">
        <v>977</v>
      </c>
      <c r="F497" t="s">
        <v>883</v>
      </c>
      <c r="G497">
        <f>HYPERLINK("http://clipc-services.ceda.ac.uk/dreq/u/cc8f92a2635774d636748ec8007c4bab.html","web")</f>
        <v>0</v>
      </c>
      <c r="J497" t="s">
        <v>978</v>
      </c>
      <c r="K497" t="s">
        <v>69</v>
      </c>
      <c r="M497" t="s">
        <v>883</v>
      </c>
    </row>
    <row r="498" spans="1:13">
      <c r="A498" t="s">
        <v>1282</v>
      </c>
      <c r="B498" t="s">
        <v>1289</v>
      </c>
      <c r="C498" t="s">
        <v>35</v>
      </c>
      <c r="D498" t="s">
        <v>344</v>
      </c>
      <c r="E498" t="s">
        <v>1290</v>
      </c>
      <c r="F498" t="s">
        <v>948</v>
      </c>
      <c r="G498">
        <f>HYPERLINK("http://clipc-services.ceda.ac.uk/dreq/u/e703d0fcbdd5f975485b3404a331ed91.html","web")</f>
        <v>0</v>
      </c>
      <c r="J498" t="s">
        <v>1291</v>
      </c>
      <c r="K498" t="s">
        <v>1292</v>
      </c>
      <c r="M498" t="s">
        <v>948</v>
      </c>
    </row>
    <row r="499" spans="1:13">
      <c r="A499" t="s">
        <v>1282</v>
      </c>
      <c r="B499" t="s">
        <v>924</v>
      </c>
      <c r="C499" t="s">
        <v>35</v>
      </c>
      <c r="D499" t="s">
        <v>344</v>
      </c>
      <c r="E499" t="s">
        <v>926</v>
      </c>
      <c r="F499" t="s">
        <v>883</v>
      </c>
      <c r="G499">
        <f>HYPERLINK("http://clipc-services.ceda.ac.uk/dreq/u/942125e5a461fef57b1477b9a2bd5fa0.html","web")</f>
        <v>0</v>
      </c>
      <c r="J499" t="s">
        <v>927</v>
      </c>
      <c r="K499" t="s">
        <v>69</v>
      </c>
      <c r="M499" t="s">
        <v>883</v>
      </c>
    </row>
    <row r="500" spans="1:13">
      <c r="A500" t="s">
        <v>1282</v>
      </c>
      <c r="B500" t="s">
        <v>1293</v>
      </c>
      <c r="C500" t="s">
        <v>35</v>
      </c>
      <c r="D500" t="s">
        <v>1294</v>
      </c>
      <c r="E500" t="s">
        <v>1295</v>
      </c>
      <c r="F500" t="s">
        <v>1296</v>
      </c>
      <c r="G500">
        <f>HYPERLINK("http://clipc-services.ceda.ac.uk/dreq/u/76248ae1d72c976495be67161d5a8d7d.html","web")</f>
        <v>0</v>
      </c>
      <c r="J500" t="s">
        <v>1297</v>
      </c>
      <c r="K500" t="s">
        <v>69</v>
      </c>
      <c r="M500" t="s">
        <v>1296</v>
      </c>
    </row>
    <row r="502" spans="1:13">
      <c r="A502" t="s">
        <v>1298</v>
      </c>
      <c r="B502" t="s">
        <v>403</v>
      </c>
      <c r="C502" t="s">
        <v>35</v>
      </c>
      <c r="D502" t="s">
        <v>1068</v>
      </c>
      <c r="E502" t="s">
        <v>404</v>
      </c>
      <c r="F502" t="s">
        <v>35</v>
      </c>
      <c r="G502">
        <f>HYPERLINK("http://clipc-services.ceda.ac.uk/dreq/u/29fae9ea0f236a3eb144026e1bafde28.html","web")</f>
        <v>0</v>
      </c>
      <c r="J502" t="s">
        <v>405</v>
      </c>
      <c r="K502" t="s">
        <v>1030</v>
      </c>
      <c r="M502" t="s">
        <v>35</v>
      </c>
    </row>
    <row r="503" spans="1:13">
      <c r="A503" t="s">
        <v>1298</v>
      </c>
      <c r="B503" t="s">
        <v>540</v>
      </c>
      <c r="C503" t="s">
        <v>50</v>
      </c>
      <c r="D503" t="s">
        <v>1052</v>
      </c>
      <c r="E503" t="s">
        <v>542</v>
      </c>
      <c r="F503" t="s">
        <v>38</v>
      </c>
      <c r="G503">
        <f>HYPERLINK("http://clipc-services.ceda.ac.uk/dreq/u/1aefc13bd27020244fe1cfd706ce1041.html","web")</f>
        <v>0</v>
      </c>
      <c r="J503" t="s">
        <v>543</v>
      </c>
      <c r="K503" t="s">
        <v>1030</v>
      </c>
      <c r="M503" t="s">
        <v>38</v>
      </c>
    </row>
    <row r="504" spans="1:13">
      <c r="A504" t="s">
        <v>1298</v>
      </c>
      <c r="B504" t="s">
        <v>546</v>
      </c>
      <c r="C504" t="s">
        <v>50</v>
      </c>
      <c r="D504" t="s">
        <v>1052</v>
      </c>
      <c r="E504" t="s">
        <v>547</v>
      </c>
      <c r="F504" t="s">
        <v>35</v>
      </c>
      <c r="G504">
        <f>HYPERLINK("http://clipc-services.ceda.ac.uk/dreq/u/76f247229d5b524d94dfaedd577eeb84.html","web")</f>
        <v>0</v>
      </c>
      <c r="J504" t="s">
        <v>548</v>
      </c>
      <c r="K504" t="s">
        <v>1030</v>
      </c>
      <c r="M504" t="s">
        <v>35</v>
      </c>
    </row>
    <row r="505" spans="1:13">
      <c r="A505" t="s">
        <v>1298</v>
      </c>
      <c r="B505" t="s">
        <v>550</v>
      </c>
      <c r="C505" t="s">
        <v>50</v>
      </c>
      <c r="D505" t="s">
        <v>1052</v>
      </c>
      <c r="E505" t="s">
        <v>551</v>
      </c>
      <c r="F505" t="s">
        <v>35</v>
      </c>
      <c r="G505">
        <f>HYPERLINK("http://clipc-services.ceda.ac.uk/dreq/u/4dbe7bd9b38439125b341edba15aa66a.html","web")</f>
        <v>0</v>
      </c>
      <c r="J505" t="s">
        <v>552</v>
      </c>
      <c r="K505" t="s">
        <v>1030</v>
      </c>
      <c r="M505" t="s">
        <v>35</v>
      </c>
    </row>
    <row r="506" spans="1:13">
      <c r="A506" t="s">
        <v>1298</v>
      </c>
      <c r="B506" t="s">
        <v>554</v>
      </c>
      <c r="C506" t="s">
        <v>50</v>
      </c>
      <c r="D506" t="s">
        <v>1052</v>
      </c>
      <c r="E506" t="s">
        <v>555</v>
      </c>
      <c r="F506" t="s">
        <v>38</v>
      </c>
      <c r="G506">
        <f>HYPERLINK("http://clipc-services.ceda.ac.uk/dreq/u/2cd1940e7201d5adb02ba157a74fc33e.html","web")</f>
        <v>0</v>
      </c>
      <c r="J506" t="s">
        <v>556</v>
      </c>
      <c r="K506" t="s">
        <v>1030</v>
      </c>
      <c r="M506" t="s">
        <v>38</v>
      </c>
    </row>
    <row r="507" spans="1:13">
      <c r="A507" t="s">
        <v>1298</v>
      </c>
      <c r="B507" t="s">
        <v>558</v>
      </c>
      <c r="C507" t="s">
        <v>50</v>
      </c>
      <c r="D507" t="s">
        <v>1052</v>
      </c>
      <c r="E507" t="s">
        <v>559</v>
      </c>
      <c r="F507" t="s">
        <v>35</v>
      </c>
      <c r="G507">
        <f>HYPERLINK("http://clipc-services.ceda.ac.uk/dreq/u/9b75db3b829a01b02dfe952824150a33.html","web")</f>
        <v>0</v>
      </c>
      <c r="J507" t="s">
        <v>560</v>
      </c>
      <c r="K507" t="s">
        <v>1030</v>
      </c>
      <c r="M507" t="s">
        <v>35</v>
      </c>
    </row>
    <row r="508" spans="1:13">
      <c r="A508" t="s">
        <v>1298</v>
      </c>
      <c r="B508" t="s">
        <v>561</v>
      </c>
      <c r="C508" t="s">
        <v>50</v>
      </c>
      <c r="D508" t="s">
        <v>1052</v>
      </c>
      <c r="E508" t="s">
        <v>562</v>
      </c>
      <c r="F508" t="s">
        <v>35</v>
      </c>
      <c r="G508">
        <f>HYPERLINK("http://clipc-services.ceda.ac.uk/dreq/u/e4dc8fb121d8dc2cbc44f1f28eea183b.html","web")</f>
        <v>0</v>
      </c>
      <c r="J508" t="s">
        <v>563</v>
      </c>
      <c r="K508" t="s">
        <v>1030</v>
      </c>
      <c r="M508" t="s">
        <v>35</v>
      </c>
    </row>
    <row r="509" spans="1:13">
      <c r="A509" t="s">
        <v>1298</v>
      </c>
      <c r="B509" t="s">
        <v>1299</v>
      </c>
      <c r="C509" t="s">
        <v>50</v>
      </c>
      <c r="D509" t="s">
        <v>1052</v>
      </c>
      <c r="E509" t="s">
        <v>1300</v>
      </c>
      <c r="F509" t="s">
        <v>35</v>
      </c>
      <c r="G509">
        <f>HYPERLINK("http://clipc-services.ceda.ac.uk/dreq/u/583cc0e465e20507f5aff35387691c4b.html","web")</f>
        <v>0</v>
      </c>
      <c r="J509" t="s">
        <v>1301</v>
      </c>
      <c r="K509" t="s">
        <v>1030</v>
      </c>
      <c r="M509" t="s">
        <v>35</v>
      </c>
    </row>
    <row r="510" spans="1:13">
      <c r="A510" t="s">
        <v>1298</v>
      </c>
      <c r="B510" t="s">
        <v>1302</v>
      </c>
      <c r="C510" t="s">
        <v>50</v>
      </c>
      <c r="D510" t="s">
        <v>1052</v>
      </c>
      <c r="E510" t="s">
        <v>1303</v>
      </c>
      <c r="F510" t="s">
        <v>35</v>
      </c>
      <c r="G510">
        <f>HYPERLINK("http://clipc-services.ceda.ac.uk/dreq/u/04666369846efb977098a42584d9bd42.html","web")</f>
        <v>0</v>
      </c>
      <c r="J510" t="s">
        <v>1301</v>
      </c>
      <c r="K510" t="s">
        <v>1030</v>
      </c>
      <c r="M510" t="s">
        <v>35</v>
      </c>
    </row>
    <row r="511" spans="1:13">
      <c r="A511" t="s">
        <v>1298</v>
      </c>
      <c r="B511" t="s">
        <v>1186</v>
      </c>
      <c r="C511" t="s">
        <v>50</v>
      </c>
      <c r="D511" t="s">
        <v>1052</v>
      </c>
      <c r="E511" t="s">
        <v>1187</v>
      </c>
      <c r="F511" t="s">
        <v>35</v>
      </c>
      <c r="G511">
        <f>HYPERLINK("http://clipc-services.ceda.ac.uk/dreq/u/7c0c62d0dc4787a601a1bc1c4e3f7597.html","web")</f>
        <v>0</v>
      </c>
      <c r="J511" t="s">
        <v>1188</v>
      </c>
      <c r="K511" t="s">
        <v>1030</v>
      </c>
      <c r="M511" t="s">
        <v>35</v>
      </c>
    </row>
    <row r="512" spans="1:13">
      <c r="A512" t="s">
        <v>1298</v>
      </c>
      <c r="B512" t="s">
        <v>1189</v>
      </c>
      <c r="C512" t="s">
        <v>50</v>
      </c>
      <c r="D512" t="s">
        <v>1052</v>
      </c>
      <c r="E512" t="s">
        <v>1190</v>
      </c>
      <c r="F512" t="s">
        <v>35</v>
      </c>
      <c r="G512">
        <f>HYPERLINK("http://clipc-services.ceda.ac.uk/dreq/u/ffa75c4442ad340cb0cdeb11aa19f044.html","web")</f>
        <v>0</v>
      </c>
      <c r="J512" t="s">
        <v>1191</v>
      </c>
      <c r="K512" t="s">
        <v>1030</v>
      </c>
      <c r="M512" t="s">
        <v>35</v>
      </c>
    </row>
    <row r="513" spans="1:13">
      <c r="A513" t="s">
        <v>1298</v>
      </c>
      <c r="B513" t="s">
        <v>1304</v>
      </c>
      <c r="C513" t="s">
        <v>50</v>
      </c>
      <c r="D513" t="s">
        <v>1057</v>
      </c>
      <c r="E513" t="s">
        <v>1305</v>
      </c>
      <c r="F513" t="s">
        <v>179</v>
      </c>
      <c r="G513">
        <f>HYPERLINK("http://clipc-services.ceda.ac.uk/dreq/u/e2574373178c92d41bbc0f8516c16016.html","web")</f>
        <v>0</v>
      </c>
      <c r="J513" t="s">
        <v>1306</v>
      </c>
      <c r="K513" t="s">
        <v>1030</v>
      </c>
      <c r="M513" t="s">
        <v>179</v>
      </c>
    </row>
    <row r="514" spans="1:13">
      <c r="A514" t="s">
        <v>1298</v>
      </c>
      <c r="B514" t="s">
        <v>973</v>
      </c>
      <c r="C514" t="s">
        <v>50</v>
      </c>
      <c r="D514" t="s">
        <v>1052</v>
      </c>
      <c r="E514" t="s">
        <v>974</v>
      </c>
      <c r="F514" t="s">
        <v>35</v>
      </c>
      <c r="G514">
        <f>HYPERLINK("http://clipc-services.ceda.ac.uk/dreq/u/a7cf325e9bf994ade073a1297378a57c.html","web")</f>
        <v>0</v>
      </c>
      <c r="J514" t="s">
        <v>975</v>
      </c>
      <c r="K514" t="s">
        <v>1030</v>
      </c>
      <c r="M514" t="s">
        <v>35</v>
      </c>
    </row>
    <row r="515" spans="1:13">
      <c r="A515" t="s">
        <v>1298</v>
      </c>
      <c r="B515" t="s">
        <v>1307</v>
      </c>
      <c r="C515" t="s">
        <v>50</v>
      </c>
      <c r="D515" t="s">
        <v>1057</v>
      </c>
      <c r="E515" t="s">
        <v>1308</v>
      </c>
      <c r="F515" t="s">
        <v>179</v>
      </c>
      <c r="G515">
        <f>HYPERLINK("http://clipc-services.ceda.ac.uk/dreq/u/efca52ebca27f2ee5c0c7926f776ac1d.html","web")</f>
        <v>0</v>
      </c>
      <c r="J515" t="s">
        <v>938</v>
      </c>
      <c r="K515" t="s">
        <v>1030</v>
      </c>
      <c r="M515" t="s">
        <v>179</v>
      </c>
    </row>
    <row r="516" spans="1:13">
      <c r="A516" t="s">
        <v>1298</v>
      </c>
      <c r="B516" t="s">
        <v>1309</v>
      </c>
      <c r="C516" t="s">
        <v>50</v>
      </c>
      <c r="D516" t="s">
        <v>1057</v>
      </c>
      <c r="E516" t="s">
        <v>1310</v>
      </c>
      <c r="F516" t="s">
        <v>179</v>
      </c>
      <c r="G516">
        <f>HYPERLINK("http://clipc-services.ceda.ac.uk/dreq/u/f7aec4279a79220660f26a558ed5672c.html","web")</f>
        <v>0</v>
      </c>
      <c r="J516" t="s">
        <v>1311</v>
      </c>
      <c r="K516" t="s">
        <v>1030</v>
      </c>
      <c r="M516" t="s">
        <v>179</v>
      </c>
    </row>
    <row r="517" spans="1:13">
      <c r="A517" t="s">
        <v>1298</v>
      </c>
      <c r="B517" t="s">
        <v>1312</v>
      </c>
      <c r="C517" t="s">
        <v>50</v>
      </c>
      <c r="D517" t="s">
        <v>1057</v>
      </c>
      <c r="E517" t="s">
        <v>1313</v>
      </c>
      <c r="F517" t="s">
        <v>179</v>
      </c>
      <c r="G517">
        <f>HYPERLINK("http://clipc-services.ceda.ac.uk/dreq/u/1e53b0fda8f2186407bb29f802c0aa93.html","web")</f>
        <v>0</v>
      </c>
      <c r="J517" t="s">
        <v>1314</v>
      </c>
      <c r="K517" t="s">
        <v>1030</v>
      </c>
      <c r="M517" t="s">
        <v>179</v>
      </c>
    </row>
    <row r="518" spans="1:13">
      <c r="A518" t="s">
        <v>1298</v>
      </c>
      <c r="B518" t="s">
        <v>1315</v>
      </c>
      <c r="C518" t="s">
        <v>50</v>
      </c>
      <c r="D518" t="s">
        <v>1057</v>
      </c>
      <c r="E518" t="s">
        <v>1316</v>
      </c>
      <c r="F518" t="s">
        <v>179</v>
      </c>
      <c r="G518">
        <f>HYPERLINK("http://clipc-services.ceda.ac.uk/dreq/u/27b742af91660071179e5440d83ddc37.html","web")</f>
        <v>0</v>
      </c>
      <c r="J518" t="s">
        <v>1317</v>
      </c>
      <c r="K518" t="s">
        <v>1030</v>
      </c>
      <c r="M518" t="s">
        <v>179</v>
      </c>
    </row>
    <row r="519" spans="1:13">
      <c r="A519" t="s">
        <v>1298</v>
      </c>
      <c r="B519" t="s">
        <v>1104</v>
      </c>
      <c r="C519" t="s">
        <v>50</v>
      </c>
      <c r="D519" t="s">
        <v>1052</v>
      </c>
      <c r="E519" t="s">
        <v>1105</v>
      </c>
      <c r="F519" t="s">
        <v>57</v>
      </c>
      <c r="G519">
        <f>HYPERLINK("http://clipc-services.ceda.ac.uk/dreq/u/d80ff3a0dec0b1256a0943aadab66813.html","web")</f>
        <v>0</v>
      </c>
      <c r="J519" t="s">
        <v>1106</v>
      </c>
      <c r="K519" t="s">
        <v>1030</v>
      </c>
      <c r="M519" t="s">
        <v>57</v>
      </c>
    </row>
    <row r="520" spans="1:13">
      <c r="A520" t="s">
        <v>1298</v>
      </c>
      <c r="B520" t="s">
        <v>1107</v>
      </c>
      <c r="C520" t="s">
        <v>50</v>
      </c>
      <c r="D520" t="s">
        <v>1052</v>
      </c>
      <c r="E520" t="s">
        <v>1108</v>
      </c>
      <c r="F520" t="s">
        <v>57</v>
      </c>
      <c r="G520">
        <f>HYPERLINK("http://clipc-services.ceda.ac.uk/dreq/u/c2270065bb39bfa4fbf0d13a78dfa8a1.html","web")</f>
        <v>0</v>
      </c>
      <c r="J520" t="s">
        <v>1106</v>
      </c>
      <c r="K520" t="s">
        <v>1030</v>
      </c>
      <c r="M520" t="s">
        <v>57</v>
      </c>
    </row>
    <row r="521" spans="1:13">
      <c r="A521" t="s">
        <v>1298</v>
      </c>
      <c r="B521" t="s">
        <v>1109</v>
      </c>
      <c r="C521" t="s">
        <v>50</v>
      </c>
      <c r="D521" t="s">
        <v>1052</v>
      </c>
      <c r="E521" t="s">
        <v>1110</v>
      </c>
      <c r="F521" t="s">
        <v>57</v>
      </c>
      <c r="G521">
        <f>HYPERLINK("http://clipc-services.ceda.ac.uk/dreq/u/7aa8f285b17a5bcfce416f19c29d6d72.html","web")</f>
        <v>0</v>
      </c>
      <c r="J521" t="s">
        <v>1111</v>
      </c>
      <c r="K521" t="s">
        <v>1030</v>
      </c>
      <c r="M521" t="s">
        <v>57</v>
      </c>
    </row>
    <row r="522" spans="1:13">
      <c r="A522" t="s">
        <v>1298</v>
      </c>
      <c r="B522" t="s">
        <v>1318</v>
      </c>
      <c r="C522" t="s">
        <v>50</v>
      </c>
      <c r="D522" t="s">
        <v>1052</v>
      </c>
      <c r="E522" t="s">
        <v>1319</v>
      </c>
      <c r="F522" t="s">
        <v>57</v>
      </c>
      <c r="G522">
        <f>HYPERLINK("http://clipc-services.ceda.ac.uk/dreq/u/cbd8a804ef6ec2ec45913e74f25d973f.html","web")</f>
        <v>0</v>
      </c>
      <c r="J522" t="s">
        <v>1106</v>
      </c>
      <c r="K522" t="s">
        <v>1030</v>
      </c>
      <c r="M522" t="s">
        <v>57</v>
      </c>
    </row>
    <row r="523" spans="1:13">
      <c r="A523" t="s">
        <v>1298</v>
      </c>
      <c r="B523" t="s">
        <v>1320</v>
      </c>
      <c r="C523" t="s">
        <v>50</v>
      </c>
      <c r="D523" t="s">
        <v>1052</v>
      </c>
      <c r="E523" t="s">
        <v>1321</v>
      </c>
      <c r="F523" t="s">
        <v>57</v>
      </c>
      <c r="G523">
        <f>HYPERLINK("http://clipc-services.ceda.ac.uk/dreq/u/60439f9beed734902e807ce8c572291c.html","web")</f>
        <v>0</v>
      </c>
      <c r="J523" t="s">
        <v>1106</v>
      </c>
      <c r="K523" t="s">
        <v>1030</v>
      </c>
      <c r="M523" t="s">
        <v>57</v>
      </c>
    </row>
    <row r="524" spans="1:13">
      <c r="A524" t="s">
        <v>1298</v>
      </c>
      <c r="B524" t="s">
        <v>1322</v>
      </c>
      <c r="C524" t="s">
        <v>50</v>
      </c>
      <c r="D524" t="s">
        <v>1052</v>
      </c>
      <c r="E524" t="s">
        <v>1323</v>
      </c>
      <c r="F524" t="s">
        <v>57</v>
      </c>
      <c r="G524">
        <f>HYPERLINK("http://clipc-services.ceda.ac.uk/dreq/u/d7f5ed6071c26983b8097d0d4a29a4d0.html","web")</f>
        <v>0</v>
      </c>
      <c r="J524" t="s">
        <v>1106</v>
      </c>
      <c r="K524" t="s">
        <v>1030</v>
      </c>
      <c r="M524" t="s">
        <v>57</v>
      </c>
    </row>
    <row r="525" spans="1:13">
      <c r="A525" t="s">
        <v>1298</v>
      </c>
      <c r="B525" t="s">
        <v>1324</v>
      </c>
      <c r="C525" t="s">
        <v>50</v>
      </c>
      <c r="D525" t="s">
        <v>1052</v>
      </c>
      <c r="E525" t="s">
        <v>1325</v>
      </c>
      <c r="F525" t="s">
        <v>57</v>
      </c>
      <c r="G525">
        <f>HYPERLINK("http://clipc-services.ceda.ac.uk/dreq/u/40386a39f65c07f0fbb689b89eb3a004.html","web")</f>
        <v>0</v>
      </c>
      <c r="J525" t="s">
        <v>1106</v>
      </c>
      <c r="K525" t="s">
        <v>1030</v>
      </c>
      <c r="M525" t="s">
        <v>57</v>
      </c>
    </row>
    <row r="526" spans="1:13">
      <c r="A526" t="s">
        <v>1298</v>
      </c>
      <c r="B526" t="s">
        <v>1326</v>
      </c>
      <c r="C526" t="s">
        <v>50</v>
      </c>
      <c r="D526" t="s">
        <v>1052</v>
      </c>
      <c r="E526" t="s">
        <v>1327</v>
      </c>
      <c r="F526" t="s">
        <v>57</v>
      </c>
      <c r="G526">
        <f>HYPERLINK("http://clipc-services.ceda.ac.uk/dreq/u/3723cf3c0aef7741d065625c75d34d9a.html","web")</f>
        <v>0</v>
      </c>
      <c r="J526" t="s">
        <v>1106</v>
      </c>
      <c r="K526" t="s">
        <v>1030</v>
      </c>
      <c r="M526" t="s">
        <v>57</v>
      </c>
    </row>
    <row r="527" spans="1:13">
      <c r="A527" t="s">
        <v>1298</v>
      </c>
      <c r="B527" t="s">
        <v>450</v>
      </c>
      <c r="C527" t="s">
        <v>35</v>
      </c>
      <c r="D527" t="s">
        <v>1068</v>
      </c>
      <c r="E527" t="s">
        <v>451</v>
      </c>
      <c r="F527" t="s">
        <v>35</v>
      </c>
      <c r="G527">
        <f>HYPERLINK("http://clipc-services.ceda.ac.uk/dreq/u/8de0f30b91b15720398fc10fd712a182.html","web")</f>
        <v>0</v>
      </c>
      <c r="J527" t="s">
        <v>452</v>
      </c>
      <c r="K527" t="s">
        <v>1030</v>
      </c>
      <c r="M527" t="s">
        <v>35</v>
      </c>
    </row>
    <row r="528" spans="1:13">
      <c r="A528" t="s">
        <v>1298</v>
      </c>
      <c r="B528" t="s">
        <v>1328</v>
      </c>
      <c r="C528" t="s">
        <v>50</v>
      </c>
      <c r="D528" t="s">
        <v>1052</v>
      </c>
      <c r="E528" t="s">
        <v>1329</v>
      </c>
      <c r="F528" t="s">
        <v>57</v>
      </c>
      <c r="G528">
        <f>HYPERLINK("http://clipc-services.ceda.ac.uk/dreq/u/216ab26c-b89b-11e6-a189-5404a60d96b5.html","web")</f>
        <v>0</v>
      </c>
      <c r="J528" t="s">
        <v>1330</v>
      </c>
      <c r="K528" t="s">
        <v>1331</v>
      </c>
      <c r="M528" t="s">
        <v>57</v>
      </c>
    </row>
    <row r="529" spans="1:13">
      <c r="A529" t="s">
        <v>1298</v>
      </c>
      <c r="B529" t="s">
        <v>1332</v>
      </c>
      <c r="C529" t="s">
        <v>50</v>
      </c>
      <c r="D529" t="s">
        <v>1057</v>
      </c>
      <c r="E529" t="s">
        <v>1333</v>
      </c>
      <c r="F529" t="s">
        <v>57</v>
      </c>
      <c r="G529">
        <f>HYPERLINK("http://clipc-services.ceda.ac.uk/dreq/u/211dfdaa-b89b-11e6-a189-5404a60d96b5.html","web")</f>
        <v>0</v>
      </c>
      <c r="J529" t="s">
        <v>1334</v>
      </c>
      <c r="K529" t="s">
        <v>1331</v>
      </c>
      <c r="M529" t="s">
        <v>57</v>
      </c>
    </row>
    <row r="531" spans="1:13">
      <c r="A531" t="s">
        <v>1335</v>
      </c>
      <c r="B531" t="s">
        <v>1336</v>
      </c>
      <c r="C531" t="s">
        <v>35</v>
      </c>
      <c r="D531" t="s">
        <v>152</v>
      </c>
      <c r="E531" t="s">
        <v>1337</v>
      </c>
      <c r="F531" t="s">
        <v>179</v>
      </c>
      <c r="G531">
        <f>HYPERLINK("http://clipc-services.ceda.ac.uk/dreq/u/590d6e02-9e49-11e5-803c-0d0b866b59f3.html","web")</f>
        <v>0</v>
      </c>
      <c r="J531" t="s">
        <v>1338</v>
      </c>
      <c r="K531" t="s">
        <v>21</v>
      </c>
      <c r="M531" t="s">
        <v>179</v>
      </c>
    </row>
    <row r="532" spans="1:13">
      <c r="A532" t="s">
        <v>1335</v>
      </c>
      <c r="B532" t="s">
        <v>1339</v>
      </c>
      <c r="C532" t="s">
        <v>35</v>
      </c>
      <c r="D532" t="s">
        <v>152</v>
      </c>
      <c r="E532" t="s">
        <v>1340</v>
      </c>
      <c r="F532" t="s">
        <v>179</v>
      </c>
      <c r="G532">
        <f>HYPERLINK("http://clipc-services.ceda.ac.uk/dreq/u/5917e2ba-9e49-11e5-803c-0d0b866b59f3.html","web")</f>
        <v>0</v>
      </c>
      <c r="J532" t="s">
        <v>938</v>
      </c>
      <c r="K532" t="s">
        <v>40</v>
      </c>
      <c r="M532" t="s">
        <v>179</v>
      </c>
    </row>
    <row r="533" spans="1:13">
      <c r="A533" t="s">
        <v>1335</v>
      </c>
      <c r="B533" t="s">
        <v>1315</v>
      </c>
      <c r="C533" t="s">
        <v>50</v>
      </c>
      <c r="D533" t="s">
        <v>152</v>
      </c>
      <c r="E533" t="s">
        <v>1316</v>
      </c>
      <c r="F533" t="s">
        <v>179</v>
      </c>
      <c r="G533">
        <f>HYPERLINK("http://clipc-services.ceda.ac.uk/dreq/u/27b742af91660071179e5440d83ddc37.html","web")</f>
        <v>0</v>
      </c>
      <c r="J533" t="s">
        <v>1317</v>
      </c>
      <c r="K533" t="s">
        <v>40</v>
      </c>
      <c r="M533" t="s">
        <v>179</v>
      </c>
    </row>
    <row r="535" spans="1:13">
      <c r="A535" t="s">
        <v>1341</v>
      </c>
      <c r="B535" t="s">
        <v>1342</v>
      </c>
      <c r="C535" t="s">
        <v>50</v>
      </c>
      <c r="D535" t="s">
        <v>152</v>
      </c>
      <c r="E535" t="s">
        <v>1343</v>
      </c>
      <c r="F535" t="s">
        <v>47</v>
      </c>
      <c r="G535">
        <f>HYPERLINK("http://clipc-services.ceda.ac.uk/dreq/u/590f49fc-9e49-11e5-803c-0d0b866b59f3.html","web")</f>
        <v>0</v>
      </c>
      <c r="J535" t="s">
        <v>1344</v>
      </c>
      <c r="K535" t="s">
        <v>1345</v>
      </c>
      <c r="M535" t="s">
        <v>47</v>
      </c>
    </row>
    <row r="536" spans="1:13">
      <c r="A536" t="s">
        <v>1341</v>
      </c>
      <c r="B536" t="s">
        <v>1346</v>
      </c>
      <c r="C536" t="s">
        <v>50</v>
      </c>
      <c r="D536" t="s">
        <v>152</v>
      </c>
      <c r="E536" t="s">
        <v>1347</v>
      </c>
      <c r="F536" t="s">
        <v>47</v>
      </c>
      <c r="G536">
        <f>HYPERLINK("http://clipc-services.ceda.ac.uk/dreq/u/590de850-9e49-11e5-803c-0d0b866b59f3.html","web")</f>
        <v>0</v>
      </c>
      <c r="J536" t="s">
        <v>1348</v>
      </c>
      <c r="K536" t="s">
        <v>1345</v>
      </c>
      <c r="M536" t="s">
        <v>47</v>
      </c>
    </row>
    <row r="537" spans="1:13">
      <c r="A537" t="s">
        <v>1341</v>
      </c>
      <c r="B537" t="s">
        <v>1349</v>
      </c>
      <c r="C537" t="s">
        <v>50</v>
      </c>
      <c r="D537" t="s">
        <v>152</v>
      </c>
      <c r="E537" t="s">
        <v>1350</v>
      </c>
      <c r="F537" t="s">
        <v>47</v>
      </c>
      <c r="G537">
        <f>HYPERLINK("http://clipc-services.ceda.ac.uk/dreq/u/590f5e1a-9e49-11e5-803c-0d0b866b59f3.html","web")</f>
        <v>0</v>
      </c>
      <c r="J537" t="s">
        <v>1351</v>
      </c>
      <c r="K537" t="s">
        <v>1345</v>
      </c>
      <c r="M537" t="s">
        <v>47</v>
      </c>
    </row>
    <row r="538" spans="1:13">
      <c r="A538" t="s">
        <v>1341</v>
      </c>
      <c r="B538" t="s">
        <v>1352</v>
      </c>
      <c r="C538" t="s">
        <v>50</v>
      </c>
      <c r="D538" t="s">
        <v>152</v>
      </c>
      <c r="E538" t="s">
        <v>1353</v>
      </c>
      <c r="F538" t="s">
        <v>47</v>
      </c>
      <c r="G538">
        <f>HYPERLINK("http://clipc-services.ceda.ac.uk/dreq/u/59144c36-9e49-11e5-803c-0d0b866b59f3.html","web")</f>
        <v>0</v>
      </c>
      <c r="J538" t="s">
        <v>1354</v>
      </c>
      <c r="K538" t="s">
        <v>1345</v>
      </c>
      <c r="M538" t="s">
        <v>47</v>
      </c>
    </row>
    <row r="539" spans="1:13">
      <c r="A539" t="s">
        <v>1341</v>
      </c>
      <c r="B539" t="s">
        <v>1355</v>
      </c>
      <c r="C539" t="s">
        <v>50</v>
      </c>
      <c r="D539" t="s">
        <v>152</v>
      </c>
      <c r="E539" t="s">
        <v>1356</v>
      </c>
      <c r="F539" t="s">
        <v>47</v>
      </c>
      <c r="G539">
        <f>HYPERLINK("http://clipc-services.ceda.ac.uk/dreq/u/590f885e-9e49-11e5-803c-0d0b866b59f3.html","web")</f>
        <v>0</v>
      </c>
      <c r="J539" t="s">
        <v>1357</v>
      </c>
      <c r="K539" t="s">
        <v>1345</v>
      </c>
      <c r="M539" t="s">
        <v>47</v>
      </c>
    </row>
    <row r="540" spans="1:13">
      <c r="A540" t="s">
        <v>1341</v>
      </c>
      <c r="B540" t="s">
        <v>1358</v>
      </c>
      <c r="C540" t="s">
        <v>50</v>
      </c>
      <c r="D540" t="s">
        <v>152</v>
      </c>
      <c r="E540" t="s">
        <v>1359</v>
      </c>
      <c r="F540" t="s">
        <v>47</v>
      </c>
      <c r="G540">
        <f>HYPERLINK("http://clipc-services.ceda.ac.uk/dreq/u/590e29c8-9e49-11e5-803c-0d0b866b59f3.html","web")</f>
        <v>0</v>
      </c>
      <c r="J540" t="s">
        <v>1360</v>
      </c>
      <c r="K540" t="s">
        <v>1345</v>
      </c>
      <c r="M540" t="s">
        <v>47</v>
      </c>
    </row>
    <row r="541" spans="1:13">
      <c r="A541" t="s">
        <v>1341</v>
      </c>
      <c r="B541" t="s">
        <v>1361</v>
      </c>
      <c r="C541" t="s">
        <v>50</v>
      </c>
      <c r="D541" t="s">
        <v>152</v>
      </c>
      <c r="E541" t="s">
        <v>1362</v>
      </c>
      <c r="F541" t="s">
        <v>47</v>
      </c>
      <c r="G541">
        <f>HYPERLINK("http://clipc-services.ceda.ac.uk/dreq/u/5913d382-9e49-11e5-803c-0d0b866b59f3.html","web")</f>
        <v>0</v>
      </c>
      <c r="J541" t="s">
        <v>1363</v>
      </c>
      <c r="K541" t="s">
        <v>1345</v>
      </c>
      <c r="M541" t="s">
        <v>47</v>
      </c>
    </row>
    <row r="542" spans="1:13">
      <c r="A542" t="s">
        <v>1341</v>
      </c>
      <c r="B542" t="s">
        <v>1364</v>
      </c>
      <c r="C542" t="s">
        <v>50</v>
      </c>
      <c r="D542" t="s">
        <v>152</v>
      </c>
      <c r="E542" t="s">
        <v>1365</v>
      </c>
      <c r="F542" t="s">
        <v>47</v>
      </c>
      <c r="G542">
        <f>HYPERLINK("http://clipc-services.ceda.ac.uk/dreq/u/59149524-9e49-11e5-803c-0d0b866b59f3.html","web")</f>
        <v>0</v>
      </c>
      <c r="J542" t="s">
        <v>1366</v>
      </c>
      <c r="K542" t="s">
        <v>1345</v>
      </c>
      <c r="M542" t="s">
        <v>47</v>
      </c>
    </row>
    <row r="543" spans="1:13">
      <c r="A543" t="s">
        <v>1341</v>
      </c>
      <c r="B543" t="s">
        <v>1367</v>
      </c>
      <c r="C543" t="s">
        <v>50</v>
      </c>
      <c r="D543" t="s">
        <v>152</v>
      </c>
      <c r="E543" t="s">
        <v>1368</v>
      </c>
      <c r="F543" t="s">
        <v>47</v>
      </c>
      <c r="G543">
        <f>HYPERLINK("http://clipc-services.ceda.ac.uk/dreq/u/84f0f62e-acb7-11e6-b5ee-ac72891c3257.html","web")</f>
        <v>0</v>
      </c>
      <c r="J543" t="s">
        <v>1369</v>
      </c>
      <c r="K543" t="s">
        <v>1370</v>
      </c>
      <c r="M543" t="s">
        <v>47</v>
      </c>
    </row>
    <row r="544" spans="1:13">
      <c r="A544" t="s">
        <v>1341</v>
      </c>
      <c r="B544" t="s">
        <v>1371</v>
      </c>
      <c r="C544" t="s">
        <v>50</v>
      </c>
      <c r="D544" t="s">
        <v>152</v>
      </c>
      <c r="E544" t="s">
        <v>1372</v>
      </c>
      <c r="F544" t="s">
        <v>47</v>
      </c>
      <c r="G544">
        <f>HYPERLINK("http://clipc-services.ceda.ac.uk/dreq/u/84efa3fa-acb7-11e6-b5ee-ac72891c3257.html","web")</f>
        <v>0</v>
      </c>
      <c r="J544" t="s">
        <v>1369</v>
      </c>
      <c r="K544" t="s">
        <v>1370</v>
      </c>
      <c r="M544" t="s">
        <v>47</v>
      </c>
    </row>
    <row r="545" spans="1:13">
      <c r="A545" t="s">
        <v>1341</v>
      </c>
      <c r="B545" t="s">
        <v>1373</v>
      </c>
      <c r="C545" t="s">
        <v>50</v>
      </c>
      <c r="D545" t="s">
        <v>152</v>
      </c>
      <c r="E545" t="s">
        <v>1374</v>
      </c>
      <c r="F545" t="s">
        <v>47</v>
      </c>
      <c r="G545">
        <f>HYPERLINK("http://clipc-services.ceda.ac.uk/dreq/u/84f0a5d4-acb7-11e6-b5ee-ac72891c3257.html","web")</f>
        <v>0</v>
      </c>
      <c r="J545" t="s">
        <v>1369</v>
      </c>
      <c r="K545" t="s">
        <v>1370</v>
      </c>
      <c r="M545" t="s">
        <v>47</v>
      </c>
    </row>
    <row r="546" spans="1:13">
      <c r="A546" t="s">
        <v>1341</v>
      </c>
      <c r="B546" t="s">
        <v>1375</v>
      </c>
      <c r="C546" t="s">
        <v>50</v>
      </c>
      <c r="D546" t="s">
        <v>152</v>
      </c>
      <c r="E546" t="s">
        <v>1376</v>
      </c>
      <c r="F546" t="s">
        <v>47</v>
      </c>
      <c r="G546">
        <f>HYPERLINK("http://clipc-services.ceda.ac.uk/dreq/u/f3532407075647328e7da9c24f00193d.html","web")</f>
        <v>0</v>
      </c>
      <c r="J546" t="s">
        <v>1377</v>
      </c>
      <c r="K546" t="s">
        <v>1378</v>
      </c>
      <c r="M546" t="s">
        <v>47</v>
      </c>
    </row>
    <row r="547" spans="1:13">
      <c r="A547" t="s">
        <v>1341</v>
      </c>
      <c r="B547" t="s">
        <v>1379</v>
      </c>
      <c r="C547" t="s">
        <v>35</v>
      </c>
      <c r="D547" t="s">
        <v>1380</v>
      </c>
      <c r="E547" t="s">
        <v>1381</v>
      </c>
      <c r="F547" t="s">
        <v>47</v>
      </c>
      <c r="G547">
        <f>HYPERLINK("http://clipc-services.ceda.ac.uk/dreq/u/84f0f91c-acb7-11e6-b5ee-ac72891c3257.html","web")</f>
        <v>0</v>
      </c>
      <c r="J547" t="s">
        <v>1382</v>
      </c>
      <c r="K547" t="s">
        <v>1370</v>
      </c>
      <c r="M547" t="s">
        <v>47</v>
      </c>
    </row>
    <row r="548" spans="1:13">
      <c r="A548" t="s">
        <v>1341</v>
      </c>
      <c r="B548" t="s">
        <v>1383</v>
      </c>
      <c r="C548" t="s">
        <v>50</v>
      </c>
      <c r="D548" t="s">
        <v>152</v>
      </c>
      <c r="E548" t="s">
        <v>1384</v>
      </c>
      <c r="F548" t="s">
        <v>47</v>
      </c>
      <c r="G548">
        <f>HYPERLINK("http://clipc-services.ceda.ac.uk/dreq/u/84f0d158-acb7-11e6-b5ee-ac72891c3257.html","web")</f>
        <v>0</v>
      </c>
      <c r="J548" t="s">
        <v>1385</v>
      </c>
      <c r="K548" t="s">
        <v>1370</v>
      </c>
      <c r="M548" t="s">
        <v>47</v>
      </c>
    </row>
    <row r="549" spans="1:13">
      <c r="A549" t="s">
        <v>1341</v>
      </c>
      <c r="B549" t="s">
        <v>1386</v>
      </c>
      <c r="C549" t="s">
        <v>50</v>
      </c>
      <c r="D549" t="s">
        <v>1252</v>
      </c>
      <c r="E549" t="s">
        <v>1387</v>
      </c>
      <c r="F549" t="s">
        <v>47</v>
      </c>
      <c r="G549">
        <f>HYPERLINK("http://clipc-services.ceda.ac.uk/dreq/u/84f0a8f4-acb7-11e6-b5ee-ac72891c3257.html","web")</f>
        <v>0</v>
      </c>
      <c r="J549" t="s">
        <v>1388</v>
      </c>
      <c r="K549" t="s">
        <v>1370</v>
      </c>
      <c r="M549" t="s">
        <v>47</v>
      </c>
    </row>
    <row r="550" spans="1:13">
      <c r="A550" t="s">
        <v>1341</v>
      </c>
      <c r="B550" t="s">
        <v>1389</v>
      </c>
      <c r="C550" t="s">
        <v>50</v>
      </c>
      <c r="D550" t="s">
        <v>1390</v>
      </c>
      <c r="E550" t="s">
        <v>1391</v>
      </c>
      <c r="F550" t="s">
        <v>47</v>
      </c>
      <c r="G550">
        <f>HYPERLINK("http://clipc-services.ceda.ac.uk/dreq/u/84f0fc3c-acb7-11e6-b5ee-ac72891c3257.html","web")</f>
        <v>0</v>
      </c>
      <c r="J550" t="s">
        <v>1392</v>
      </c>
      <c r="K550" t="s">
        <v>1370</v>
      </c>
      <c r="M550" t="s">
        <v>47</v>
      </c>
    </row>
    <row r="551" spans="1:13">
      <c r="A551" t="s">
        <v>1341</v>
      </c>
      <c r="B551" t="s">
        <v>1393</v>
      </c>
      <c r="C551" t="s">
        <v>50</v>
      </c>
      <c r="D551" t="s">
        <v>152</v>
      </c>
      <c r="E551" t="s">
        <v>1394</v>
      </c>
      <c r="F551" t="s">
        <v>47</v>
      </c>
      <c r="G551">
        <f>HYPERLINK("http://clipc-services.ceda.ac.uk/dreq/u/84f10b8c-acb7-11e6-b5ee-ac72891c3257.html","web")</f>
        <v>0</v>
      </c>
      <c r="J551" t="s">
        <v>1385</v>
      </c>
      <c r="K551" t="s">
        <v>1370</v>
      </c>
      <c r="M551" t="s">
        <v>47</v>
      </c>
    </row>
    <row r="552" spans="1:13">
      <c r="A552" t="s">
        <v>1341</v>
      </c>
      <c r="B552" t="s">
        <v>1395</v>
      </c>
      <c r="C552" t="s">
        <v>50</v>
      </c>
      <c r="D552" t="s">
        <v>152</v>
      </c>
      <c r="E552" t="s">
        <v>1396</v>
      </c>
      <c r="F552" t="s">
        <v>47</v>
      </c>
      <c r="G552">
        <f>HYPERLINK("http://clipc-services.ceda.ac.uk/dreq/u/84f0e418-acb7-11e6-b5ee-ac72891c3257.html","web")</f>
        <v>0</v>
      </c>
      <c r="J552" t="s">
        <v>1385</v>
      </c>
      <c r="K552" t="s">
        <v>1370</v>
      </c>
      <c r="M552" t="s">
        <v>47</v>
      </c>
    </row>
    <row r="553" spans="1:13">
      <c r="A553" t="s">
        <v>1341</v>
      </c>
      <c r="B553" t="s">
        <v>1397</v>
      </c>
      <c r="C553" t="s">
        <v>50</v>
      </c>
      <c r="D553" t="s">
        <v>152</v>
      </c>
      <c r="E553" t="s">
        <v>1398</v>
      </c>
      <c r="F553" t="s">
        <v>47</v>
      </c>
      <c r="G553">
        <f>HYPERLINK("http://clipc-services.ceda.ac.uk/dreq/u/84f0ac28-acb7-11e6-b5ee-ac72891c3257.html","web")</f>
        <v>0</v>
      </c>
      <c r="J553" t="s">
        <v>1399</v>
      </c>
      <c r="K553" t="s">
        <v>1370</v>
      </c>
      <c r="M553" t="s">
        <v>47</v>
      </c>
    </row>
    <row r="554" spans="1:13">
      <c r="A554" t="s">
        <v>1341</v>
      </c>
      <c r="B554" t="s">
        <v>1400</v>
      </c>
      <c r="C554" t="s">
        <v>50</v>
      </c>
      <c r="D554" t="s">
        <v>152</v>
      </c>
      <c r="E554" t="s">
        <v>1401</v>
      </c>
      <c r="F554" t="s">
        <v>47</v>
      </c>
      <c r="G554">
        <f>HYPERLINK("http://clipc-services.ceda.ac.uk/dreq/u/84f0c19a-acb7-11e6-b5ee-ac72891c3257.html","web")</f>
        <v>0</v>
      </c>
      <c r="J554" t="s">
        <v>1399</v>
      </c>
      <c r="K554" t="s">
        <v>1370</v>
      </c>
      <c r="M554" t="s">
        <v>47</v>
      </c>
    </row>
    <row r="555" spans="1:13">
      <c r="A555" t="s">
        <v>1341</v>
      </c>
      <c r="B555" t="s">
        <v>1402</v>
      </c>
      <c r="C555" t="s">
        <v>50</v>
      </c>
      <c r="D555" t="s">
        <v>152</v>
      </c>
      <c r="E555" t="s">
        <v>1403</v>
      </c>
      <c r="F555" t="s">
        <v>47</v>
      </c>
      <c r="G555">
        <f>HYPERLINK("http://clipc-services.ceda.ac.uk/dreq/u/84f0ff48-acb7-11e6-b5ee-ac72891c3257.html","web")</f>
        <v>0</v>
      </c>
      <c r="J555" t="s">
        <v>1399</v>
      </c>
      <c r="K555" t="s">
        <v>1370</v>
      </c>
      <c r="M555" t="s">
        <v>47</v>
      </c>
    </row>
    <row r="556" spans="1:13">
      <c r="A556" t="s">
        <v>1341</v>
      </c>
      <c r="B556" t="s">
        <v>1026</v>
      </c>
      <c r="C556" t="s">
        <v>35</v>
      </c>
      <c r="D556" t="s">
        <v>1404</v>
      </c>
      <c r="E556" t="s">
        <v>1028</v>
      </c>
      <c r="F556" t="s">
        <v>35</v>
      </c>
      <c r="G556">
        <f>HYPERLINK("http://clipc-services.ceda.ac.uk/dreq/u/5a6730cdd3fef77dc53ea1f61b23821f.html","web")</f>
        <v>0</v>
      </c>
      <c r="J556" t="s">
        <v>1029</v>
      </c>
      <c r="K556" t="s">
        <v>1030</v>
      </c>
      <c r="M556" t="s">
        <v>35</v>
      </c>
    </row>
    <row r="557" spans="1:13">
      <c r="A557" t="s">
        <v>1341</v>
      </c>
      <c r="B557" t="s">
        <v>1031</v>
      </c>
      <c r="C557" t="s">
        <v>35</v>
      </c>
      <c r="D557" t="s">
        <v>1405</v>
      </c>
      <c r="E557" t="s">
        <v>1033</v>
      </c>
      <c r="F557" t="s">
        <v>35</v>
      </c>
      <c r="G557">
        <f>HYPERLINK("http://clipc-services.ceda.ac.uk/dreq/u/823b0a0d39e3f3f3a992c49948fde77c.html","web")</f>
        <v>0</v>
      </c>
      <c r="J557" t="s">
        <v>1034</v>
      </c>
      <c r="K557" t="s">
        <v>1030</v>
      </c>
      <c r="M557" t="s">
        <v>35</v>
      </c>
    </row>
    <row r="558" spans="1:13">
      <c r="A558" t="s">
        <v>1341</v>
      </c>
      <c r="B558" t="s">
        <v>1406</v>
      </c>
      <c r="C558" t="s">
        <v>35</v>
      </c>
      <c r="D558" t="s">
        <v>326</v>
      </c>
      <c r="E558" t="s">
        <v>1407</v>
      </c>
      <c r="F558" t="s">
        <v>38</v>
      </c>
      <c r="G558">
        <f>HYPERLINK("http://clipc-services.ceda.ac.uk/dreq/u/590eb9ec-9e49-11e5-803c-0d0b866b59f3.html","web")</f>
        <v>0</v>
      </c>
      <c r="J558" t="s">
        <v>328</v>
      </c>
      <c r="K558" t="s">
        <v>1030</v>
      </c>
      <c r="M558" t="s">
        <v>38</v>
      </c>
    </row>
    <row r="559" spans="1:13">
      <c r="A559" t="s">
        <v>1341</v>
      </c>
      <c r="B559" t="s">
        <v>1408</v>
      </c>
      <c r="C559" t="s">
        <v>35</v>
      </c>
      <c r="D559" t="s">
        <v>326</v>
      </c>
      <c r="E559" t="s">
        <v>1409</v>
      </c>
      <c r="F559" t="s">
        <v>38</v>
      </c>
      <c r="G559">
        <f>HYPERLINK("http://clipc-services.ceda.ac.uk/dreq/u/590f43f8-9e49-11e5-803c-0d0b866b59f3.html","web")</f>
        <v>0</v>
      </c>
      <c r="J559" t="s">
        <v>1410</v>
      </c>
      <c r="K559" t="s">
        <v>1030</v>
      </c>
      <c r="M559" t="s">
        <v>38</v>
      </c>
    </row>
    <row r="560" spans="1:13">
      <c r="A560" t="s">
        <v>1341</v>
      </c>
      <c r="B560" t="s">
        <v>1180</v>
      </c>
      <c r="C560" t="s">
        <v>50</v>
      </c>
      <c r="D560" t="s">
        <v>1411</v>
      </c>
      <c r="E560" t="s">
        <v>1181</v>
      </c>
      <c r="F560" t="s">
        <v>35</v>
      </c>
      <c r="G560">
        <f>HYPERLINK("http://clipc-services.ceda.ac.uk/dreq/u/5913a2fe-9e49-11e5-803c-0d0b866b59f3.html","web")</f>
        <v>0</v>
      </c>
      <c r="J560" t="s">
        <v>1182</v>
      </c>
      <c r="K560" t="s">
        <v>21</v>
      </c>
      <c r="M560" t="s">
        <v>35</v>
      </c>
    </row>
    <row r="561" spans="1:13">
      <c r="A561" t="s">
        <v>1341</v>
      </c>
      <c r="B561" t="s">
        <v>1208</v>
      </c>
      <c r="C561" t="s">
        <v>35</v>
      </c>
      <c r="D561" t="s">
        <v>152</v>
      </c>
      <c r="E561" t="s">
        <v>1209</v>
      </c>
      <c r="F561" t="s">
        <v>955</v>
      </c>
      <c r="G561">
        <f>HYPERLINK("http://clipc-services.ceda.ac.uk/dreq/u/59d5c1ca37702f3ab916f1c9096d8f7f.html","web")</f>
        <v>0</v>
      </c>
      <c r="J561" t="s">
        <v>1210</v>
      </c>
      <c r="K561" t="s">
        <v>1412</v>
      </c>
      <c r="M561" t="s">
        <v>955</v>
      </c>
    </row>
    <row r="562" spans="1:13">
      <c r="A562" t="s">
        <v>1341</v>
      </c>
      <c r="B562" t="s">
        <v>1413</v>
      </c>
      <c r="C562" t="s">
        <v>35</v>
      </c>
      <c r="D562" t="s">
        <v>152</v>
      </c>
      <c r="E562" t="s">
        <v>1414</v>
      </c>
      <c r="F562" t="s">
        <v>955</v>
      </c>
      <c r="G562">
        <f>HYPERLINK("http://clipc-services.ceda.ac.uk/dreq/u/069ed8a3f93e92dab9e61f59b4d5338e.html","web")</f>
        <v>0</v>
      </c>
      <c r="J562" t="s">
        <v>1415</v>
      </c>
      <c r="K562" t="s">
        <v>1416</v>
      </c>
      <c r="M562" t="s">
        <v>955</v>
      </c>
    </row>
    <row r="563" spans="1:13">
      <c r="A563" t="s">
        <v>1341</v>
      </c>
      <c r="B563" t="s">
        <v>1211</v>
      </c>
      <c r="C563" t="s">
        <v>35</v>
      </c>
      <c r="D563" t="s">
        <v>152</v>
      </c>
      <c r="E563" t="s">
        <v>1212</v>
      </c>
      <c r="F563" t="s">
        <v>1213</v>
      </c>
      <c r="G563">
        <f>HYPERLINK("http://clipc-services.ceda.ac.uk/dreq/u/f946653cd518e221676f263a895c7852.html","web")</f>
        <v>0</v>
      </c>
      <c r="J563" t="s">
        <v>1214</v>
      </c>
      <c r="K563" t="s">
        <v>1416</v>
      </c>
      <c r="M563" t="s">
        <v>1213</v>
      </c>
    </row>
    <row r="564" spans="1:13">
      <c r="A564" t="s">
        <v>1341</v>
      </c>
      <c r="B564" t="s">
        <v>1183</v>
      </c>
      <c r="C564" t="s">
        <v>50</v>
      </c>
      <c r="D564" t="s">
        <v>1411</v>
      </c>
      <c r="E564" t="s">
        <v>1184</v>
      </c>
      <c r="F564" t="s">
        <v>35</v>
      </c>
      <c r="G564">
        <f>HYPERLINK("http://clipc-services.ceda.ac.uk/dreq/u/59151288-9e49-11e5-803c-0d0b866b59f3.html","web")</f>
        <v>0</v>
      </c>
      <c r="J564" t="s">
        <v>1185</v>
      </c>
      <c r="K564" t="s">
        <v>21</v>
      </c>
      <c r="M564" t="s">
        <v>35</v>
      </c>
    </row>
    <row r="565" spans="1:13">
      <c r="A565" t="s">
        <v>1341</v>
      </c>
      <c r="B565" t="s">
        <v>1417</v>
      </c>
      <c r="C565" t="s">
        <v>35</v>
      </c>
      <c r="D565" t="s">
        <v>152</v>
      </c>
      <c r="E565" t="s">
        <v>1418</v>
      </c>
      <c r="F565" t="s">
        <v>38</v>
      </c>
      <c r="G565">
        <f>HYPERLINK("http://clipc-services.ceda.ac.uk/dreq/u/5914308e-9e49-11e5-803c-0d0b866b59f3.html","web")</f>
        <v>0</v>
      </c>
      <c r="J565" t="s">
        <v>1419</v>
      </c>
      <c r="K565" t="s">
        <v>1030</v>
      </c>
      <c r="M565" t="s">
        <v>38</v>
      </c>
    </row>
    <row r="566" spans="1:13">
      <c r="A566" t="s">
        <v>1341</v>
      </c>
      <c r="B566" t="s">
        <v>1040</v>
      </c>
      <c r="C566" t="s">
        <v>35</v>
      </c>
      <c r="D566" t="s">
        <v>1420</v>
      </c>
      <c r="E566" t="s">
        <v>1042</v>
      </c>
      <c r="F566" t="s">
        <v>38</v>
      </c>
      <c r="G566">
        <f>HYPERLINK("http://clipc-services.ceda.ac.uk/dreq/u/59151ed6-9e49-11e5-803c-0d0b866b59f3.html","web")</f>
        <v>0</v>
      </c>
      <c r="J566" t="s">
        <v>1043</v>
      </c>
      <c r="K566" t="s">
        <v>1030</v>
      </c>
      <c r="M566" t="s">
        <v>38</v>
      </c>
    </row>
    <row r="567" spans="1:13">
      <c r="A567" t="s">
        <v>1341</v>
      </c>
      <c r="B567" t="s">
        <v>1421</v>
      </c>
      <c r="C567" t="s">
        <v>35</v>
      </c>
      <c r="D567" t="s">
        <v>152</v>
      </c>
      <c r="E567" t="s">
        <v>1422</v>
      </c>
      <c r="F567" t="s">
        <v>38</v>
      </c>
      <c r="G567">
        <f>HYPERLINK("http://clipc-services.ceda.ac.uk/dreq/u/5912dd74-9e49-11e5-803c-0d0b866b59f3.html","web")</f>
        <v>0</v>
      </c>
      <c r="J567" t="s">
        <v>1423</v>
      </c>
      <c r="K567" t="s">
        <v>1030</v>
      </c>
      <c r="M567" t="s">
        <v>38</v>
      </c>
    </row>
    <row r="568" spans="1:13">
      <c r="A568" t="s">
        <v>1341</v>
      </c>
      <c r="B568" t="s">
        <v>1424</v>
      </c>
      <c r="C568" t="s">
        <v>35</v>
      </c>
      <c r="D568" t="s">
        <v>152</v>
      </c>
      <c r="E568" t="s">
        <v>1425</v>
      </c>
      <c r="F568" t="s">
        <v>38</v>
      </c>
      <c r="G568">
        <f>HYPERLINK("http://clipc-services.ceda.ac.uk/dreq/u/590e9c50-9e49-11e5-803c-0d0b866b59f3.html","web")</f>
        <v>0</v>
      </c>
      <c r="J568" t="s">
        <v>1426</v>
      </c>
      <c r="K568" t="s">
        <v>1030</v>
      </c>
      <c r="M568" t="s">
        <v>38</v>
      </c>
    </row>
    <row r="569" spans="1:13">
      <c r="A569" t="s">
        <v>1341</v>
      </c>
      <c r="B569" t="s">
        <v>1218</v>
      </c>
      <c r="C569" t="s">
        <v>35</v>
      </c>
      <c r="D569" t="s">
        <v>152</v>
      </c>
      <c r="E569" t="s">
        <v>1219</v>
      </c>
      <c r="F569" t="s">
        <v>47</v>
      </c>
      <c r="G569">
        <f>HYPERLINK("http://clipc-services.ceda.ac.uk/dreq/u/590ef7b8-9e49-11e5-803c-0d0b866b59f3.html","web")</f>
        <v>0</v>
      </c>
      <c r="J569" t="s">
        <v>1220</v>
      </c>
      <c r="K569" t="s">
        <v>21</v>
      </c>
      <c r="M569" t="s">
        <v>47</v>
      </c>
    </row>
    <row r="570" spans="1:13">
      <c r="A570" t="s">
        <v>1341</v>
      </c>
      <c r="B570" t="s">
        <v>1427</v>
      </c>
      <c r="C570" t="s">
        <v>50</v>
      </c>
      <c r="D570" t="s">
        <v>541</v>
      </c>
      <c r="E570" t="s">
        <v>1428</v>
      </c>
      <c r="F570" t="s">
        <v>1429</v>
      </c>
      <c r="G570">
        <f>HYPERLINK("http://clipc-services.ceda.ac.uk/dreq/u/712473d6-c7b6-11e6-bb2a-ac72891c3257.html","web")</f>
        <v>0</v>
      </c>
      <c r="J570" t="s">
        <v>1430</v>
      </c>
      <c r="K570" t="s">
        <v>1255</v>
      </c>
      <c r="M570" t="s">
        <v>1429</v>
      </c>
    </row>
    <row r="571" spans="1:13">
      <c r="A571" t="s">
        <v>1341</v>
      </c>
      <c r="B571" t="s">
        <v>1431</v>
      </c>
      <c r="C571" t="s">
        <v>50</v>
      </c>
      <c r="D571" t="s">
        <v>152</v>
      </c>
      <c r="E571" t="s">
        <v>1432</v>
      </c>
      <c r="F571" t="s">
        <v>1433</v>
      </c>
      <c r="G571">
        <f>HYPERLINK("http://clipc-services.ceda.ac.uk/dreq/u/591469b4-9e49-11e5-803c-0d0b866b59f3.html","web")</f>
        <v>0</v>
      </c>
      <c r="J571" t="s">
        <v>1434</v>
      </c>
      <c r="K571" t="s">
        <v>939</v>
      </c>
      <c r="M571" t="s">
        <v>1433</v>
      </c>
    </row>
    <row r="572" spans="1:13">
      <c r="A572" t="s">
        <v>1341</v>
      </c>
      <c r="B572" t="s">
        <v>1435</v>
      </c>
      <c r="C572" t="s">
        <v>50</v>
      </c>
      <c r="D572" t="s">
        <v>152</v>
      </c>
      <c r="E572" t="s">
        <v>1436</v>
      </c>
      <c r="F572" t="s">
        <v>179</v>
      </c>
      <c r="G572">
        <f>HYPERLINK("http://clipc-services.ceda.ac.uk/dreq/u/590d8018-9e49-11e5-803c-0d0b866b59f3.html","web")</f>
        <v>0</v>
      </c>
      <c r="J572" t="s">
        <v>1437</v>
      </c>
      <c r="K572" t="s">
        <v>21</v>
      </c>
      <c r="M572" t="s">
        <v>179</v>
      </c>
    </row>
    <row r="573" spans="1:13">
      <c r="A573" t="s">
        <v>1341</v>
      </c>
      <c r="B573" t="s">
        <v>1438</v>
      </c>
      <c r="C573" t="s">
        <v>35</v>
      </c>
      <c r="D573" t="s">
        <v>541</v>
      </c>
      <c r="E573" t="s">
        <v>1439</v>
      </c>
      <c r="F573" t="s">
        <v>955</v>
      </c>
      <c r="G573">
        <f>HYPERLINK("http://clipc-services.ceda.ac.uk/dreq/u/73f9d7b26beaacf47a2be4ab14f875b8.html","web")</f>
        <v>0</v>
      </c>
      <c r="J573" t="s">
        <v>1440</v>
      </c>
      <c r="K573" t="s">
        <v>1412</v>
      </c>
      <c r="M573" t="s">
        <v>955</v>
      </c>
    </row>
    <row r="574" spans="1:13">
      <c r="A574" t="s">
        <v>1341</v>
      </c>
      <c r="B574" t="s">
        <v>1441</v>
      </c>
      <c r="C574" t="s">
        <v>35</v>
      </c>
      <c r="D574" t="s">
        <v>541</v>
      </c>
      <c r="E574" t="s">
        <v>1442</v>
      </c>
      <c r="F574" t="s">
        <v>955</v>
      </c>
      <c r="G574">
        <f>HYPERLINK("http://clipc-services.ceda.ac.uk/dreq/u/70b0b8239a6ffb48b4a4f3086da12150.html","web")</f>
        <v>0</v>
      </c>
      <c r="J574" t="s">
        <v>1443</v>
      </c>
      <c r="K574" t="s">
        <v>1416</v>
      </c>
      <c r="M574" t="s">
        <v>955</v>
      </c>
    </row>
    <row r="575" spans="1:13">
      <c r="A575" t="s">
        <v>1341</v>
      </c>
      <c r="B575" t="s">
        <v>1444</v>
      </c>
      <c r="C575" t="s">
        <v>35</v>
      </c>
      <c r="D575" t="s">
        <v>541</v>
      </c>
      <c r="E575" t="s">
        <v>1445</v>
      </c>
      <c r="F575" t="s">
        <v>955</v>
      </c>
      <c r="G575">
        <f>HYPERLINK("http://clipc-services.ceda.ac.uk/dreq/u/f2ab103442d41c890bc004ef71dc71f2.html","web")</f>
        <v>0</v>
      </c>
      <c r="J575" t="s">
        <v>1446</v>
      </c>
      <c r="K575" t="s">
        <v>1412</v>
      </c>
      <c r="M575" t="s">
        <v>955</v>
      </c>
    </row>
    <row r="576" spans="1:13">
      <c r="A576" t="s">
        <v>1341</v>
      </c>
      <c r="B576" t="s">
        <v>1447</v>
      </c>
      <c r="C576" t="s">
        <v>35</v>
      </c>
      <c r="D576" t="s">
        <v>925</v>
      </c>
      <c r="E576" t="s">
        <v>1448</v>
      </c>
      <c r="F576" t="s">
        <v>24</v>
      </c>
      <c r="G576">
        <f>HYPERLINK("http://clipc-services.ceda.ac.uk/dreq/u/5d432c16b179052a4e94c63af356c67c.html","web")</f>
        <v>0</v>
      </c>
      <c r="J576" t="s">
        <v>1449</v>
      </c>
      <c r="K576" t="s">
        <v>871</v>
      </c>
      <c r="M576" t="s">
        <v>24</v>
      </c>
    </row>
    <row r="577" spans="1:13">
      <c r="A577" t="s">
        <v>1341</v>
      </c>
      <c r="B577" t="s">
        <v>1450</v>
      </c>
      <c r="C577" t="s">
        <v>50</v>
      </c>
      <c r="D577" t="s">
        <v>85</v>
      </c>
      <c r="E577" t="s">
        <v>1451</v>
      </c>
      <c r="F577" t="s">
        <v>87</v>
      </c>
      <c r="G577">
        <f>HYPERLINK("http://clipc-services.ceda.ac.uk/dreq/u/59144254-9e49-11e5-803c-0d0b866b59f3.html","web")</f>
        <v>0</v>
      </c>
      <c r="J577" t="s">
        <v>1452</v>
      </c>
      <c r="K577" t="s">
        <v>1345</v>
      </c>
      <c r="M577" t="s">
        <v>87</v>
      </c>
    </row>
    <row r="578" spans="1:13">
      <c r="A578" t="s">
        <v>1341</v>
      </c>
      <c r="B578" t="s">
        <v>167</v>
      </c>
      <c r="C578" t="s">
        <v>50</v>
      </c>
      <c r="D578" t="s">
        <v>85</v>
      </c>
      <c r="E578" t="s">
        <v>168</v>
      </c>
      <c r="F578" t="s">
        <v>169</v>
      </c>
      <c r="G578">
        <f>HYPERLINK("http://clipc-services.ceda.ac.uk/dreq/u/684d3f3543045a89ecbb0ca81ba6705f.html","web")</f>
        <v>0</v>
      </c>
      <c r="J578" t="s">
        <v>170</v>
      </c>
      <c r="K578" t="s">
        <v>1255</v>
      </c>
      <c r="M578" t="s">
        <v>169</v>
      </c>
    </row>
    <row r="579" spans="1:13">
      <c r="A579" t="s">
        <v>1341</v>
      </c>
      <c r="B579" t="s">
        <v>1453</v>
      </c>
      <c r="C579" t="s">
        <v>35</v>
      </c>
      <c r="D579" t="s">
        <v>152</v>
      </c>
      <c r="E579" t="s">
        <v>1454</v>
      </c>
      <c r="F579" t="s">
        <v>179</v>
      </c>
      <c r="G579">
        <f>HYPERLINK("http://clipc-services.ceda.ac.uk/dreq/u/5917a796-9e49-11e5-803c-0d0b866b59f3.html","web")</f>
        <v>0</v>
      </c>
      <c r="J579" t="s">
        <v>1455</v>
      </c>
      <c r="K579" t="s">
        <v>1370</v>
      </c>
      <c r="M579" t="s">
        <v>179</v>
      </c>
    </row>
    <row r="580" spans="1:13">
      <c r="A580" t="s">
        <v>1341</v>
      </c>
      <c r="B580" t="s">
        <v>1456</v>
      </c>
      <c r="C580" t="s">
        <v>35</v>
      </c>
      <c r="D580" t="s">
        <v>152</v>
      </c>
      <c r="E580" t="s">
        <v>1457</v>
      </c>
      <c r="F580" t="s">
        <v>179</v>
      </c>
      <c r="G580">
        <f>HYPERLINK("http://clipc-services.ceda.ac.uk/dreq/u/5912cf78-9e49-11e5-803c-0d0b866b59f3.html","web")</f>
        <v>0</v>
      </c>
      <c r="J580" t="s">
        <v>1458</v>
      </c>
      <c r="K580" t="s">
        <v>1345</v>
      </c>
      <c r="M580" t="s">
        <v>179</v>
      </c>
    </row>
    <row r="581" spans="1:13">
      <c r="A581" t="s">
        <v>1341</v>
      </c>
      <c r="B581" t="s">
        <v>1459</v>
      </c>
      <c r="C581" t="s">
        <v>50</v>
      </c>
      <c r="D581" t="s">
        <v>152</v>
      </c>
      <c r="E581" t="s">
        <v>1460</v>
      </c>
      <c r="F581" t="s">
        <v>179</v>
      </c>
      <c r="G581">
        <f>HYPERLINK("http://clipc-services.ceda.ac.uk/dreq/u/590f097e-9e49-11e5-803c-0d0b866b59f3.html","web")</f>
        <v>0</v>
      </c>
      <c r="J581" t="s">
        <v>1461</v>
      </c>
      <c r="K581" t="s">
        <v>1370</v>
      </c>
      <c r="M581" t="s">
        <v>179</v>
      </c>
    </row>
    <row r="582" spans="1:13">
      <c r="A582" t="s">
        <v>1341</v>
      </c>
      <c r="B582" t="s">
        <v>1462</v>
      </c>
      <c r="C582" t="s">
        <v>35</v>
      </c>
      <c r="D582" t="s">
        <v>152</v>
      </c>
      <c r="E582" t="s">
        <v>1463</v>
      </c>
      <c r="F582" t="s">
        <v>179</v>
      </c>
      <c r="G582">
        <f>HYPERLINK("http://clipc-services.ceda.ac.uk/dreq/u/5912d5ea-9e49-11e5-803c-0d0b866b59f3.html","web")</f>
        <v>0</v>
      </c>
      <c r="J582" t="s">
        <v>1464</v>
      </c>
      <c r="K582" t="s">
        <v>1370</v>
      </c>
      <c r="M582" t="s">
        <v>179</v>
      </c>
    </row>
    <row r="583" spans="1:13">
      <c r="A583" t="s">
        <v>1341</v>
      </c>
      <c r="B583" t="s">
        <v>1465</v>
      </c>
      <c r="C583" t="s">
        <v>50</v>
      </c>
      <c r="D583" t="s">
        <v>152</v>
      </c>
      <c r="E583" t="s">
        <v>1466</v>
      </c>
      <c r="F583" t="s">
        <v>179</v>
      </c>
      <c r="G583">
        <f>HYPERLINK("http://clipc-services.ceda.ac.uk/dreq/u/5913a696-9e49-11e5-803c-0d0b866b59f3.html","web")</f>
        <v>0</v>
      </c>
      <c r="J583" t="s">
        <v>1467</v>
      </c>
      <c r="K583" t="s">
        <v>1370</v>
      </c>
      <c r="M583" t="s">
        <v>179</v>
      </c>
    </row>
    <row r="584" spans="1:13">
      <c r="A584" t="s">
        <v>1341</v>
      </c>
      <c r="B584" t="s">
        <v>1468</v>
      </c>
      <c r="C584" t="s">
        <v>50</v>
      </c>
      <c r="D584" t="s">
        <v>152</v>
      </c>
      <c r="E584" t="s">
        <v>1469</v>
      </c>
      <c r="F584" t="s">
        <v>179</v>
      </c>
      <c r="G584">
        <f>HYPERLINK("http://clipc-services.ceda.ac.uk/dreq/u/591348fe-9e49-11e5-803c-0d0b866b59f3.html","web")</f>
        <v>0</v>
      </c>
      <c r="J584" t="s">
        <v>1467</v>
      </c>
      <c r="K584" t="s">
        <v>1370</v>
      </c>
      <c r="M584" t="s">
        <v>179</v>
      </c>
    </row>
    <row r="585" spans="1:13">
      <c r="A585" t="s">
        <v>1341</v>
      </c>
      <c r="B585" t="s">
        <v>1470</v>
      </c>
      <c r="C585" t="s">
        <v>50</v>
      </c>
      <c r="D585" t="s">
        <v>152</v>
      </c>
      <c r="E585" t="s">
        <v>1471</v>
      </c>
      <c r="F585" t="s">
        <v>179</v>
      </c>
      <c r="G585">
        <f>HYPERLINK("http://clipc-services.ceda.ac.uk/dreq/u/84ef402c-acb7-11e6-b5ee-ac72891c3257.html","web")</f>
        <v>0</v>
      </c>
      <c r="J585" t="s">
        <v>1467</v>
      </c>
      <c r="K585" t="s">
        <v>1370</v>
      </c>
      <c r="M585" t="s">
        <v>179</v>
      </c>
    </row>
    <row r="586" spans="1:13">
      <c r="A586" t="s">
        <v>1341</v>
      </c>
      <c r="B586" t="s">
        <v>1472</v>
      </c>
      <c r="C586" t="s">
        <v>50</v>
      </c>
      <c r="D586" t="s">
        <v>152</v>
      </c>
      <c r="E586" t="s">
        <v>1473</v>
      </c>
      <c r="F586" t="s">
        <v>179</v>
      </c>
      <c r="G586">
        <f>HYPERLINK("http://clipc-services.ceda.ac.uk/dreq/u/84f0ddec-acb7-11e6-b5ee-ac72891c3257.html","web")</f>
        <v>0</v>
      </c>
      <c r="J586" t="s">
        <v>1467</v>
      </c>
      <c r="K586" t="s">
        <v>1370</v>
      </c>
      <c r="M586" t="s">
        <v>179</v>
      </c>
    </row>
    <row r="587" spans="1:13">
      <c r="A587" t="s">
        <v>1341</v>
      </c>
      <c r="B587" t="s">
        <v>1474</v>
      </c>
      <c r="C587" t="s">
        <v>35</v>
      </c>
      <c r="D587" t="s">
        <v>1475</v>
      </c>
      <c r="E587" t="s">
        <v>1476</v>
      </c>
      <c r="F587" t="s">
        <v>74</v>
      </c>
      <c r="G587">
        <f>HYPERLINK("http://clipc-services.ceda.ac.uk/dreq/u/3f30557c-b89b-11e6-be04-ac72891c3257.html","web")</f>
        <v>0</v>
      </c>
      <c r="J587" t="s">
        <v>1477</v>
      </c>
      <c r="K587" t="s">
        <v>1478</v>
      </c>
      <c r="M587" t="s">
        <v>74</v>
      </c>
    </row>
    <row r="588" spans="1:13">
      <c r="A588" t="s">
        <v>1341</v>
      </c>
      <c r="B588" t="s">
        <v>1479</v>
      </c>
      <c r="C588" t="s">
        <v>50</v>
      </c>
      <c r="D588" t="s">
        <v>152</v>
      </c>
      <c r="E588" t="s">
        <v>1480</v>
      </c>
      <c r="F588" t="s">
        <v>179</v>
      </c>
      <c r="G588">
        <f>HYPERLINK("http://clipc-services.ceda.ac.uk/dreq/u/5917788e-9e49-11e5-803c-0d0b866b59f3.html","web")</f>
        <v>0</v>
      </c>
      <c r="J588" t="s">
        <v>1481</v>
      </c>
      <c r="K588" t="s">
        <v>1345</v>
      </c>
      <c r="M588" t="s">
        <v>179</v>
      </c>
    </row>
    <row r="589" spans="1:13">
      <c r="A589" t="s">
        <v>1341</v>
      </c>
      <c r="B589" t="s">
        <v>1482</v>
      </c>
      <c r="C589" t="s">
        <v>50</v>
      </c>
      <c r="D589" t="s">
        <v>152</v>
      </c>
      <c r="E589" t="s">
        <v>1483</v>
      </c>
      <c r="F589" t="s">
        <v>179</v>
      </c>
      <c r="G589">
        <f>HYPERLINK("http://clipc-services.ceda.ac.uk/dreq/u/84f0c47e-acb7-11e6-b5ee-ac72891c3257.html","web")</f>
        <v>0</v>
      </c>
      <c r="J589" t="s">
        <v>1484</v>
      </c>
      <c r="K589" t="s">
        <v>1370</v>
      </c>
      <c r="M589" t="s">
        <v>179</v>
      </c>
    </row>
    <row r="590" spans="1:13">
      <c r="A590" t="s">
        <v>1341</v>
      </c>
      <c r="B590" t="s">
        <v>1485</v>
      </c>
      <c r="C590" t="s">
        <v>50</v>
      </c>
      <c r="D590" t="s">
        <v>152</v>
      </c>
      <c r="E590" t="s">
        <v>1486</v>
      </c>
      <c r="F590" t="s">
        <v>179</v>
      </c>
      <c r="G590">
        <f>HYPERLINK("http://clipc-services.ceda.ac.uk/dreq/u/590f9ace-9e49-11e5-803c-0d0b866b59f3.html","web")</f>
        <v>0</v>
      </c>
      <c r="J590" t="s">
        <v>1487</v>
      </c>
      <c r="K590" t="s">
        <v>1345</v>
      </c>
      <c r="M590" t="s">
        <v>179</v>
      </c>
    </row>
    <row r="591" spans="1:13">
      <c r="A591" t="s">
        <v>1341</v>
      </c>
      <c r="B591" t="s">
        <v>1488</v>
      </c>
      <c r="C591" t="s">
        <v>50</v>
      </c>
      <c r="D591" t="s">
        <v>152</v>
      </c>
      <c r="E591" t="s">
        <v>1489</v>
      </c>
      <c r="F591" t="s">
        <v>179</v>
      </c>
      <c r="G591">
        <f>HYPERLINK("http://clipc-services.ceda.ac.uk/dreq/u/590f95c4-9e49-11e5-803c-0d0b866b59f3.html","web")</f>
        <v>0</v>
      </c>
      <c r="J591" t="s">
        <v>1490</v>
      </c>
      <c r="K591" t="s">
        <v>1345</v>
      </c>
      <c r="M591" t="s">
        <v>179</v>
      </c>
    </row>
    <row r="592" spans="1:13">
      <c r="A592" t="s">
        <v>1341</v>
      </c>
      <c r="B592" t="s">
        <v>1192</v>
      </c>
      <c r="C592" t="s">
        <v>50</v>
      </c>
      <c r="D592" t="s">
        <v>1411</v>
      </c>
      <c r="E592" t="s">
        <v>1193</v>
      </c>
      <c r="F592" t="s">
        <v>35</v>
      </c>
      <c r="G592">
        <f>HYPERLINK("http://clipc-services.ceda.ac.uk/dreq/u/590f21d4-9e49-11e5-803c-0d0b866b59f3.html","web")</f>
        <v>0</v>
      </c>
      <c r="J592" t="s">
        <v>1194</v>
      </c>
      <c r="K592" t="s">
        <v>21</v>
      </c>
      <c r="M592" t="s">
        <v>35</v>
      </c>
    </row>
    <row r="593" spans="1:13">
      <c r="A593" t="s">
        <v>1341</v>
      </c>
      <c r="B593" t="s">
        <v>1491</v>
      </c>
      <c r="C593" t="s">
        <v>35</v>
      </c>
      <c r="D593" t="s">
        <v>1475</v>
      </c>
      <c r="E593" t="s">
        <v>1492</v>
      </c>
      <c r="F593" t="s">
        <v>74</v>
      </c>
      <c r="G593">
        <f>HYPERLINK("http://clipc-services.ceda.ac.uk/dreq/u/590ee804-9e49-11e5-803c-0d0b866b59f3.html","web")</f>
        <v>0</v>
      </c>
      <c r="J593" t="s">
        <v>1493</v>
      </c>
      <c r="K593" t="s">
        <v>1478</v>
      </c>
      <c r="M593" t="s">
        <v>74</v>
      </c>
    </row>
    <row r="594" spans="1:13">
      <c r="A594" t="s">
        <v>1341</v>
      </c>
      <c r="B594" t="s">
        <v>1494</v>
      </c>
      <c r="C594" t="s">
        <v>35</v>
      </c>
      <c r="D594" t="s">
        <v>1475</v>
      </c>
      <c r="E594" t="s">
        <v>1495</v>
      </c>
      <c r="F594" t="s">
        <v>74</v>
      </c>
      <c r="G594">
        <f>HYPERLINK("http://clipc-services.ceda.ac.uk/dreq/u/590e590c-9e49-11e5-803c-0d0b866b59f3.html","web")</f>
        <v>0</v>
      </c>
      <c r="J594" t="s">
        <v>1496</v>
      </c>
      <c r="K594" t="s">
        <v>1478</v>
      </c>
      <c r="M594" t="s">
        <v>74</v>
      </c>
    </row>
    <row r="595" spans="1:13">
      <c r="A595" t="s">
        <v>1341</v>
      </c>
      <c r="B595" t="s">
        <v>1221</v>
      </c>
      <c r="C595" t="s">
        <v>35</v>
      </c>
      <c r="D595" t="s">
        <v>1222</v>
      </c>
      <c r="E595" t="s">
        <v>1223</v>
      </c>
      <c r="F595" t="s">
        <v>38</v>
      </c>
      <c r="G595">
        <f>HYPERLINK("http://clipc-services.ceda.ac.uk/dreq/u/bf56baca-c14c-11e6-bb6a-ac72891c3257.html","web")</f>
        <v>0</v>
      </c>
      <c r="J595" t="s">
        <v>1224</v>
      </c>
      <c r="K595" t="s">
        <v>944</v>
      </c>
      <c r="M595" t="s">
        <v>38</v>
      </c>
    </row>
    <row r="596" spans="1:13">
      <c r="A596" t="s">
        <v>1341</v>
      </c>
      <c r="B596" t="s">
        <v>1497</v>
      </c>
      <c r="C596" t="s">
        <v>35</v>
      </c>
      <c r="D596" t="s">
        <v>1498</v>
      </c>
      <c r="E596" t="s">
        <v>1499</v>
      </c>
      <c r="F596" t="s">
        <v>35</v>
      </c>
      <c r="G596">
        <f>HYPERLINK("http://clipc-services.ceda.ac.uk/dreq/u/59178a72-9e49-11e5-803c-0d0b866b59f3.html","web")</f>
        <v>0</v>
      </c>
      <c r="J596" t="s">
        <v>1500</v>
      </c>
      <c r="K596" t="s">
        <v>1478</v>
      </c>
      <c r="M596" t="s">
        <v>35</v>
      </c>
    </row>
    <row r="597" spans="1:13">
      <c r="A597" t="s">
        <v>1341</v>
      </c>
      <c r="B597" t="s">
        <v>1501</v>
      </c>
      <c r="C597" t="s">
        <v>35</v>
      </c>
      <c r="D597" t="s">
        <v>152</v>
      </c>
      <c r="E597" t="s">
        <v>1502</v>
      </c>
      <c r="F597" t="s">
        <v>1503</v>
      </c>
      <c r="G597">
        <f>HYPERLINK("http://clipc-services.ceda.ac.uk/dreq/u/5917acf0-9e49-11e5-803c-0d0b866b59f3.html","web")</f>
        <v>0</v>
      </c>
      <c r="J597" t="s">
        <v>1504</v>
      </c>
      <c r="K597" t="s">
        <v>1505</v>
      </c>
      <c r="M597" t="s">
        <v>1503</v>
      </c>
    </row>
    <row r="598" spans="1:13">
      <c r="A598" t="s">
        <v>1341</v>
      </c>
      <c r="B598" t="s">
        <v>1506</v>
      </c>
      <c r="C598" t="s">
        <v>35</v>
      </c>
      <c r="D598" t="s">
        <v>152</v>
      </c>
      <c r="E598" t="s">
        <v>1507</v>
      </c>
      <c r="F598" t="s">
        <v>1508</v>
      </c>
      <c r="G598">
        <f>HYPERLINK("http://clipc-services.ceda.ac.uk/dreq/u/590de58a-9e49-11e5-803c-0d0b866b59f3.html","web")</f>
        <v>0</v>
      </c>
      <c r="J598" t="s">
        <v>1509</v>
      </c>
      <c r="K598" t="s">
        <v>1505</v>
      </c>
      <c r="M598" t="s">
        <v>1508</v>
      </c>
    </row>
    <row r="599" spans="1:13">
      <c r="A599" t="s">
        <v>1341</v>
      </c>
      <c r="B599" t="s">
        <v>1510</v>
      </c>
      <c r="C599" t="s">
        <v>35</v>
      </c>
      <c r="D599" t="s">
        <v>152</v>
      </c>
      <c r="E599" t="s">
        <v>1511</v>
      </c>
      <c r="F599" t="s">
        <v>1503</v>
      </c>
      <c r="G599">
        <f>HYPERLINK("http://clipc-services.ceda.ac.uk/dreq/u/59147b48-9e49-11e5-803c-0d0b866b59f3.html","web")</f>
        <v>0</v>
      </c>
      <c r="J599" t="s">
        <v>1512</v>
      </c>
      <c r="K599" t="s">
        <v>1505</v>
      </c>
      <c r="M599" t="s">
        <v>1503</v>
      </c>
    </row>
    <row r="600" spans="1:13">
      <c r="A600" t="s">
        <v>1341</v>
      </c>
      <c r="B600" t="s">
        <v>1513</v>
      </c>
      <c r="C600" t="s">
        <v>35</v>
      </c>
      <c r="D600" t="s">
        <v>152</v>
      </c>
      <c r="E600" t="s">
        <v>1514</v>
      </c>
      <c r="F600" t="s">
        <v>1508</v>
      </c>
      <c r="G600">
        <f>HYPERLINK("http://clipc-services.ceda.ac.uk/dreq/u/591444ca-9e49-11e5-803c-0d0b866b59f3.html","web")</f>
        <v>0</v>
      </c>
      <c r="J600" t="s">
        <v>1515</v>
      </c>
      <c r="K600" t="s">
        <v>1505</v>
      </c>
      <c r="M600" t="s">
        <v>1508</v>
      </c>
    </row>
    <row r="601" spans="1:13">
      <c r="A601" t="s">
        <v>1341</v>
      </c>
      <c r="B601" t="s">
        <v>1044</v>
      </c>
      <c r="C601" t="s">
        <v>35</v>
      </c>
      <c r="D601" t="s">
        <v>1225</v>
      </c>
      <c r="E601" t="s">
        <v>1046</v>
      </c>
      <c r="F601" t="s">
        <v>38</v>
      </c>
      <c r="G601">
        <f>HYPERLINK("http://clipc-services.ceda.ac.uk/dreq/u/59149a10-9e49-11e5-803c-0d0b866b59f3.html","web")</f>
        <v>0</v>
      </c>
      <c r="J601" t="s">
        <v>1047</v>
      </c>
      <c r="K601" t="s">
        <v>1030</v>
      </c>
      <c r="M601" t="s">
        <v>38</v>
      </c>
    </row>
    <row r="602" spans="1:13">
      <c r="A602" t="s">
        <v>1341</v>
      </c>
      <c r="B602" t="s">
        <v>1048</v>
      </c>
      <c r="C602" t="s">
        <v>35</v>
      </c>
      <c r="D602" t="s">
        <v>1226</v>
      </c>
      <c r="E602" t="s">
        <v>1050</v>
      </c>
      <c r="F602" t="s">
        <v>38</v>
      </c>
      <c r="G602">
        <f>HYPERLINK("http://clipc-services.ceda.ac.uk/dreq/u/5912eff8-9e49-11e5-803c-0d0b866b59f3.html","web")</f>
        <v>0</v>
      </c>
      <c r="J602" t="s">
        <v>1051</v>
      </c>
      <c r="K602" t="s">
        <v>1030</v>
      </c>
      <c r="M602" t="s">
        <v>38</v>
      </c>
    </row>
    <row r="603" spans="1:13">
      <c r="A603" t="s">
        <v>1341</v>
      </c>
      <c r="B603" t="s">
        <v>1242</v>
      </c>
      <c r="C603" t="s">
        <v>35</v>
      </c>
      <c r="D603" t="s">
        <v>152</v>
      </c>
      <c r="E603" t="s">
        <v>1243</v>
      </c>
      <c r="F603" t="s">
        <v>47</v>
      </c>
      <c r="G603">
        <f>HYPERLINK("http://clipc-services.ceda.ac.uk/dreq/u/a17b2a3bcad6c41455a7e2474fb1fdcb.html","web")</f>
        <v>0</v>
      </c>
      <c r="J603" t="s">
        <v>1244</v>
      </c>
      <c r="K603" t="s">
        <v>1416</v>
      </c>
      <c r="M603" t="s">
        <v>47</v>
      </c>
    </row>
    <row r="604" spans="1:13">
      <c r="A604" t="s">
        <v>1341</v>
      </c>
      <c r="B604" t="s">
        <v>1248</v>
      </c>
      <c r="C604" t="s">
        <v>35</v>
      </c>
      <c r="D604" t="s">
        <v>152</v>
      </c>
      <c r="E604" t="s">
        <v>1249</v>
      </c>
      <c r="F604" t="s">
        <v>47</v>
      </c>
      <c r="G604">
        <f>HYPERLINK("http://clipc-services.ceda.ac.uk/dreq/u/e8d9deb887c24ae8008ca2179208f99d.html","web")</f>
        <v>0</v>
      </c>
      <c r="J604" t="s">
        <v>1250</v>
      </c>
      <c r="K604" t="s">
        <v>1416</v>
      </c>
      <c r="M604" t="s">
        <v>47</v>
      </c>
    </row>
    <row r="605" spans="1:13">
      <c r="A605" t="s">
        <v>1341</v>
      </c>
      <c r="B605" t="s">
        <v>1516</v>
      </c>
      <c r="C605" t="s">
        <v>35</v>
      </c>
      <c r="D605" t="s">
        <v>152</v>
      </c>
      <c r="E605" t="s">
        <v>1517</v>
      </c>
      <c r="F605" t="s">
        <v>74</v>
      </c>
      <c r="G605">
        <f>HYPERLINK("http://clipc-services.ceda.ac.uk/dreq/u/5914ede4-9e49-11e5-803c-0d0b866b59f3.html","web")</f>
        <v>0</v>
      </c>
      <c r="J605" t="s">
        <v>1518</v>
      </c>
      <c r="K605" t="s">
        <v>1505</v>
      </c>
      <c r="M605" t="s">
        <v>74</v>
      </c>
    </row>
    <row r="606" spans="1:13">
      <c r="A606" t="s">
        <v>1341</v>
      </c>
      <c r="B606" t="s">
        <v>1519</v>
      </c>
      <c r="C606" t="s">
        <v>35</v>
      </c>
      <c r="D606" t="s">
        <v>152</v>
      </c>
      <c r="E606" t="s">
        <v>1520</v>
      </c>
      <c r="F606" t="s">
        <v>74</v>
      </c>
      <c r="G606">
        <f>HYPERLINK("http://clipc-services.ceda.ac.uk/dreq/u/591497a4-9e49-11e5-803c-0d0b866b59f3.html","web")</f>
        <v>0</v>
      </c>
      <c r="J606" t="s">
        <v>1521</v>
      </c>
      <c r="K606" t="s">
        <v>1505</v>
      </c>
      <c r="M606" t="s">
        <v>74</v>
      </c>
    </row>
    <row r="607" spans="1:13">
      <c r="A607" t="s">
        <v>1341</v>
      </c>
      <c r="B607" t="s">
        <v>1522</v>
      </c>
      <c r="C607" t="s">
        <v>35</v>
      </c>
      <c r="D607" t="s">
        <v>152</v>
      </c>
      <c r="E607" t="s">
        <v>1523</v>
      </c>
      <c r="F607" t="s">
        <v>74</v>
      </c>
      <c r="G607">
        <f>HYPERLINK("http://clipc-services.ceda.ac.uk/dreq/u/f9f66ff437154f86913937f9e2d9a26d.html","web")</f>
        <v>0</v>
      </c>
      <c r="J607" t="s">
        <v>1524</v>
      </c>
      <c r="K607" t="s">
        <v>1505</v>
      </c>
      <c r="M607" t="s">
        <v>74</v>
      </c>
    </row>
    <row r="608" spans="1:13">
      <c r="A608" t="s">
        <v>1341</v>
      </c>
      <c r="B608" t="s">
        <v>1525</v>
      </c>
      <c r="C608" t="s">
        <v>35</v>
      </c>
      <c r="D608" t="s">
        <v>152</v>
      </c>
      <c r="E608" t="s">
        <v>1526</v>
      </c>
      <c r="F608" t="s">
        <v>74</v>
      </c>
      <c r="G608">
        <f>HYPERLINK("http://clipc-services.ceda.ac.uk/dreq/u/ab57604d6acd918c08aa6252145c608e.html","web")</f>
        <v>0</v>
      </c>
      <c r="J608" t="s">
        <v>1524</v>
      </c>
      <c r="K608" t="s">
        <v>1505</v>
      </c>
      <c r="M608" t="s">
        <v>74</v>
      </c>
    </row>
    <row r="609" spans="1:13">
      <c r="A609" t="s">
        <v>1341</v>
      </c>
      <c r="B609" t="s">
        <v>1527</v>
      </c>
      <c r="C609" t="s">
        <v>35</v>
      </c>
      <c r="D609" t="s">
        <v>152</v>
      </c>
      <c r="E609" t="s">
        <v>1528</v>
      </c>
      <c r="F609" t="s">
        <v>74</v>
      </c>
      <c r="G609">
        <f>HYPERLINK("http://clipc-services.ceda.ac.uk/dreq/u/59134bf6-9e49-11e5-803c-0d0b866b59f3.html","web")</f>
        <v>0</v>
      </c>
      <c r="J609" t="s">
        <v>1518</v>
      </c>
      <c r="K609" t="s">
        <v>1505</v>
      </c>
      <c r="M609" t="s">
        <v>74</v>
      </c>
    </row>
    <row r="610" spans="1:13">
      <c r="A610" t="s">
        <v>1341</v>
      </c>
      <c r="B610" t="s">
        <v>1529</v>
      </c>
      <c r="C610" t="s">
        <v>35</v>
      </c>
      <c r="D610" t="s">
        <v>152</v>
      </c>
      <c r="E610" t="s">
        <v>1530</v>
      </c>
      <c r="F610" t="s">
        <v>47</v>
      </c>
      <c r="G610">
        <f>HYPERLINK("http://clipc-services.ceda.ac.uk/dreq/u/59130e98-9e49-11e5-803c-0d0b866b59f3.html","web")</f>
        <v>0</v>
      </c>
      <c r="J610" t="s">
        <v>1531</v>
      </c>
      <c r="K610" t="s">
        <v>1345</v>
      </c>
      <c r="M610" t="s">
        <v>47</v>
      </c>
    </row>
    <row r="611" spans="1:13">
      <c r="A611" t="s">
        <v>1341</v>
      </c>
      <c r="B611" t="s">
        <v>1251</v>
      </c>
      <c r="C611" t="s">
        <v>35</v>
      </c>
      <c r="D611" t="s">
        <v>1252</v>
      </c>
      <c r="E611" t="s">
        <v>1253</v>
      </c>
      <c r="F611" t="s">
        <v>47</v>
      </c>
      <c r="G611">
        <f>HYPERLINK("http://clipc-services.ceda.ac.uk/dreq/u/590d17f4-9e49-11e5-803c-0d0b866b59f3.html","web")</f>
        <v>0</v>
      </c>
      <c r="J611" t="s">
        <v>1254</v>
      </c>
      <c r="K611" t="s">
        <v>1345</v>
      </c>
      <c r="M611" t="s">
        <v>47</v>
      </c>
    </row>
    <row r="612" spans="1:13">
      <c r="A612" t="s">
        <v>1341</v>
      </c>
      <c r="B612" t="s">
        <v>1532</v>
      </c>
      <c r="C612" t="s">
        <v>50</v>
      </c>
      <c r="D612" t="s">
        <v>152</v>
      </c>
      <c r="E612" t="s">
        <v>1533</v>
      </c>
      <c r="F612" t="s">
        <v>47</v>
      </c>
      <c r="G612">
        <f>HYPERLINK("http://clipc-services.ceda.ac.uk/dreq/u/590d24c4-9e49-11e5-803c-0d0b866b59f3.html","web")</f>
        <v>0</v>
      </c>
      <c r="J612" t="s">
        <v>1534</v>
      </c>
      <c r="K612" t="s">
        <v>1345</v>
      </c>
      <c r="M612" t="s">
        <v>47</v>
      </c>
    </row>
    <row r="613" spans="1:13">
      <c r="A613" t="s">
        <v>1341</v>
      </c>
      <c r="B613" t="s">
        <v>1535</v>
      </c>
      <c r="C613" t="s">
        <v>50</v>
      </c>
      <c r="D613" t="s">
        <v>152</v>
      </c>
      <c r="E613" t="s">
        <v>1536</v>
      </c>
      <c r="F613" t="s">
        <v>179</v>
      </c>
      <c r="G613">
        <f>HYPERLINK("http://clipc-services.ceda.ac.uk/dreq/u/59176d94-9e49-11e5-803c-0d0b866b59f3.html","web")</f>
        <v>0</v>
      </c>
      <c r="J613" t="s">
        <v>1537</v>
      </c>
      <c r="K613" t="s">
        <v>1345</v>
      </c>
      <c r="M613" t="s">
        <v>179</v>
      </c>
    </row>
    <row r="614" spans="1:13">
      <c r="A614" t="s">
        <v>1341</v>
      </c>
      <c r="B614" t="s">
        <v>1538</v>
      </c>
      <c r="C614" t="s">
        <v>50</v>
      </c>
      <c r="D614" t="s">
        <v>152</v>
      </c>
      <c r="E614" t="s">
        <v>1539</v>
      </c>
      <c r="F614" t="s">
        <v>179</v>
      </c>
      <c r="G614">
        <f>HYPERLINK("http://clipc-services.ceda.ac.uk/dreq/u/59132b58-9e49-11e5-803c-0d0b866b59f3.html","web")</f>
        <v>0</v>
      </c>
      <c r="J614" t="s">
        <v>1540</v>
      </c>
      <c r="K614" t="s">
        <v>1345</v>
      </c>
      <c r="M614" t="s">
        <v>179</v>
      </c>
    </row>
    <row r="615" spans="1:13">
      <c r="A615" t="s">
        <v>1341</v>
      </c>
      <c r="B615" t="s">
        <v>1541</v>
      </c>
      <c r="C615" t="s">
        <v>50</v>
      </c>
      <c r="D615" t="s">
        <v>152</v>
      </c>
      <c r="E615" t="s">
        <v>1542</v>
      </c>
      <c r="F615" t="s">
        <v>179</v>
      </c>
      <c r="G615">
        <f>HYPERLINK("http://clipc-services.ceda.ac.uk/dreq/u/84f0bbbe-acb7-11e6-b5ee-ac72891c3257.html","web")</f>
        <v>0</v>
      </c>
      <c r="J615" t="s">
        <v>1543</v>
      </c>
      <c r="K615" t="s">
        <v>1370</v>
      </c>
      <c r="M615" t="s">
        <v>179</v>
      </c>
    </row>
    <row r="616" spans="1:13">
      <c r="A616" t="s">
        <v>1341</v>
      </c>
      <c r="B616" t="s">
        <v>1544</v>
      </c>
      <c r="C616" t="s">
        <v>50</v>
      </c>
      <c r="D616" t="s">
        <v>152</v>
      </c>
      <c r="E616" t="s">
        <v>1545</v>
      </c>
      <c r="F616" t="s">
        <v>179</v>
      </c>
      <c r="G616">
        <f>HYPERLINK("http://clipc-services.ceda.ac.uk/dreq/u/84f0f052-acb7-11e6-b5ee-ac72891c3257.html","web")</f>
        <v>0</v>
      </c>
      <c r="J616" t="s">
        <v>1546</v>
      </c>
      <c r="K616" t="s">
        <v>1370</v>
      </c>
      <c r="M616" t="s">
        <v>179</v>
      </c>
    </row>
    <row r="617" spans="1:13">
      <c r="A617" t="s">
        <v>1341</v>
      </c>
      <c r="B617" t="s">
        <v>1547</v>
      </c>
      <c r="C617" t="s">
        <v>50</v>
      </c>
      <c r="D617" t="s">
        <v>152</v>
      </c>
      <c r="E617" t="s">
        <v>1548</v>
      </c>
      <c r="F617" t="s">
        <v>179</v>
      </c>
      <c r="G617">
        <f>HYPERLINK("http://clipc-services.ceda.ac.uk/dreq/u/84f09f30-acb7-11e6-b5ee-ac72891c3257.html","web")</f>
        <v>0</v>
      </c>
      <c r="J617" t="s">
        <v>1543</v>
      </c>
      <c r="K617" t="s">
        <v>1370</v>
      </c>
      <c r="M617" t="s">
        <v>179</v>
      </c>
    </row>
    <row r="618" spans="1:13">
      <c r="A618" t="s">
        <v>1341</v>
      </c>
      <c r="B618" t="s">
        <v>193</v>
      </c>
      <c r="C618" t="s">
        <v>35</v>
      </c>
      <c r="D618" t="s">
        <v>152</v>
      </c>
      <c r="E618" t="s">
        <v>194</v>
      </c>
      <c r="F618" t="s">
        <v>195</v>
      </c>
      <c r="G618">
        <f>HYPERLINK("http://clipc-services.ceda.ac.uk/dreq/u/117c89cc-b574-11e6-9ed4-5404a60d96b5.html","web")</f>
        <v>0</v>
      </c>
      <c r="J618" t="s">
        <v>196</v>
      </c>
      <c r="K618" t="s">
        <v>1549</v>
      </c>
      <c r="M618" t="s">
        <v>195</v>
      </c>
    </row>
    <row r="619" spans="1:13">
      <c r="A619" t="s">
        <v>1341</v>
      </c>
      <c r="B619" t="s">
        <v>197</v>
      </c>
      <c r="C619" t="s">
        <v>50</v>
      </c>
      <c r="D619" t="s">
        <v>85</v>
      </c>
      <c r="E619" t="s">
        <v>198</v>
      </c>
      <c r="F619" t="s">
        <v>74</v>
      </c>
      <c r="G619">
        <f>HYPERLINK("http://clipc-services.ceda.ac.uk/dreq/u/1742f769c80d35356bf80ab91789eec6.html","web")</f>
        <v>0</v>
      </c>
      <c r="J619" t="s">
        <v>199</v>
      </c>
      <c r="K619" t="s">
        <v>1549</v>
      </c>
      <c r="M619" t="s">
        <v>74</v>
      </c>
    </row>
    <row r="620" spans="1:13">
      <c r="A620" t="s">
        <v>1341</v>
      </c>
      <c r="B620" t="s">
        <v>1550</v>
      </c>
      <c r="C620" t="s">
        <v>35</v>
      </c>
      <c r="D620" t="s">
        <v>152</v>
      </c>
      <c r="E620" t="s">
        <v>1551</v>
      </c>
      <c r="F620" t="s">
        <v>35</v>
      </c>
      <c r="G620">
        <f>HYPERLINK("http://clipc-services.ceda.ac.uk/dreq/u/59130948-9e49-11e5-803c-0d0b866b59f3.html","web")</f>
        <v>0</v>
      </c>
      <c r="J620" t="s">
        <v>1552</v>
      </c>
      <c r="K620" t="s">
        <v>1505</v>
      </c>
      <c r="M620" t="s">
        <v>35</v>
      </c>
    </row>
    <row r="621" spans="1:13">
      <c r="A621" t="s">
        <v>1341</v>
      </c>
      <c r="B621" t="s">
        <v>1553</v>
      </c>
      <c r="C621" t="s">
        <v>35</v>
      </c>
      <c r="D621" t="s">
        <v>986</v>
      </c>
      <c r="E621" t="s">
        <v>1554</v>
      </c>
      <c r="F621" t="s">
        <v>35</v>
      </c>
      <c r="G621">
        <f>HYPERLINK("http://clipc-services.ceda.ac.uk/dreq/u/591720a0-9e49-11e5-803c-0d0b866b59f3.html","web")</f>
        <v>0</v>
      </c>
      <c r="J621" t="s">
        <v>1555</v>
      </c>
      <c r="K621" t="s">
        <v>1556</v>
      </c>
      <c r="M621" t="s">
        <v>35</v>
      </c>
    </row>
    <row r="622" spans="1:13">
      <c r="A622" t="s">
        <v>1341</v>
      </c>
      <c r="B622" t="s">
        <v>1557</v>
      </c>
      <c r="C622" t="s">
        <v>35</v>
      </c>
      <c r="D622" t="s">
        <v>986</v>
      </c>
      <c r="E622" t="s">
        <v>1558</v>
      </c>
      <c r="F622" t="s">
        <v>35</v>
      </c>
      <c r="G622">
        <f>HYPERLINK("http://clipc-services.ceda.ac.uk/dreq/u/5914cf30-9e49-11e5-803c-0d0b866b59f3.html","web")</f>
        <v>0</v>
      </c>
      <c r="J622" t="s">
        <v>1559</v>
      </c>
      <c r="K622" t="s">
        <v>1505</v>
      </c>
      <c r="M622" t="s">
        <v>35</v>
      </c>
    </row>
    <row r="623" spans="1:13">
      <c r="A623" t="s">
        <v>1341</v>
      </c>
      <c r="B623" t="s">
        <v>1560</v>
      </c>
      <c r="C623" t="s">
        <v>35</v>
      </c>
      <c r="D623" t="s">
        <v>152</v>
      </c>
      <c r="E623" t="s">
        <v>1561</v>
      </c>
      <c r="F623" t="s">
        <v>35</v>
      </c>
      <c r="G623">
        <f>HYPERLINK("http://clipc-services.ceda.ac.uk/dreq/u/5914c0ee-9e49-11e5-803c-0d0b866b59f3.html","web")</f>
        <v>0</v>
      </c>
      <c r="J623" t="s">
        <v>1562</v>
      </c>
      <c r="K623" t="s">
        <v>1505</v>
      </c>
      <c r="M623" t="s">
        <v>35</v>
      </c>
    </row>
    <row r="624" spans="1:13">
      <c r="A624" t="s">
        <v>1341</v>
      </c>
      <c r="B624" t="s">
        <v>200</v>
      </c>
      <c r="C624" t="s">
        <v>50</v>
      </c>
      <c r="D624" t="s">
        <v>85</v>
      </c>
      <c r="E624" t="s">
        <v>201</v>
      </c>
      <c r="F624" t="s">
        <v>74</v>
      </c>
      <c r="G624">
        <f>HYPERLINK("http://clipc-services.ceda.ac.uk/dreq/u/2aa31f177542022b5d6ca809cf01eff5.html","web")</f>
        <v>0</v>
      </c>
      <c r="J624" t="s">
        <v>202</v>
      </c>
      <c r="K624" t="s">
        <v>1549</v>
      </c>
      <c r="M624" t="s">
        <v>74</v>
      </c>
    </row>
    <row r="625" spans="1:13">
      <c r="A625" t="s">
        <v>1341</v>
      </c>
      <c r="B625" t="s">
        <v>203</v>
      </c>
      <c r="C625" t="s">
        <v>35</v>
      </c>
      <c r="D625" t="s">
        <v>152</v>
      </c>
      <c r="E625" t="s">
        <v>204</v>
      </c>
      <c r="F625" t="s">
        <v>195</v>
      </c>
      <c r="G625">
        <f>HYPERLINK("http://clipc-services.ceda.ac.uk/dreq/u/59133ddc-9e49-11e5-803c-0d0b866b59f3.html","web")</f>
        <v>0</v>
      </c>
      <c r="J625" t="s">
        <v>205</v>
      </c>
      <c r="K625" t="s">
        <v>1549</v>
      </c>
      <c r="M625" t="s">
        <v>195</v>
      </c>
    </row>
    <row r="626" spans="1:13">
      <c r="A626" t="s">
        <v>1341</v>
      </c>
      <c r="B626" t="s">
        <v>206</v>
      </c>
      <c r="C626" t="s">
        <v>50</v>
      </c>
      <c r="D626" t="s">
        <v>85</v>
      </c>
      <c r="E626" t="s">
        <v>207</v>
      </c>
      <c r="F626" t="s">
        <v>74</v>
      </c>
      <c r="G626">
        <f>HYPERLINK("http://clipc-services.ceda.ac.uk/dreq/u/8530ec1d1281da71f660df7c61571e38.html","web")</f>
        <v>0</v>
      </c>
      <c r="J626" t="s">
        <v>208</v>
      </c>
      <c r="K626" t="s">
        <v>1549</v>
      </c>
      <c r="M626" t="s">
        <v>74</v>
      </c>
    </row>
    <row r="627" spans="1:13">
      <c r="A627" t="s">
        <v>1341</v>
      </c>
      <c r="B627" t="s">
        <v>209</v>
      </c>
      <c r="C627" t="s">
        <v>50</v>
      </c>
      <c r="D627" t="s">
        <v>85</v>
      </c>
      <c r="E627" t="s">
        <v>210</v>
      </c>
      <c r="F627" t="s">
        <v>74</v>
      </c>
      <c r="G627">
        <f>HYPERLINK("http://clipc-services.ceda.ac.uk/dreq/u/bf9968cc511b92e99f89e9856bd38fb6.html","web")</f>
        <v>0</v>
      </c>
      <c r="J627" t="s">
        <v>211</v>
      </c>
      <c r="K627" t="s">
        <v>1549</v>
      </c>
      <c r="M627" t="s">
        <v>74</v>
      </c>
    </row>
    <row r="628" spans="1:13">
      <c r="A628" t="s">
        <v>1341</v>
      </c>
      <c r="B628" t="s">
        <v>212</v>
      </c>
      <c r="C628" t="s">
        <v>50</v>
      </c>
      <c r="D628" t="s">
        <v>85</v>
      </c>
      <c r="E628" t="s">
        <v>213</v>
      </c>
      <c r="F628" t="s">
        <v>74</v>
      </c>
      <c r="G628">
        <f>HYPERLINK("http://clipc-services.ceda.ac.uk/dreq/u/64c745ab7c8597bb0afed2bafd12c20c.html","web")</f>
        <v>0</v>
      </c>
      <c r="J628" t="s">
        <v>214</v>
      </c>
      <c r="K628" t="s">
        <v>1549</v>
      </c>
      <c r="M628" t="s">
        <v>74</v>
      </c>
    </row>
    <row r="629" spans="1:13">
      <c r="A629" t="s">
        <v>1341</v>
      </c>
      <c r="B629" t="s">
        <v>215</v>
      </c>
      <c r="C629" t="s">
        <v>50</v>
      </c>
      <c r="D629" t="s">
        <v>85</v>
      </c>
      <c r="E629" t="s">
        <v>216</v>
      </c>
      <c r="F629" t="s">
        <v>74</v>
      </c>
      <c r="G629">
        <f>HYPERLINK("http://clipc-services.ceda.ac.uk/dreq/u/3cbe53c2-12cc-11e6-b2bc-ac72891c3257.html","web")</f>
        <v>0</v>
      </c>
      <c r="J629" t="s">
        <v>217</v>
      </c>
      <c r="K629" t="s">
        <v>1549</v>
      </c>
      <c r="M629" t="s">
        <v>74</v>
      </c>
    </row>
    <row r="630" spans="1:13">
      <c r="A630" t="s">
        <v>1341</v>
      </c>
      <c r="B630" t="s">
        <v>218</v>
      </c>
      <c r="C630" t="s">
        <v>50</v>
      </c>
      <c r="D630" t="s">
        <v>85</v>
      </c>
      <c r="E630" t="s">
        <v>219</v>
      </c>
      <c r="F630" t="s">
        <v>74</v>
      </c>
      <c r="G630">
        <f>HYPERLINK("http://clipc-services.ceda.ac.uk/dreq/u/d447c41b5f4e8c44f1fe64503cb4caa1.html","web")</f>
        <v>0</v>
      </c>
      <c r="J630" t="s">
        <v>220</v>
      </c>
      <c r="K630" t="s">
        <v>1549</v>
      </c>
      <c r="M630" t="s">
        <v>74</v>
      </c>
    </row>
    <row r="631" spans="1:13">
      <c r="A631" t="s">
        <v>1341</v>
      </c>
      <c r="B631" t="s">
        <v>221</v>
      </c>
      <c r="C631" t="s">
        <v>50</v>
      </c>
      <c r="D631" t="s">
        <v>85</v>
      </c>
      <c r="E631" t="s">
        <v>222</v>
      </c>
      <c r="F631" t="s">
        <v>179</v>
      </c>
      <c r="G631">
        <f>HYPERLINK("http://clipc-services.ceda.ac.uk/dreq/u/9259f1caedb47c287bc1c9dfc3c6f756.html","web")</f>
        <v>0</v>
      </c>
      <c r="J631" t="s">
        <v>223</v>
      </c>
      <c r="K631" t="s">
        <v>1549</v>
      </c>
      <c r="M631" t="s">
        <v>179</v>
      </c>
    </row>
    <row r="632" spans="1:13">
      <c r="A632" t="s">
        <v>1341</v>
      </c>
      <c r="B632" t="s">
        <v>1563</v>
      </c>
      <c r="C632" t="s">
        <v>35</v>
      </c>
      <c r="D632" t="s">
        <v>85</v>
      </c>
      <c r="E632" t="s">
        <v>1564</v>
      </c>
      <c r="F632" t="s">
        <v>1565</v>
      </c>
      <c r="G632">
        <f>HYPERLINK("http://clipc-services.ceda.ac.uk/dreq/u/15410a16-f746-11e5-950e-5404a60d96b5.html","web")</f>
        <v>0</v>
      </c>
      <c r="J632" t="s">
        <v>1566</v>
      </c>
      <c r="K632" t="s">
        <v>1549</v>
      </c>
      <c r="M632" t="s">
        <v>1565</v>
      </c>
    </row>
    <row r="633" spans="1:13">
      <c r="A633" t="s">
        <v>1341</v>
      </c>
      <c r="B633" t="s">
        <v>1053</v>
      </c>
      <c r="C633" t="s">
        <v>35</v>
      </c>
      <c r="D633" t="s">
        <v>1256</v>
      </c>
      <c r="E633" t="s">
        <v>1055</v>
      </c>
      <c r="F633" t="s">
        <v>35</v>
      </c>
      <c r="G633">
        <f>HYPERLINK("http://clipc-services.ceda.ac.uk/dreq/u/a06b8e83250b870d9f39dc1f6534efcb.html","web")</f>
        <v>0</v>
      </c>
      <c r="J633" t="s">
        <v>1056</v>
      </c>
      <c r="K633" t="s">
        <v>321</v>
      </c>
      <c r="M633" t="s">
        <v>35</v>
      </c>
    </row>
    <row r="634" spans="1:13">
      <c r="A634" t="s">
        <v>1341</v>
      </c>
      <c r="B634" t="s">
        <v>1567</v>
      </c>
      <c r="C634" t="s">
        <v>35</v>
      </c>
      <c r="D634" t="s">
        <v>85</v>
      </c>
      <c r="E634" t="s">
        <v>1568</v>
      </c>
      <c r="F634" t="s">
        <v>1565</v>
      </c>
      <c r="G634">
        <f>HYPERLINK("http://clipc-services.ceda.ac.uk/dreq/u/590df00c-9e49-11e5-803c-0d0b866b59f3.html","web")</f>
        <v>0</v>
      </c>
      <c r="J634" t="s">
        <v>1569</v>
      </c>
      <c r="K634" t="s">
        <v>1549</v>
      </c>
      <c r="M634" t="s">
        <v>1565</v>
      </c>
    </row>
    <row r="635" spans="1:13">
      <c r="A635" t="s">
        <v>1341</v>
      </c>
      <c r="B635" t="s">
        <v>254</v>
      </c>
      <c r="C635" t="s">
        <v>16</v>
      </c>
      <c r="D635" t="s">
        <v>85</v>
      </c>
      <c r="E635" t="s">
        <v>255</v>
      </c>
      <c r="F635" t="s">
        <v>95</v>
      </c>
      <c r="G635">
        <f>HYPERLINK("http://clipc-services.ceda.ac.uk/dreq/u/e526caea-dd83-11e5-9194-ac72891c3257.html","web")</f>
        <v>0</v>
      </c>
      <c r="J635" t="s">
        <v>256</v>
      </c>
      <c r="K635" t="s">
        <v>1255</v>
      </c>
      <c r="M635" t="s">
        <v>95</v>
      </c>
    </row>
    <row r="636" spans="1:13">
      <c r="A636" t="s">
        <v>1341</v>
      </c>
      <c r="B636" t="s">
        <v>257</v>
      </c>
      <c r="C636" t="s">
        <v>16</v>
      </c>
      <c r="D636" t="s">
        <v>85</v>
      </c>
      <c r="E636" t="s">
        <v>258</v>
      </c>
      <c r="F636" t="s">
        <v>95</v>
      </c>
      <c r="G636">
        <f>HYPERLINK("http://clipc-services.ceda.ac.uk/dreq/u/e52644bc-dd83-11e5-9194-ac72891c3257.html","web")</f>
        <v>0</v>
      </c>
      <c r="J636" t="s">
        <v>259</v>
      </c>
      <c r="K636" t="s">
        <v>1255</v>
      </c>
      <c r="M636" t="s">
        <v>95</v>
      </c>
    </row>
    <row r="637" spans="1:13">
      <c r="A637" t="s">
        <v>1341</v>
      </c>
      <c r="B637" t="s">
        <v>260</v>
      </c>
      <c r="C637" t="s">
        <v>16</v>
      </c>
      <c r="D637" t="s">
        <v>85</v>
      </c>
      <c r="E637" t="s">
        <v>261</v>
      </c>
      <c r="F637" t="s">
        <v>95</v>
      </c>
      <c r="G637">
        <f>HYPERLINK("http://clipc-services.ceda.ac.uk/dreq/u/e527532a-dd83-11e5-9194-ac72891c3257.html","web")</f>
        <v>0</v>
      </c>
      <c r="J637" t="s">
        <v>262</v>
      </c>
      <c r="K637" t="s">
        <v>1255</v>
      </c>
      <c r="M637" t="s">
        <v>95</v>
      </c>
    </row>
    <row r="638" spans="1:13">
      <c r="A638" t="s">
        <v>1341</v>
      </c>
      <c r="B638" t="s">
        <v>1570</v>
      </c>
      <c r="C638" t="s">
        <v>35</v>
      </c>
      <c r="D638" t="s">
        <v>152</v>
      </c>
      <c r="E638" t="s">
        <v>1571</v>
      </c>
      <c r="F638" t="s">
        <v>179</v>
      </c>
      <c r="G638">
        <f>HYPERLINK("http://clipc-services.ceda.ac.uk/dreq/u/590f10b8-9e49-11e5-803c-0d0b866b59f3.html","web")</f>
        <v>0</v>
      </c>
      <c r="J638" t="s">
        <v>1572</v>
      </c>
      <c r="K638" t="s">
        <v>1505</v>
      </c>
      <c r="M638" t="s">
        <v>179</v>
      </c>
    </row>
    <row r="639" spans="1:13">
      <c r="A639" t="s">
        <v>1341</v>
      </c>
      <c r="B639" t="s">
        <v>1573</v>
      </c>
      <c r="C639" t="s">
        <v>35</v>
      </c>
      <c r="D639" t="s">
        <v>152</v>
      </c>
      <c r="E639" t="s">
        <v>1574</v>
      </c>
      <c r="F639" t="s">
        <v>179</v>
      </c>
      <c r="G639">
        <f>HYPERLINK("http://clipc-services.ceda.ac.uk/dreq/u/590e4408-9e49-11e5-803c-0d0b866b59f3.html","web")</f>
        <v>0</v>
      </c>
      <c r="J639" t="s">
        <v>1575</v>
      </c>
      <c r="K639" t="s">
        <v>1505</v>
      </c>
      <c r="M639" t="s">
        <v>179</v>
      </c>
    </row>
    <row r="640" spans="1:13">
      <c r="A640" t="s">
        <v>1341</v>
      </c>
      <c r="B640" t="s">
        <v>1576</v>
      </c>
      <c r="C640" t="s">
        <v>35</v>
      </c>
      <c r="D640" t="s">
        <v>152</v>
      </c>
      <c r="E640" t="s">
        <v>1577</v>
      </c>
      <c r="F640" t="s">
        <v>179</v>
      </c>
      <c r="G640">
        <f>HYPERLINK("http://clipc-services.ceda.ac.uk/dreq/u/590e105a-9e49-11e5-803c-0d0b866b59f3.html","web")</f>
        <v>0</v>
      </c>
      <c r="J640" t="s">
        <v>1578</v>
      </c>
      <c r="K640" t="s">
        <v>1505</v>
      </c>
      <c r="M640" t="s">
        <v>179</v>
      </c>
    </row>
    <row r="641" spans="1:13">
      <c r="A641" t="s">
        <v>1341</v>
      </c>
      <c r="B641" t="s">
        <v>1579</v>
      </c>
      <c r="C641" t="s">
        <v>35</v>
      </c>
      <c r="D641" t="s">
        <v>85</v>
      </c>
      <c r="E641" t="s">
        <v>1580</v>
      </c>
      <c r="F641" t="s">
        <v>1565</v>
      </c>
      <c r="G641">
        <f>HYPERLINK("http://clipc-services.ceda.ac.uk/dreq/u/11806b1e-f747-11e5-950e-5404a60d96b5.html","web")</f>
        <v>0</v>
      </c>
      <c r="J641" t="s">
        <v>1581</v>
      </c>
      <c r="K641" t="s">
        <v>1549</v>
      </c>
      <c r="M641" t="s">
        <v>1565</v>
      </c>
    </row>
    <row r="642" spans="1:13">
      <c r="A642" t="s">
        <v>1341</v>
      </c>
      <c r="B642" t="s">
        <v>936</v>
      </c>
      <c r="C642" t="s">
        <v>35</v>
      </c>
      <c r="D642" t="s">
        <v>152</v>
      </c>
      <c r="E642" t="s">
        <v>937</v>
      </c>
      <c r="F642" t="s">
        <v>179</v>
      </c>
      <c r="G642">
        <f>HYPERLINK("http://clipc-services.ceda.ac.uk/dreq/u/7553003ead183dd3276108b6311a337f.html","web")</f>
        <v>0</v>
      </c>
      <c r="J642" t="s">
        <v>938</v>
      </c>
      <c r="K642" t="s">
        <v>939</v>
      </c>
      <c r="M642" t="s">
        <v>179</v>
      </c>
    </row>
    <row r="643" spans="1:13">
      <c r="A643" t="s">
        <v>1341</v>
      </c>
      <c r="B643" t="s">
        <v>1582</v>
      </c>
      <c r="C643" t="s">
        <v>35</v>
      </c>
      <c r="D643" t="s">
        <v>152</v>
      </c>
      <c r="E643" t="s">
        <v>1583</v>
      </c>
      <c r="F643" t="s">
        <v>179</v>
      </c>
      <c r="G643">
        <f>HYPERLINK("http://clipc-services.ceda.ac.uk/dreq/u/591401a4-9e49-11e5-803c-0d0b866b59f3.html","web")</f>
        <v>0</v>
      </c>
      <c r="J643" t="s">
        <v>1584</v>
      </c>
      <c r="K643" t="s">
        <v>1505</v>
      </c>
      <c r="M643" t="s">
        <v>179</v>
      </c>
    </row>
    <row r="644" spans="1:13">
      <c r="A644" t="s">
        <v>1341</v>
      </c>
      <c r="B644" t="s">
        <v>1585</v>
      </c>
      <c r="C644" t="s">
        <v>35</v>
      </c>
      <c r="D644" t="s">
        <v>152</v>
      </c>
      <c r="E644" t="s">
        <v>1586</v>
      </c>
      <c r="F644" t="s">
        <v>179</v>
      </c>
      <c r="G644">
        <f>HYPERLINK("http://clipc-services.ceda.ac.uk/dreq/u/591763b2-9e49-11e5-803c-0d0b866b59f3.html","web")</f>
        <v>0</v>
      </c>
      <c r="J644" t="s">
        <v>1587</v>
      </c>
      <c r="K644" t="s">
        <v>1505</v>
      </c>
      <c r="M644" t="s">
        <v>179</v>
      </c>
    </row>
    <row r="645" spans="1:13">
      <c r="A645" t="s">
        <v>1341</v>
      </c>
      <c r="B645" t="s">
        <v>1588</v>
      </c>
      <c r="C645" t="s">
        <v>35</v>
      </c>
      <c r="D645" t="s">
        <v>152</v>
      </c>
      <c r="E645" t="s">
        <v>1589</v>
      </c>
      <c r="F645" t="s">
        <v>179</v>
      </c>
      <c r="G645">
        <f>HYPERLINK("http://clipc-services.ceda.ac.uk/dreq/u/5912fb88-9e49-11e5-803c-0d0b866b59f3.html","web")</f>
        <v>0</v>
      </c>
      <c r="J645" t="s">
        <v>1590</v>
      </c>
      <c r="K645" t="s">
        <v>1505</v>
      </c>
      <c r="M645" t="s">
        <v>179</v>
      </c>
    </row>
    <row r="646" spans="1:13">
      <c r="A646" t="s">
        <v>1341</v>
      </c>
      <c r="B646" t="s">
        <v>1591</v>
      </c>
      <c r="C646" t="s">
        <v>35</v>
      </c>
      <c r="D646" t="s">
        <v>85</v>
      </c>
      <c r="E646" t="s">
        <v>1592</v>
      </c>
      <c r="F646" t="s">
        <v>1565</v>
      </c>
      <c r="G646">
        <f>HYPERLINK("http://clipc-services.ceda.ac.uk/dreq/u/5914af46-9e49-11e5-803c-0d0b866b59f3.html","web")</f>
        <v>0</v>
      </c>
      <c r="J646" t="s">
        <v>1593</v>
      </c>
      <c r="K646" t="s">
        <v>1549</v>
      </c>
      <c r="M646" t="s">
        <v>1565</v>
      </c>
    </row>
    <row r="647" spans="1:13">
      <c r="A647" t="s">
        <v>1341</v>
      </c>
      <c r="B647" t="s">
        <v>1594</v>
      </c>
      <c r="C647" t="s">
        <v>35</v>
      </c>
      <c r="D647" t="s">
        <v>541</v>
      </c>
      <c r="E647" t="s">
        <v>1595</v>
      </c>
      <c r="F647" t="s">
        <v>47</v>
      </c>
      <c r="G647">
        <f>HYPERLINK("http://clipc-services.ceda.ac.uk/dreq/u/590f7e72-9e49-11e5-803c-0d0b866b59f3.html","web")</f>
        <v>0</v>
      </c>
      <c r="J647" t="s">
        <v>1596</v>
      </c>
      <c r="K647" t="s">
        <v>1505</v>
      </c>
      <c r="M647" t="s">
        <v>47</v>
      </c>
    </row>
    <row r="648" spans="1:13">
      <c r="A648" t="s">
        <v>1341</v>
      </c>
      <c r="B648" t="s">
        <v>1597</v>
      </c>
      <c r="C648" t="s">
        <v>35</v>
      </c>
      <c r="D648" t="s">
        <v>85</v>
      </c>
      <c r="E648" t="s">
        <v>1598</v>
      </c>
      <c r="F648" t="s">
        <v>47</v>
      </c>
      <c r="G648">
        <f>HYPERLINK("http://clipc-services.ceda.ac.uk/dreq/u/590e0dd0-9e49-11e5-803c-0d0b866b59f3.html","web")</f>
        <v>0</v>
      </c>
      <c r="J648" t="s">
        <v>1599</v>
      </c>
      <c r="K648" t="s">
        <v>1505</v>
      </c>
      <c r="M648" t="s">
        <v>47</v>
      </c>
    </row>
    <row r="649" spans="1:13">
      <c r="A649" t="s">
        <v>1341</v>
      </c>
      <c r="B649" t="s">
        <v>1600</v>
      </c>
      <c r="C649" t="s">
        <v>35</v>
      </c>
      <c r="D649" t="s">
        <v>541</v>
      </c>
      <c r="E649" t="s">
        <v>1601</v>
      </c>
      <c r="F649" t="s">
        <v>47</v>
      </c>
      <c r="G649">
        <f>HYPERLINK("http://clipc-services.ceda.ac.uk/dreq/u/5914fd52-9e49-11e5-803c-0d0b866b59f3.html","web")</f>
        <v>0</v>
      </c>
      <c r="J649" t="s">
        <v>1602</v>
      </c>
      <c r="K649" t="s">
        <v>1505</v>
      </c>
      <c r="M649" t="s">
        <v>47</v>
      </c>
    </row>
    <row r="650" spans="1:13">
      <c r="A650" t="s">
        <v>1341</v>
      </c>
      <c r="B650" t="s">
        <v>1603</v>
      </c>
      <c r="C650" t="s">
        <v>50</v>
      </c>
      <c r="D650" t="s">
        <v>152</v>
      </c>
      <c r="E650" t="s">
        <v>1604</v>
      </c>
      <c r="F650" t="s">
        <v>179</v>
      </c>
      <c r="G650">
        <f>HYPERLINK("http://clipc-services.ceda.ac.uk/dreq/u/84f108a8-acb7-11e6-b5ee-ac72891c3257.html","web")</f>
        <v>0</v>
      </c>
      <c r="J650" t="s">
        <v>1605</v>
      </c>
      <c r="K650" t="s">
        <v>1370</v>
      </c>
      <c r="M650" t="s">
        <v>179</v>
      </c>
    </row>
    <row r="651" spans="1:13">
      <c r="A651" t="s">
        <v>1341</v>
      </c>
      <c r="B651" t="s">
        <v>1606</v>
      </c>
      <c r="C651" t="s">
        <v>50</v>
      </c>
      <c r="D651" t="s">
        <v>152</v>
      </c>
      <c r="E651" t="s">
        <v>1607</v>
      </c>
      <c r="F651" t="s">
        <v>179</v>
      </c>
      <c r="G651">
        <f>HYPERLINK("http://clipc-services.ceda.ac.uk/dreq/u/590dd13a-9e49-11e5-803c-0d0b866b59f3.html","web")</f>
        <v>0</v>
      </c>
      <c r="J651" t="s">
        <v>1608</v>
      </c>
      <c r="K651" t="s">
        <v>1345</v>
      </c>
      <c r="M651" t="s">
        <v>179</v>
      </c>
    </row>
    <row r="652" spans="1:13">
      <c r="A652" t="s">
        <v>1341</v>
      </c>
      <c r="B652" t="s">
        <v>1609</v>
      </c>
      <c r="C652" t="s">
        <v>50</v>
      </c>
      <c r="D652" t="s">
        <v>152</v>
      </c>
      <c r="E652" t="s">
        <v>1610</v>
      </c>
      <c r="F652" t="s">
        <v>179</v>
      </c>
      <c r="G652">
        <f>HYPERLINK("http://clipc-services.ceda.ac.uk/dreq/u/5914517c-9e49-11e5-803c-0d0b866b59f3.html","web")</f>
        <v>0</v>
      </c>
      <c r="J652" t="s">
        <v>1611</v>
      </c>
      <c r="K652" t="s">
        <v>1345</v>
      </c>
      <c r="M652" t="s">
        <v>179</v>
      </c>
    </row>
    <row r="653" spans="1:13">
      <c r="A653" t="s">
        <v>1341</v>
      </c>
      <c r="B653" t="s">
        <v>1195</v>
      </c>
      <c r="C653" t="s">
        <v>50</v>
      </c>
      <c r="D653" t="s">
        <v>1411</v>
      </c>
      <c r="E653" t="s">
        <v>1196</v>
      </c>
      <c r="F653" t="s">
        <v>35</v>
      </c>
      <c r="G653">
        <f>HYPERLINK("http://clipc-services.ceda.ac.uk/dreq/u/5914b9be-9e49-11e5-803c-0d0b866b59f3.html","web")</f>
        <v>0</v>
      </c>
      <c r="J653" t="s">
        <v>1197</v>
      </c>
      <c r="K653" t="s">
        <v>21</v>
      </c>
      <c r="M653" t="s">
        <v>35</v>
      </c>
    </row>
    <row r="654" spans="1:13">
      <c r="A654" t="s">
        <v>1341</v>
      </c>
      <c r="B654" t="s">
        <v>1104</v>
      </c>
      <c r="C654" t="s">
        <v>50</v>
      </c>
      <c r="D654" t="s">
        <v>541</v>
      </c>
      <c r="E654" t="s">
        <v>1105</v>
      </c>
      <c r="F654" t="s">
        <v>57</v>
      </c>
      <c r="G654">
        <f>HYPERLINK("http://clipc-services.ceda.ac.uk/dreq/u/d80ff3a0dec0b1256a0943aadab66813.html","web")</f>
        <v>0</v>
      </c>
      <c r="J654" t="s">
        <v>1106</v>
      </c>
      <c r="K654" t="s">
        <v>1030</v>
      </c>
      <c r="M654" t="s">
        <v>57</v>
      </c>
    </row>
    <row r="655" spans="1:13">
      <c r="A655" t="s">
        <v>1341</v>
      </c>
      <c r="B655" t="s">
        <v>1107</v>
      </c>
      <c r="C655" t="s">
        <v>50</v>
      </c>
      <c r="D655" t="s">
        <v>541</v>
      </c>
      <c r="E655" t="s">
        <v>1108</v>
      </c>
      <c r="F655" t="s">
        <v>57</v>
      </c>
      <c r="G655">
        <f>HYPERLINK("http://clipc-services.ceda.ac.uk/dreq/u/c2270065bb39bfa4fbf0d13a78dfa8a1.html","web")</f>
        <v>0</v>
      </c>
      <c r="J655" t="s">
        <v>1106</v>
      </c>
      <c r="K655" t="s">
        <v>1030</v>
      </c>
      <c r="M655" t="s">
        <v>57</v>
      </c>
    </row>
    <row r="656" spans="1:13">
      <c r="A656" t="s">
        <v>1341</v>
      </c>
      <c r="B656" t="s">
        <v>1109</v>
      </c>
      <c r="C656" t="s">
        <v>50</v>
      </c>
      <c r="D656" t="s">
        <v>541</v>
      </c>
      <c r="E656" t="s">
        <v>1110</v>
      </c>
      <c r="F656" t="s">
        <v>57</v>
      </c>
      <c r="G656">
        <f>HYPERLINK("http://clipc-services.ceda.ac.uk/dreq/u/7aa8f285b17a5bcfce416f19c29d6d72.html","web")</f>
        <v>0</v>
      </c>
      <c r="J656" t="s">
        <v>1111</v>
      </c>
      <c r="K656" t="s">
        <v>1612</v>
      </c>
      <c r="M656" t="s">
        <v>57</v>
      </c>
    </row>
    <row r="657" spans="1:13">
      <c r="A657" t="s">
        <v>1341</v>
      </c>
      <c r="B657" t="s">
        <v>1613</v>
      </c>
      <c r="C657" t="s">
        <v>50</v>
      </c>
      <c r="D657" t="s">
        <v>152</v>
      </c>
      <c r="E657" t="s">
        <v>1614</v>
      </c>
      <c r="F657" t="s">
        <v>179</v>
      </c>
      <c r="G657">
        <f>HYPERLINK("http://clipc-services.ceda.ac.uk/dreq/u/84f0beac-acb7-11e6-b5ee-ac72891c3257.html","web")</f>
        <v>0</v>
      </c>
      <c r="J657" t="s">
        <v>1615</v>
      </c>
      <c r="K657" t="s">
        <v>1370</v>
      </c>
      <c r="M657" t="s">
        <v>179</v>
      </c>
    </row>
    <row r="658" spans="1:13">
      <c r="A658" t="s">
        <v>1341</v>
      </c>
      <c r="B658" t="s">
        <v>1616</v>
      </c>
      <c r="C658" t="s">
        <v>50</v>
      </c>
      <c r="D658" t="s">
        <v>152</v>
      </c>
      <c r="E658" t="s">
        <v>1617</v>
      </c>
      <c r="F658" t="s">
        <v>179</v>
      </c>
      <c r="G658">
        <f>HYPERLINK("http://clipc-services.ceda.ac.uk/dreq/u/84f0f354-acb7-11e6-b5ee-ac72891c3257.html","web")</f>
        <v>0</v>
      </c>
      <c r="J658" t="s">
        <v>1618</v>
      </c>
      <c r="K658" t="s">
        <v>1370</v>
      </c>
      <c r="M658" t="s">
        <v>179</v>
      </c>
    </row>
    <row r="659" spans="1:13">
      <c r="A659" t="s">
        <v>1341</v>
      </c>
      <c r="B659" t="s">
        <v>1619</v>
      </c>
      <c r="C659" t="s">
        <v>50</v>
      </c>
      <c r="D659" t="s">
        <v>152</v>
      </c>
      <c r="E659" t="s">
        <v>1620</v>
      </c>
      <c r="F659" t="s">
        <v>179</v>
      </c>
      <c r="G659">
        <f>HYPERLINK("http://clipc-services.ceda.ac.uk/dreq/u/84f1117c-acb7-11e6-b5ee-ac72891c3257.html","web")</f>
        <v>0</v>
      </c>
      <c r="J659" t="s">
        <v>1621</v>
      </c>
      <c r="K659" t="s">
        <v>1370</v>
      </c>
      <c r="M659" t="s">
        <v>179</v>
      </c>
    </row>
    <row r="660" spans="1:13">
      <c r="A660" t="s">
        <v>1341</v>
      </c>
      <c r="B660" t="s">
        <v>1622</v>
      </c>
      <c r="C660" t="s">
        <v>50</v>
      </c>
      <c r="D660" t="s">
        <v>152</v>
      </c>
      <c r="E660" t="s">
        <v>1623</v>
      </c>
      <c r="F660" t="s">
        <v>179</v>
      </c>
      <c r="G660">
        <f>HYPERLINK("http://clipc-services.ceda.ac.uk/dreq/u/590f1f68-9e49-11e5-803c-0d0b866b59f3.html","web")</f>
        <v>0</v>
      </c>
      <c r="J660" t="s">
        <v>1624</v>
      </c>
      <c r="K660" t="s">
        <v>1345</v>
      </c>
      <c r="M660" t="s">
        <v>179</v>
      </c>
    </row>
    <row r="661" spans="1:13">
      <c r="A661" t="s">
        <v>1341</v>
      </c>
      <c r="B661" t="s">
        <v>1625</v>
      </c>
      <c r="C661" t="s">
        <v>50</v>
      </c>
      <c r="D661" t="s">
        <v>152</v>
      </c>
      <c r="E661" t="s">
        <v>1626</v>
      </c>
      <c r="F661" t="s">
        <v>179</v>
      </c>
      <c r="G661">
        <f>HYPERLINK("http://clipc-services.ceda.ac.uk/dreq/u/590f2436-9e49-11e5-803c-0d0b866b59f3.html","web")</f>
        <v>0</v>
      </c>
      <c r="J661" t="s">
        <v>1624</v>
      </c>
      <c r="K661" t="s">
        <v>1345</v>
      </c>
      <c r="M661" t="s">
        <v>179</v>
      </c>
    </row>
    <row r="662" spans="1:13">
      <c r="A662" t="s">
        <v>1341</v>
      </c>
      <c r="B662" t="s">
        <v>1627</v>
      </c>
      <c r="C662" t="s">
        <v>35</v>
      </c>
      <c r="D662" t="s">
        <v>1475</v>
      </c>
      <c r="E662" t="s">
        <v>1628</v>
      </c>
      <c r="F662" t="s">
        <v>74</v>
      </c>
      <c r="G662">
        <f>HYPERLINK("http://clipc-services.ceda.ac.uk/dreq/u/5912c3de-9e49-11e5-803c-0d0b866b59f3.html","web")</f>
        <v>0</v>
      </c>
      <c r="J662" t="s">
        <v>1629</v>
      </c>
      <c r="K662" t="s">
        <v>1478</v>
      </c>
      <c r="M662" t="s">
        <v>74</v>
      </c>
    </row>
    <row r="663" spans="1:13">
      <c r="A663" t="s">
        <v>1341</v>
      </c>
      <c r="B663" t="s">
        <v>263</v>
      </c>
      <c r="C663" t="s">
        <v>50</v>
      </c>
      <c r="D663" t="s">
        <v>85</v>
      </c>
      <c r="E663" t="s">
        <v>264</v>
      </c>
      <c r="F663" t="s">
        <v>74</v>
      </c>
      <c r="G663">
        <f>HYPERLINK("http://clipc-services.ceda.ac.uk/dreq/u/b2f82090-fbed-11e5-8f03-5404a60d96b5.html","web")</f>
        <v>0</v>
      </c>
      <c r="J663" t="s">
        <v>265</v>
      </c>
      <c r="K663" t="s">
        <v>1549</v>
      </c>
      <c r="M663" t="s">
        <v>74</v>
      </c>
    </row>
    <row r="664" spans="1:13">
      <c r="A664" t="s">
        <v>1341</v>
      </c>
      <c r="B664" t="s">
        <v>1264</v>
      </c>
      <c r="C664" t="s">
        <v>35</v>
      </c>
      <c r="D664" t="s">
        <v>152</v>
      </c>
      <c r="E664" t="s">
        <v>1265</v>
      </c>
      <c r="F664" t="s">
        <v>74</v>
      </c>
      <c r="G664">
        <f>HYPERLINK("http://clipc-services.ceda.ac.uk/dreq/u/6ca9dd8a089b15fb96841e9fe56411cf.html","web")</f>
        <v>0</v>
      </c>
      <c r="J664" t="s">
        <v>1266</v>
      </c>
      <c r="K664" t="s">
        <v>1416</v>
      </c>
      <c r="M664" t="s">
        <v>74</v>
      </c>
    </row>
    <row r="665" spans="1:13">
      <c r="A665" t="s">
        <v>1341</v>
      </c>
      <c r="B665" t="s">
        <v>472</v>
      </c>
      <c r="C665" t="s">
        <v>35</v>
      </c>
      <c r="D665" t="s">
        <v>152</v>
      </c>
      <c r="E665" t="s">
        <v>473</v>
      </c>
      <c r="F665" t="s">
        <v>74</v>
      </c>
      <c r="G665">
        <f>HYPERLINK("http://clipc-services.ceda.ac.uk/dreq/u/f27656eeae247192e82aa1032c911399.html","web")</f>
        <v>0</v>
      </c>
      <c r="J665" t="s">
        <v>474</v>
      </c>
      <c r="K665" t="s">
        <v>1416</v>
      </c>
      <c r="M665" t="s">
        <v>74</v>
      </c>
    </row>
    <row r="666" spans="1:13">
      <c r="A666" t="s">
        <v>1341</v>
      </c>
      <c r="B666" t="s">
        <v>1630</v>
      </c>
      <c r="C666" t="s">
        <v>35</v>
      </c>
      <c r="D666" t="s">
        <v>1475</v>
      </c>
      <c r="E666" t="s">
        <v>1631</v>
      </c>
      <c r="F666" t="s">
        <v>74</v>
      </c>
      <c r="G666">
        <f>HYPERLINK("http://clipc-services.ceda.ac.uk/dreq/u/5912e6d4-9e49-11e5-803c-0d0b866b59f3.html","web")</f>
        <v>0</v>
      </c>
      <c r="J666" t="s">
        <v>1632</v>
      </c>
      <c r="K666" t="s">
        <v>1478</v>
      </c>
      <c r="M666" t="s">
        <v>74</v>
      </c>
    </row>
    <row r="667" spans="1:13">
      <c r="A667" t="s">
        <v>1341</v>
      </c>
      <c r="B667" t="s">
        <v>1633</v>
      </c>
      <c r="C667" t="s">
        <v>35</v>
      </c>
      <c r="D667" t="s">
        <v>152</v>
      </c>
      <c r="E667" t="s">
        <v>1634</v>
      </c>
      <c r="F667" t="s">
        <v>115</v>
      </c>
      <c r="G667">
        <f>HYPERLINK("http://clipc-services.ceda.ac.uk/dreq/u/1ca290c839426f31f70a0d2862e1c611.html","web")</f>
        <v>0</v>
      </c>
      <c r="J667" t="s">
        <v>1635</v>
      </c>
      <c r="K667" t="s">
        <v>1412</v>
      </c>
      <c r="M667" t="s">
        <v>115</v>
      </c>
    </row>
    <row r="668" spans="1:13">
      <c r="A668" t="s">
        <v>1341</v>
      </c>
      <c r="B668" t="s">
        <v>1636</v>
      </c>
      <c r="C668" t="s">
        <v>35</v>
      </c>
      <c r="D668" t="s">
        <v>152</v>
      </c>
      <c r="E668" t="s">
        <v>1637</v>
      </c>
      <c r="F668" t="s">
        <v>115</v>
      </c>
      <c r="G668">
        <f>HYPERLINK("http://clipc-services.ceda.ac.uk/dreq/u/96435c8c0c0a8a7423d6abb6c027da69.html","web")</f>
        <v>0</v>
      </c>
      <c r="J668" t="s">
        <v>1638</v>
      </c>
      <c r="K668" t="s">
        <v>1412</v>
      </c>
      <c r="M668" t="s">
        <v>115</v>
      </c>
    </row>
    <row r="669" spans="1:13">
      <c r="A669" t="s">
        <v>1341</v>
      </c>
      <c r="B669" t="s">
        <v>1639</v>
      </c>
      <c r="C669" t="s">
        <v>35</v>
      </c>
      <c r="D669" t="s">
        <v>152</v>
      </c>
      <c r="E669" t="s">
        <v>1640</v>
      </c>
      <c r="F669" t="s">
        <v>115</v>
      </c>
      <c r="G669">
        <f>HYPERLINK("http://clipc-services.ceda.ac.uk/dreq/u/31a3caf70db7a8ed71e8d0a226365105.html","web")</f>
        <v>0</v>
      </c>
      <c r="J669" t="s">
        <v>1641</v>
      </c>
      <c r="K669" t="s">
        <v>1416</v>
      </c>
      <c r="M669" t="s">
        <v>115</v>
      </c>
    </row>
    <row r="670" spans="1:13">
      <c r="A670" t="s">
        <v>1341</v>
      </c>
      <c r="B670" t="s">
        <v>1198</v>
      </c>
      <c r="C670" t="s">
        <v>50</v>
      </c>
      <c r="D670" t="s">
        <v>1411</v>
      </c>
      <c r="E670" t="s">
        <v>1199</v>
      </c>
      <c r="F670" t="s">
        <v>35</v>
      </c>
      <c r="G670">
        <f>HYPERLINK("http://clipc-services.ceda.ac.uk/dreq/u/5917d1d0-9e49-11e5-803c-0d0b866b59f3.html","web")</f>
        <v>0</v>
      </c>
      <c r="J670" t="s">
        <v>1200</v>
      </c>
      <c r="K670" t="s">
        <v>21</v>
      </c>
      <c r="M670" t="s">
        <v>35</v>
      </c>
    </row>
    <row r="671" spans="1:13">
      <c r="A671" t="s">
        <v>1341</v>
      </c>
      <c r="B671" t="s">
        <v>1642</v>
      </c>
      <c r="C671" t="s">
        <v>35</v>
      </c>
      <c r="D671" t="s">
        <v>85</v>
      </c>
      <c r="E671" t="s">
        <v>1643</v>
      </c>
      <c r="F671" t="s">
        <v>35</v>
      </c>
      <c r="G671">
        <f>HYPERLINK("http://clipc-services.ceda.ac.uk/dreq/u/fdca5cbf-4d35-11e8-be0a-1c4d70487308.html","web")</f>
        <v>0</v>
      </c>
      <c r="J671" t="s">
        <v>1644</v>
      </c>
      <c r="K671" t="s">
        <v>1505</v>
      </c>
      <c r="M671" t="s">
        <v>35</v>
      </c>
    </row>
    <row r="672" spans="1:13">
      <c r="A672" t="s">
        <v>1341</v>
      </c>
      <c r="B672" t="s">
        <v>1645</v>
      </c>
      <c r="C672" t="s">
        <v>35</v>
      </c>
      <c r="D672" t="s">
        <v>541</v>
      </c>
      <c r="E672" t="s">
        <v>1646</v>
      </c>
      <c r="F672" t="s">
        <v>35</v>
      </c>
      <c r="G672">
        <f>HYPERLINK("http://clipc-services.ceda.ac.uk/dreq/u/590d4440-9e49-11e5-803c-0d0b866b59f3.html","web")</f>
        <v>0</v>
      </c>
      <c r="J672" t="s">
        <v>1647</v>
      </c>
      <c r="K672" t="s">
        <v>1505</v>
      </c>
      <c r="M672" t="s">
        <v>35</v>
      </c>
    </row>
    <row r="673" spans="1:13">
      <c r="A673" t="s">
        <v>1341</v>
      </c>
      <c r="B673" t="s">
        <v>1648</v>
      </c>
      <c r="C673" t="s">
        <v>35</v>
      </c>
      <c r="D673" t="s">
        <v>85</v>
      </c>
      <c r="E673" t="s">
        <v>1649</v>
      </c>
      <c r="F673" t="s">
        <v>35</v>
      </c>
      <c r="G673">
        <f>HYPERLINK("http://clipc-services.ceda.ac.uk/dreq/u/fdca5cc0-4d35-11e8-be0a-1c4d70487308.html","web")</f>
        <v>0</v>
      </c>
      <c r="J673" t="s">
        <v>1650</v>
      </c>
      <c r="K673" t="s">
        <v>1505</v>
      </c>
      <c r="M673" t="s">
        <v>35</v>
      </c>
    </row>
    <row r="674" spans="1:13">
      <c r="A674" t="s">
        <v>1341</v>
      </c>
      <c r="B674" t="s">
        <v>1651</v>
      </c>
      <c r="C674" t="s">
        <v>35</v>
      </c>
      <c r="D674" t="s">
        <v>1475</v>
      </c>
      <c r="E674" t="s">
        <v>1652</v>
      </c>
      <c r="F674" t="s">
        <v>57</v>
      </c>
      <c r="G674">
        <f>HYPERLINK("http://clipc-services.ceda.ac.uk/dreq/u/590e379c-9e49-11e5-803c-0d0b866b59f3.html","web")</f>
        <v>0</v>
      </c>
      <c r="J674" t="s">
        <v>1653</v>
      </c>
      <c r="K674" t="s">
        <v>1478</v>
      </c>
      <c r="M674" t="s">
        <v>57</v>
      </c>
    </row>
    <row r="675" spans="1:13">
      <c r="A675" t="s">
        <v>1341</v>
      </c>
      <c r="B675" t="s">
        <v>1654</v>
      </c>
      <c r="C675" t="s">
        <v>35</v>
      </c>
      <c r="D675" t="s">
        <v>152</v>
      </c>
      <c r="E675" t="s">
        <v>1655</v>
      </c>
      <c r="F675" t="s">
        <v>74</v>
      </c>
      <c r="G675">
        <f>HYPERLINK("http://clipc-services.ceda.ac.uk/dreq/u/590f465a-9e49-11e5-803c-0d0b866b59f3.html","web")</f>
        <v>0</v>
      </c>
      <c r="J675" t="s">
        <v>1518</v>
      </c>
      <c r="K675" t="s">
        <v>1505</v>
      </c>
      <c r="M675" t="s">
        <v>74</v>
      </c>
    </row>
    <row r="676" spans="1:13">
      <c r="A676" t="s">
        <v>1341</v>
      </c>
      <c r="B676" t="s">
        <v>1656</v>
      </c>
      <c r="C676" t="s">
        <v>35</v>
      </c>
      <c r="D676" t="s">
        <v>152</v>
      </c>
      <c r="E676" t="s">
        <v>1657</v>
      </c>
      <c r="F676" t="s">
        <v>74</v>
      </c>
      <c r="G676">
        <f>HYPERLINK("http://clipc-services.ceda.ac.uk/dreq/u/5917cf46-9e49-11e5-803c-0d0b866b59f3.html","web")</f>
        <v>0</v>
      </c>
      <c r="J676" t="s">
        <v>1658</v>
      </c>
      <c r="K676" t="s">
        <v>1505</v>
      </c>
      <c r="M676" t="s">
        <v>74</v>
      </c>
    </row>
    <row r="677" spans="1:13">
      <c r="A677" t="s">
        <v>1341</v>
      </c>
      <c r="B677" t="s">
        <v>1659</v>
      </c>
      <c r="C677" t="s">
        <v>35</v>
      </c>
      <c r="D677" t="s">
        <v>152</v>
      </c>
      <c r="E677" t="s">
        <v>1660</v>
      </c>
      <c r="F677" t="s">
        <v>74</v>
      </c>
      <c r="G677">
        <f>HYPERLINK("http://clipc-services.ceda.ac.uk/dreq/u/4cabf9607859a83bcb3bc00fa8d0698c.html","web")</f>
        <v>0</v>
      </c>
      <c r="J677" t="s">
        <v>1524</v>
      </c>
      <c r="K677" t="s">
        <v>1505</v>
      </c>
      <c r="M677" t="s">
        <v>74</v>
      </c>
    </row>
    <row r="678" spans="1:13">
      <c r="A678" t="s">
        <v>1341</v>
      </c>
      <c r="B678" t="s">
        <v>1661</v>
      </c>
      <c r="C678" t="s">
        <v>35</v>
      </c>
      <c r="D678" t="s">
        <v>152</v>
      </c>
      <c r="E678" t="s">
        <v>1662</v>
      </c>
      <c r="F678" t="s">
        <v>74</v>
      </c>
      <c r="G678">
        <f>HYPERLINK("http://clipc-services.ceda.ac.uk/dreq/u/332db812bf06c7af2de1b9d1e0cf58c9.html","web")</f>
        <v>0</v>
      </c>
      <c r="J678" t="s">
        <v>1524</v>
      </c>
      <c r="K678" t="s">
        <v>1505</v>
      </c>
      <c r="M678" t="s">
        <v>74</v>
      </c>
    </row>
    <row r="679" spans="1:13">
      <c r="A679" t="s">
        <v>1341</v>
      </c>
      <c r="B679" t="s">
        <v>1663</v>
      </c>
      <c r="C679" t="s">
        <v>50</v>
      </c>
      <c r="D679" t="s">
        <v>1390</v>
      </c>
      <c r="E679" t="s">
        <v>1664</v>
      </c>
      <c r="F679" t="s">
        <v>455</v>
      </c>
      <c r="G679">
        <f>HYPERLINK("http://clipc-services.ceda.ac.uk/dreq/u/84f1146a-acb7-11e6-b5ee-ac72891c3257.html","web")</f>
        <v>0</v>
      </c>
      <c r="J679" t="s">
        <v>1665</v>
      </c>
      <c r="K679" t="s">
        <v>1370</v>
      </c>
      <c r="M679" t="s">
        <v>455</v>
      </c>
    </row>
    <row r="680" spans="1:13">
      <c r="A680" t="s">
        <v>1341</v>
      </c>
      <c r="B680" t="s">
        <v>1666</v>
      </c>
      <c r="C680" t="s">
        <v>35</v>
      </c>
      <c r="D680" t="s">
        <v>1498</v>
      </c>
      <c r="E680" t="s">
        <v>1667</v>
      </c>
      <c r="F680" t="s">
        <v>299</v>
      </c>
      <c r="G680">
        <f>HYPERLINK("http://clipc-services.ceda.ac.uk/dreq/u/590f1a90-9e49-11e5-803c-0d0b866b59f3.html","web")</f>
        <v>0</v>
      </c>
      <c r="J680" t="s">
        <v>1668</v>
      </c>
      <c r="K680" t="s">
        <v>1478</v>
      </c>
      <c r="M680" t="s">
        <v>299</v>
      </c>
    </row>
    <row r="681" spans="1:13">
      <c r="A681" t="s">
        <v>1341</v>
      </c>
      <c r="B681" t="s">
        <v>1270</v>
      </c>
      <c r="C681" t="s">
        <v>35</v>
      </c>
      <c r="D681" t="s">
        <v>1222</v>
      </c>
      <c r="E681" t="s">
        <v>1271</v>
      </c>
      <c r="F681" t="s">
        <v>299</v>
      </c>
      <c r="G681">
        <f>HYPERLINK("http://clipc-services.ceda.ac.uk/dreq/u/170ff384-b622-11e6-bbe2-ac72891c3257.html","web")</f>
        <v>0</v>
      </c>
      <c r="J681" t="s">
        <v>1272</v>
      </c>
      <c r="K681" t="s">
        <v>944</v>
      </c>
      <c r="M681" t="s">
        <v>299</v>
      </c>
    </row>
    <row r="682" spans="1:13">
      <c r="A682" t="s">
        <v>1341</v>
      </c>
      <c r="B682" t="s">
        <v>1273</v>
      </c>
      <c r="C682" t="s">
        <v>35</v>
      </c>
      <c r="D682" t="s">
        <v>1222</v>
      </c>
      <c r="E682" t="s">
        <v>1274</v>
      </c>
      <c r="F682" t="s">
        <v>299</v>
      </c>
      <c r="G682">
        <f>HYPERLINK("http://clipc-services.ceda.ac.uk/dreq/u/1758307c-b622-11e6-bbe2-ac72891c3257.html","web")</f>
        <v>0</v>
      </c>
      <c r="J682" t="s">
        <v>1275</v>
      </c>
      <c r="K682" t="s">
        <v>944</v>
      </c>
      <c r="M682" t="s">
        <v>299</v>
      </c>
    </row>
    <row r="683" spans="1:13">
      <c r="A683" t="s">
        <v>1341</v>
      </c>
      <c r="B683" t="s">
        <v>1112</v>
      </c>
      <c r="C683" t="s">
        <v>35</v>
      </c>
      <c r="D683" t="s">
        <v>541</v>
      </c>
      <c r="E683" t="s">
        <v>1113</v>
      </c>
      <c r="F683" t="s">
        <v>455</v>
      </c>
      <c r="G683">
        <f>HYPERLINK("http://clipc-services.ceda.ac.uk/dreq/u/590ec6bc-9e49-11e5-803c-0d0b866b59f3.html","web")</f>
        <v>0</v>
      </c>
      <c r="J683" t="s">
        <v>1114</v>
      </c>
      <c r="K683" t="s">
        <v>1030</v>
      </c>
      <c r="M683" t="s">
        <v>455</v>
      </c>
    </row>
    <row r="684" spans="1:13">
      <c r="A684" t="s">
        <v>1341</v>
      </c>
      <c r="B684" t="s">
        <v>1115</v>
      </c>
      <c r="C684" t="s">
        <v>35</v>
      </c>
      <c r="D684" t="s">
        <v>541</v>
      </c>
      <c r="E684" t="s">
        <v>1116</v>
      </c>
      <c r="F684" t="s">
        <v>455</v>
      </c>
      <c r="G684">
        <f>HYPERLINK("http://clipc-services.ceda.ac.uk/dreq/u/59135d8a-9e49-11e5-803c-0d0b866b59f3.html","web")</f>
        <v>0</v>
      </c>
      <c r="J684" t="s">
        <v>1117</v>
      </c>
      <c r="K684" t="s">
        <v>1030</v>
      </c>
      <c r="M684" t="s">
        <v>455</v>
      </c>
    </row>
    <row r="685" spans="1:13">
      <c r="A685" t="s">
        <v>1341</v>
      </c>
      <c r="B685" t="s">
        <v>1118</v>
      </c>
      <c r="C685" t="s">
        <v>35</v>
      </c>
      <c r="D685" t="s">
        <v>541</v>
      </c>
      <c r="E685" t="s">
        <v>1119</v>
      </c>
      <c r="F685" t="s">
        <v>19</v>
      </c>
      <c r="G685">
        <f>HYPERLINK("http://clipc-services.ceda.ac.uk/dreq/u/590dcb0e-9e49-11e5-803c-0d0b866b59f3.html","web")</f>
        <v>0</v>
      </c>
      <c r="J685" t="s">
        <v>1120</v>
      </c>
      <c r="K685" t="s">
        <v>1030</v>
      </c>
      <c r="M685" t="s">
        <v>19</v>
      </c>
    </row>
    <row r="686" spans="1:13">
      <c r="A686" t="s">
        <v>1341</v>
      </c>
      <c r="B686" t="s">
        <v>1669</v>
      </c>
      <c r="C686" t="s">
        <v>50</v>
      </c>
      <c r="D686" t="s">
        <v>1411</v>
      </c>
      <c r="E686" t="s">
        <v>1670</v>
      </c>
      <c r="F686" t="s">
        <v>19</v>
      </c>
      <c r="G686">
        <f>HYPERLINK("http://clipc-services.ceda.ac.uk/dreq/u/621681bc7c376de66228fdde13b97516.html","web")</f>
        <v>0</v>
      </c>
      <c r="J686" t="s">
        <v>1671</v>
      </c>
      <c r="K686" t="s">
        <v>21</v>
      </c>
      <c r="M686" t="s">
        <v>19</v>
      </c>
    </row>
    <row r="687" spans="1:13">
      <c r="A687" t="s">
        <v>1341</v>
      </c>
      <c r="B687" t="s">
        <v>1121</v>
      </c>
      <c r="C687" t="s">
        <v>35</v>
      </c>
      <c r="D687" t="s">
        <v>541</v>
      </c>
      <c r="E687" t="s">
        <v>1122</v>
      </c>
      <c r="F687" t="s">
        <v>19</v>
      </c>
      <c r="G687">
        <f>HYPERLINK("http://clipc-services.ceda.ac.uk/dreq/u/59143570-9e49-11e5-803c-0d0b866b59f3.html","web")</f>
        <v>0</v>
      </c>
      <c r="J687" t="s">
        <v>1114</v>
      </c>
      <c r="K687" t="s">
        <v>1030</v>
      </c>
      <c r="M687" t="s">
        <v>19</v>
      </c>
    </row>
    <row r="688" spans="1:13">
      <c r="A688" t="s">
        <v>1341</v>
      </c>
      <c r="B688" t="s">
        <v>1672</v>
      </c>
      <c r="C688" t="s">
        <v>50</v>
      </c>
      <c r="D688" t="s">
        <v>1411</v>
      </c>
      <c r="E688" t="s">
        <v>1673</v>
      </c>
      <c r="F688" t="s">
        <v>19</v>
      </c>
      <c r="G688">
        <f>HYPERLINK("http://clipc-services.ceda.ac.uk/dreq/u/5917483c-9e49-11e5-803c-0d0b866b59f3.html","web")</f>
        <v>0</v>
      </c>
      <c r="J688" t="s">
        <v>1674</v>
      </c>
      <c r="K688" t="s">
        <v>21</v>
      </c>
      <c r="M688" t="s">
        <v>19</v>
      </c>
    </row>
    <row r="689" spans="1:13">
      <c r="A689" t="s">
        <v>1341</v>
      </c>
      <c r="B689" t="s">
        <v>1675</v>
      </c>
      <c r="C689" t="s">
        <v>50</v>
      </c>
      <c r="D689" t="s">
        <v>1411</v>
      </c>
      <c r="E689" t="s">
        <v>1676</v>
      </c>
      <c r="F689" t="s">
        <v>19</v>
      </c>
      <c r="G689">
        <f>HYPERLINK("http://clipc-services.ceda.ac.uk/dreq/u/59173c0c-9e49-11e5-803c-0d0b866b59f3.html","web")</f>
        <v>0</v>
      </c>
      <c r="J689" t="s">
        <v>1677</v>
      </c>
      <c r="K689" t="s">
        <v>21</v>
      </c>
      <c r="M689" t="s">
        <v>19</v>
      </c>
    </row>
    <row r="690" spans="1:13">
      <c r="A690" t="s">
        <v>1341</v>
      </c>
      <c r="B690" t="s">
        <v>1678</v>
      </c>
      <c r="C690" t="s">
        <v>35</v>
      </c>
      <c r="D690" t="s">
        <v>1475</v>
      </c>
      <c r="E690" t="s">
        <v>1679</v>
      </c>
      <c r="F690" t="s">
        <v>299</v>
      </c>
      <c r="G690">
        <f>HYPERLINK("http://clipc-services.ceda.ac.uk/dreq/u/590e417e-9e49-11e5-803c-0d0b866b59f3.html","web")</f>
        <v>0</v>
      </c>
      <c r="J690" t="s">
        <v>1680</v>
      </c>
      <c r="K690" t="s">
        <v>1478</v>
      </c>
      <c r="M690" t="s">
        <v>299</v>
      </c>
    </row>
    <row r="691" spans="1:13">
      <c r="A691" t="s">
        <v>1341</v>
      </c>
      <c r="B691" t="s">
        <v>1681</v>
      </c>
      <c r="C691" t="s">
        <v>35</v>
      </c>
      <c r="D691" t="s">
        <v>152</v>
      </c>
      <c r="E691" t="s">
        <v>1682</v>
      </c>
      <c r="F691" t="s">
        <v>143</v>
      </c>
      <c r="G691">
        <f>HYPERLINK("http://clipc-services.ceda.ac.uk/dreq/u/59177dc0-9e49-11e5-803c-0d0b866b59f3.html","web")</f>
        <v>0</v>
      </c>
      <c r="J691" t="s">
        <v>1683</v>
      </c>
      <c r="K691" t="s">
        <v>21</v>
      </c>
      <c r="M691" t="s">
        <v>143</v>
      </c>
    </row>
    <row r="692" spans="1:13">
      <c r="A692" t="s">
        <v>1341</v>
      </c>
      <c r="B692" t="s">
        <v>55</v>
      </c>
      <c r="C692" t="s">
        <v>50</v>
      </c>
      <c r="D692" t="s">
        <v>152</v>
      </c>
      <c r="E692" t="s">
        <v>56</v>
      </c>
      <c r="F692" t="s">
        <v>57</v>
      </c>
      <c r="G692">
        <f>HYPERLINK("http://clipc-services.ceda.ac.uk/dreq/u/59170cbe-9e49-11e5-803c-0d0b866b59f3.html","web")</f>
        <v>0</v>
      </c>
      <c r="J692" t="s">
        <v>58</v>
      </c>
      <c r="K692" t="s">
        <v>1684</v>
      </c>
      <c r="M692" t="s">
        <v>57</v>
      </c>
    </row>
    <row r="693" spans="1:13">
      <c r="A693" t="s">
        <v>1341</v>
      </c>
      <c r="B693" t="s">
        <v>1685</v>
      </c>
      <c r="C693" t="s">
        <v>50</v>
      </c>
      <c r="D693" t="s">
        <v>152</v>
      </c>
      <c r="E693" t="s">
        <v>1686</v>
      </c>
      <c r="F693" t="s">
        <v>57</v>
      </c>
      <c r="G693">
        <f>HYPERLINK("http://clipc-services.ceda.ac.uk/dreq/u/5917d9fa-9e49-11e5-803c-0d0b866b59f3.html","web")</f>
        <v>0</v>
      </c>
      <c r="J693" t="s">
        <v>1687</v>
      </c>
      <c r="K693" t="s">
        <v>1345</v>
      </c>
      <c r="M693" t="s">
        <v>57</v>
      </c>
    </row>
    <row r="694" spans="1:13">
      <c r="A694" t="s">
        <v>1341</v>
      </c>
      <c r="B694" t="s">
        <v>1688</v>
      </c>
      <c r="C694" t="s">
        <v>50</v>
      </c>
      <c r="D694" t="s">
        <v>152</v>
      </c>
      <c r="E694" t="s">
        <v>1689</v>
      </c>
      <c r="F694" t="s">
        <v>57</v>
      </c>
      <c r="G694">
        <f>HYPERLINK("http://clipc-services.ceda.ac.uk/dreq/u/591384a4-9e49-11e5-803c-0d0b866b59f3.html","web")</f>
        <v>0</v>
      </c>
      <c r="J694" t="s">
        <v>1690</v>
      </c>
      <c r="K694" t="s">
        <v>1345</v>
      </c>
      <c r="M694" t="s">
        <v>57</v>
      </c>
    </row>
    <row r="695" spans="1:13">
      <c r="A695" t="s">
        <v>1341</v>
      </c>
      <c r="B695" t="s">
        <v>1691</v>
      </c>
      <c r="C695" t="s">
        <v>50</v>
      </c>
      <c r="D695" t="s">
        <v>152</v>
      </c>
      <c r="E695" t="s">
        <v>1692</v>
      </c>
      <c r="F695" t="s">
        <v>57</v>
      </c>
      <c r="G695">
        <f>HYPERLINK("http://clipc-services.ceda.ac.uk/dreq/u/84f0430a-acb7-11e6-b5ee-ac72891c3257.html","web")</f>
        <v>0</v>
      </c>
      <c r="J695" t="s">
        <v>1693</v>
      </c>
      <c r="K695" t="s">
        <v>1370</v>
      </c>
      <c r="M695" t="s">
        <v>57</v>
      </c>
    </row>
    <row r="696" spans="1:13">
      <c r="A696" t="s">
        <v>1341</v>
      </c>
      <c r="B696" t="s">
        <v>1694</v>
      </c>
      <c r="C696" t="s">
        <v>50</v>
      </c>
      <c r="D696" t="s">
        <v>152</v>
      </c>
      <c r="E696" t="s">
        <v>1695</v>
      </c>
      <c r="F696" t="s">
        <v>57</v>
      </c>
      <c r="G696">
        <f>HYPERLINK("http://clipc-services.ceda.ac.uk/dreq/u/59174aa8-9e49-11e5-803c-0d0b866b59f3.html","web")</f>
        <v>0</v>
      </c>
      <c r="J696" t="s">
        <v>1696</v>
      </c>
      <c r="K696" t="s">
        <v>1345</v>
      </c>
      <c r="M696" t="s">
        <v>57</v>
      </c>
    </row>
    <row r="697" spans="1:13">
      <c r="A697" t="s">
        <v>1341</v>
      </c>
      <c r="B697" t="s">
        <v>1697</v>
      </c>
      <c r="C697" t="s">
        <v>35</v>
      </c>
      <c r="D697" t="s">
        <v>152</v>
      </c>
      <c r="E697" t="s">
        <v>1698</v>
      </c>
      <c r="F697" t="s">
        <v>143</v>
      </c>
      <c r="G697">
        <f>HYPERLINK("http://clipc-services.ceda.ac.uk/dreq/u/591306a0-9e49-11e5-803c-0d0b866b59f3.html","web")</f>
        <v>0</v>
      </c>
      <c r="J697" t="s">
        <v>1699</v>
      </c>
      <c r="K697" t="s">
        <v>21</v>
      </c>
      <c r="M697" t="s">
        <v>143</v>
      </c>
    </row>
    <row r="698" spans="1:13">
      <c r="A698" t="s">
        <v>1341</v>
      </c>
      <c r="B698" t="s">
        <v>1700</v>
      </c>
      <c r="C698" t="s">
        <v>50</v>
      </c>
      <c r="D698" t="s">
        <v>152</v>
      </c>
      <c r="E698" t="s">
        <v>1701</v>
      </c>
      <c r="F698" t="s">
        <v>179</v>
      </c>
      <c r="G698">
        <f>HYPERLINK("http://clipc-services.ceda.ac.uk/dreq/u/5917a070-9e49-11e5-803c-0d0b866b59f3.html","web")</f>
        <v>0</v>
      </c>
      <c r="J698" t="s">
        <v>1702</v>
      </c>
      <c r="K698" t="s">
        <v>1345</v>
      </c>
      <c r="M698" t="s">
        <v>179</v>
      </c>
    </row>
    <row r="699" spans="1:13">
      <c r="A699" t="s">
        <v>1341</v>
      </c>
      <c r="B699" t="s">
        <v>1703</v>
      </c>
      <c r="C699" t="s">
        <v>50</v>
      </c>
      <c r="D699" t="s">
        <v>152</v>
      </c>
      <c r="E699" t="s">
        <v>1704</v>
      </c>
      <c r="F699" t="s">
        <v>179</v>
      </c>
      <c r="G699">
        <f>HYPERLINK("http://clipc-services.ceda.ac.uk/dreq/u/590ec93c-9e49-11e5-803c-0d0b866b59f3.html","web")</f>
        <v>0</v>
      </c>
      <c r="J699" t="s">
        <v>1705</v>
      </c>
      <c r="K699" t="s">
        <v>1370</v>
      </c>
      <c r="M699" t="s">
        <v>179</v>
      </c>
    </row>
    <row r="700" spans="1:13">
      <c r="A700" t="s">
        <v>1341</v>
      </c>
      <c r="B700" t="s">
        <v>1706</v>
      </c>
      <c r="C700" t="s">
        <v>50</v>
      </c>
      <c r="D700" t="s">
        <v>152</v>
      </c>
      <c r="E700" t="s">
        <v>1707</v>
      </c>
      <c r="F700" t="s">
        <v>179</v>
      </c>
      <c r="G700">
        <f>HYPERLINK("http://clipc-services.ceda.ac.uk/dreq/u/590f8fca-9e49-11e5-803c-0d0b866b59f3.html","web")</f>
        <v>0</v>
      </c>
      <c r="J700" t="s">
        <v>1708</v>
      </c>
      <c r="K700" t="s">
        <v>1370</v>
      </c>
      <c r="M700" t="s">
        <v>179</v>
      </c>
    </row>
    <row r="701" spans="1:13">
      <c r="A701" t="s">
        <v>1341</v>
      </c>
      <c r="B701" t="s">
        <v>1709</v>
      </c>
      <c r="C701" t="s">
        <v>50</v>
      </c>
      <c r="D701" t="s">
        <v>1710</v>
      </c>
      <c r="E701" t="s">
        <v>1711</v>
      </c>
      <c r="F701" t="s">
        <v>38</v>
      </c>
      <c r="G701">
        <f>HYPERLINK("http://clipc-services.ceda.ac.uk/dreq/u/59147ddc-9e49-11e5-803c-0d0b866b59f3.html","web")</f>
        <v>0</v>
      </c>
      <c r="J701" t="s">
        <v>1712</v>
      </c>
      <c r="K701" t="s">
        <v>1713</v>
      </c>
      <c r="M701" t="s">
        <v>38</v>
      </c>
    </row>
    <row r="702" spans="1:13">
      <c r="A702" t="s">
        <v>1341</v>
      </c>
      <c r="B702" t="s">
        <v>1714</v>
      </c>
      <c r="C702" t="s">
        <v>50</v>
      </c>
      <c r="D702" t="s">
        <v>152</v>
      </c>
      <c r="E702" t="s">
        <v>1715</v>
      </c>
      <c r="F702" t="s">
        <v>57</v>
      </c>
      <c r="G702">
        <f>HYPERLINK("http://clipc-services.ceda.ac.uk/dreq/u/5913c4dc-9e49-11e5-803c-0d0b866b59f3.html","web")</f>
        <v>0</v>
      </c>
      <c r="J702" t="s">
        <v>1716</v>
      </c>
      <c r="K702" t="s">
        <v>1370</v>
      </c>
      <c r="M702" t="s">
        <v>57</v>
      </c>
    </row>
    <row r="703" spans="1:13">
      <c r="A703" t="s">
        <v>1341</v>
      </c>
      <c r="B703" t="s">
        <v>885</v>
      </c>
      <c r="C703" t="s">
        <v>50</v>
      </c>
      <c r="D703" t="s">
        <v>541</v>
      </c>
      <c r="E703" t="s">
        <v>886</v>
      </c>
      <c r="F703" t="s">
        <v>319</v>
      </c>
      <c r="G703">
        <f>HYPERLINK("http://clipc-services.ceda.ac.uk/dreq/u/591472f6-9e49-11e5-803c-0d0b866b59f3.html","web")</f>
        <v>0</v>
      </c>
      <c r="J703" t="s">
        <v>887</v>
      </c>
      <c r="K703" t="s">
        <v>21</v>
      </c>
      <c r="M703" t="s">
        <v>319</v>
      </c>
    </row>
    <row r="704" spans="1:13">
      <c r="A704" t="s">
        <v>1341</v>
      </c>
      <c r="B704" t="s">
        <v>888</v>
      </c>
      <c r="C704" t="s">
        <v>50</v>
      </c>
      <c r="D704" t="s">
        <v>541</v>
      </c>
      <c r="E704" t="s">
        <v>889</v>
      </c>
      <c r="F704" t="s">
        <v>319</v>
      </c>
      <c r="G704">
        <f>HYPERLINK("http://clipc-services.ceda.ac.uk/dreq/u/59132e1e-9e49-11e5-803c-0d0b866b59f3.html","web")</f>
        <v>0</v>
      </c>
      <c r="J704" t="s">
        <v>890</v>
      </c>
      <c r="K704" t="s">
        <v>21</v>
      </c>
      <c r="M704" t="s">
        <v>319</v>
      </c>
    </row>
    <row r="706" spans="1:13">
      <c r="A706" t="s">
        <v>1717</v>
      </c>
      <c r="B706" t="s">
        <v>278</v>
      </c>
      <c r="C706" t="s">
        <v>50</v>
      </c>
      <c r="D706" t="s">
        <v>1718</v>
      </c>
      <c r="E706" t="s">
        <v>280</v>
      </c>
      <c r="F706" t="s">
        <v>179</v>
      </c>
      <c r="G706">
        <f>HYPERLINK("http://clipc-services.ceda.ac.uk/dreq/u/59147580-9e49-11e5-803c-0d0b866b59f3.html","web")</f>
        <v>0</v>
      </c>
      <c r="J706" t="s">
        <v>281</v>
      </c>
      <c r="K706" t="s">
        <v>76</v>
      </c>
      <c r="M706" t="s">
        <v>179</v>
      </c>
    </row>
    <row r="707" spans="1:13">
      <c r="A707" t="s">
        <v>1717</v>
      </c>
      <c r="B707" t="s">
        <v>282</v>
      </c>
      <c r="C707" t="s">
        <v>16</v>
      </c>
      <c r="D707" t="s">
        <v>1718</v>
      </c>
      <c r="E707" t="s">
        <v>283</v>
      </c>
      <c r="F707" t="s">
        <v>179</v>
      </c>
      <c r="G707">
        <f>HYPERLINK("http://clipc-services.ceda.ac.uk/dreq/u/590e1c1c-9e49-11e5-803c-0d0b866b59f3.html","web")</f>
        <v>0</v>
      </c>
      <c r="J707" t="s">
        <v>284</v>
      </c>
      <c r="K707" t="s">
        <v>76</v>
      </c>
      <c r="M707" t="s">
        <v>179</v>
      </c>
    </row>
    <row r="708" spans="1:13">
      <c r="A708" t="s">
        <v>1717</v>
      </c>
      <c r="B708" t="s">
        <v>285</v>
      </c>
      <c r="C708" t="s">
        <v>50</v>
      </c>
      <c r="D708" t="s">
        <v>1718</v>
      </c>
      <c r="E708" t="s">
        <v>286</v>
      </c>
      <c r="F708" t="s">
        <v>179</v>
      </c>
      <c r="G708">
        <f>HYPERLINK("http://clipc-services.ceda.ac.uk/dreq/u/41460524-4f40-11e6-a814-ac72891c3257.html","web")</f>
        <v>0</v>
      </c>
      <c r="J708" t="s">
        <v>287</v>
      </c>
      <c r="K708" t="s">
        <v>76</v>
      </c>
      <c r="M708" t="s">
        <v>179</v>
      </c>
    </row>
    <row r="709" spans="1:13">
      <c r="A709" t="s">
        <v>1717</v>
      </c>
      <c r="B709" t="s">
        <v>288</v>
      </c>
      <c r="C709" t="s">
        <v>50</v>
      </c>
      <c r="D709" t="s">
        <v>1718</v>
      </c>
      <c r="E709" t="s">
        <v>289</v>
      </c>
      <c r="F709" t="s">
        <v>179</v>
      </c>
      <c r="G709">
        <f>HYPERLINK("http://clipc-services.ceda.ac.uk/dreq/u/4145ad04-4f40-11e6-a814-ac72891c3257.html","web")</f>
        <v>0</v>
      </c>
      <c r="J709" t="s">
        <v>290</v>
      </c>
      <c r="K709" t="s">
        <v>76</v>
      </c>
      <c r="M709" t="s">
        <v>179</v>
      </c>
    </row>
    <row r="710" spans="1:13">
      <c r="A710" t="s">
        <v>1717</v>
      </c>
      <c r="B710" t="s">
        <v>291</v>
      </c>
      <c r="C710" t="s">
        <v>16</v>
      </c>
      <c r="D710" t="s">
        <v>1718</v>
      </c>
      <c r="E710" t="s">
        <v>292</v>
      </c>
      <c r="F710" t="s">
        <v>179</v>
      </c>
      <c r="G710">
        <f>HYPERLINK("http://clipc-services.ceda.ac.uk/dreq/u/590e4e58-9e49-11e5-803c-0d0b866b59f3.html","web")</f>
        <v>0</v>
      </c>
      <c r="J710" t="s">
        <v>293</v>
      </c>
      <c r="K710" t="s">
        <v>76</v>
      </c>
      <c r="M710" t="s">
        <v>179</v>
      </c>
    </row>
    <row r="711" spans="1:13">
      <c r="A711" t="s">
        <v>1717</v>
      </c>
      <c r="B711" t="s">
        <v>294</v>
      </c>
      <c r="C711" t="s">
        <v>16</v>
      </c>
      <c r="D711" t="s">
        <v>1718</v>
      </c>
      <c r="E711" t="s">
        <v>295</v>
      </c>
      <c r="F711" t="s">
        <v>179</v>
      </c>
      <c r="G711">
        <f>HYPERLINK("http://clipc-services.ceda.ac.uk/dreq/u/59130394-9e49-11e5-803c-0d0b866b59f3.html","web")</f>
        <v>0</v>
      </c>
      <c r="J711" t="s">
        <v>296</v>
      </c>
      <c r="K711" t="s">
        <v>76</v>
      </c>
      <c r="M711" t="s">
        <v>179</v>
      </c>
    </row>
    <row r="712" spans="1:13">
      <c r="A712" t="s">
        <v>1717</v>
      </c>
      <c r="B712" t="s">
        <v>297</v>
      </c>
      <c r="C712" t="s">
        <v>50</v>
      </c>
      <c r="D712" t="s">
        <v>1718</v>
      </c>
      <c r="E712" t="s">
        <v>298</v>
      </c>
      <c r="F712" t="s">
        <v>299</v>
      </c>
      <c r="G712">
        <f>HYPERLINK("http://clipc-services.ceda.ac.uk/dreq/u/4144f026-4f40-11e6-a814-ac72891c3257.html","web")</f>
        <v>0</v>
      </c>
      <c r="J712" t="s">
        <v>300</v>
      </c>
      <c r="K712" t="s">
        <v>76</v>
      </c>
      <c r="M712" t="s">
        <v>299</v>
      </c>
    </row>
    <row r="713" spans="1:13">
      <c r="A713" t="s">
        <v>1717</v>
      </c>
      <c r="B713" t="s">
        <v>301</v>
      </c>
      <c r="C713" t="s">
        <v>50</v>
      </c>
      <c r="D713" t="s">
        <v>1718</v>
      </c>
      <c r="E713" t="s">
        <v>302</v>
      </c>
      <c r="F713" t="s">
        <v>299</v>
      </c>
      <c r="G713">
        <f>HYPERLINK("http://clipc-services.ceda.ac.uk/dreq/u/4144a01c-4f40-11e6-a814-ac72891c3257.html","web")</f>
        <v>0</v>
      </c>
      <c r="J713" t="s">
        <v>303</v>
      </c>
      <c r="K713" t="s">
        <v>76</v>
      </c>
      <c r="M713" t="s">
        <v>299</v>
      </c>
    </row>
    <row r="714" spans="1:13">
      <c r="A714" t="s">
        <v>1717</v>
      </c>
      <c r="B714" t="s">
        <v>304</v>
      </c>
      <c r="C714" t="s">
        <v>50</v>
      </c>
      <c r="D714" t="s">
        <v>1718</v>
      </c>
      <c r="E714" t="s">
        <v>305</v>
      </c>
      <c r="F714" t="s">
        <v>299</v>
      </c>
      <c r="G714">
        <f>HYPERLINK("http://clipc-services.ceda.ac.uk/dreq/u/14277100-b574-11e6-9ed4-5404a60d96b5.html","web")</f>
        <v>0</v>
      </c>
      <c r="J714" t="s">
        <v>306</v>
      </c>
      <c r="K714" t="s">
        <v>76</v>
      </c>
      <c r="M714" t="s">
        <v>299</v>
      </c>
    </row>
    <row r="715" spans="1:13">
      <c r="A715" t="s">
        <v>1717</v>
      </c>
      <c r="B715" t="s">
        <v>307</v>
      </c>
      <c r="C715" t="s">
        <v>35</v>
      </c>
      <c r="D715" t="s">
        <v>1718</v>
      </c>
      <c r="E715" t="s">
        <v>308</v>
      </c>
      <c r="F715" t="s">
        <v>179</v>
      </c>
      <c r="G715">
        <f>HYPERLINK("http://clipc-services.ceda.ac.uk/dreq/u/41455e80-4f40-11e6-a814-ac72891c3257.html","web")</f>
        <v>0</v>
      </c>
      <c r="J715" t="s">
        <v>309</v>
      </c>
      <c r="K715" t="s">
        <v>76</v>
      </c>
      <c r="M715" t="s">
        <v>179</v>
      </c>
    </row>
    <row r="716" spans="1:13">
      <c r="A716" t="s">
        <v>1717</v>
      </c>
      <c r="B716" t="s">
        <v>310</v>
      </c>
      <c r="C716" t="s">
        <v>50</v>
      </c>
      <c r="D716" t="s">
        <v>1718</v>
      </c>
      <c r="E716" t="s">
        <v>311</v>
      </c>
      <c r="F716" t="s">
        <v>179</v>
      </c>
      <c r="G716">
        <f>HYPERLINK("http://clipc-services.ceda.ac.uk/dreq/u/59150216-9e49-11e5-803c-0d0b866b59f3.html","web")</f>
        <v>0</v>
      </c>
      <c r="J716" t="s">
        <v>312</v>
      </c>
      <c r="K716" t="s">
        <v>76</v>
      </c>
      <c r="M716" t="s">
        <v>179</v>
      </c>
    </row>
    <row r="717" spans="1:13">
      <c r="A717" t="s">
        <v>1717</v>
      </c>
      <c r="B717" t="s">
        <v>313</v>
      </c>
      <c r="C717" t="s">
        <v>50</v>
      </c>
      <c r="D717" t="s">
        <v>1718</v>
      </c>
      <c r="E717" t="s">
        <v>314</v>
      </c>
      <c r="F717" t="s">
        <v>179</v>
      </c>
      <c r="G717">
        <f>HYPERLINK("http://clipc-services.ceda.ac.uk/dreq/u/5912a516-9e49-11e5-803c-0d0b866b59f3.html","web")</f>
        <v>0</v>
      </c>
      <c r="J717" t="s">
        <v>315</v>
      </c>
      <c r="K717" t="s">
        <v>76</v>
      </c>
      <c r="M717" t="s">
        <v>179</v>
      </c>
    </row>
    <row r="719" spans="1:13">
      <c r="A719" t="s">
        <v>1719</v>
      </c>
      <c r="B719" t="s">
        <v>1720</v>
      </c>
      <c r="C719" t="s">
        <v>50</v>
      </c>
      <c r="D719" t="s">
        <v>1721</v>
      </c>
      <c r="E719" t="s">
        <v>1722</v>
      </c>
      <c r="F719" t="s">
        <v>38</v>
      </c>
      <c r="G719">
        <f>HYPERLINK("http://clipc-services.ceda.ac.uk/dreq/u/2ca96cd5a4e83feb0d493bf9aa1a5b59.html","web")</f>
        <v>0</v>
      </c>
      <c r="J719" t="s">
        <v>1723</v>
      </c>
      <c r="K719" t="s">
        <v>1724</v>
      </c>
      <c r="M719" t="s">
        <v>38</v>
      </c>
    </row>
    <row r="720" spans="1:13">
      <c r="A720" t="s">
        <v>1719</v>
      </c>
      <c r="B720" t="s">
        <v>1725</v>
      </c>
      <c r="C720" t="s">
        <v>50</v>
      </c>
      <c r="D720" t="s">
        <v>1726</v>
      </c>
      <c r="E720" t="s">
        <v>1727</v>
      </c>
      <c r="F720" t="s">
        <v>38</v>
      </c>
      <c r="G720">
        <f>HYPERLINK("http://clipc-services.ceda.ac.uk/dreq/u/351c26a0f5a0cefa8f1183f2f12e1aa3.html","web")</f>
        <v>0</v>
      </c>
      <c r="J720" t="s">
        <v>1728</v>
      </c>
      <c r="K720" t="s">
        <v>1724</v>
      </c>
      <c r="M720" t="s">
        <v>38</v>
      </c>
    </row>
    <row r="721" spans="1:13">
      <c r="A721" t="s">
        <v>1719</v>
      </c>
      <c r="B721" t="s">
        <v>1729</v>
      </c>
      <c r="C721" t="s">
        <v>35</v>
      </c>
      <c r="D721" t="s">
        <v>152</v>
      </c>
      <c r="E721" t="s">
        <v>1730</v>
      </c>
      <c r="F721" t="s">
        <v>179</v>
      </c>
      <c r="G721">
        <f>HYPERLINK("http://clipc-services.ceda.ac.uk/dreq/u/15fea217c64dbec48b115765548b89ae.html","web")</f>
        <v>0</v>
      </c>
      <c r="J721" t="s">
        <v>1731</v>
      </c>
      <c r="K721" t="s">
        <v>1732</v>
      </c>
      <c r="M721" t="s">
        <v>179</v>
      </c>
    </row>
    <row r="722" spans="1:13">
      <c r="A722" t="s">
        <v>1719</v>
      </c>
      <c r="B722" t="s">
        <v>1733</v>
      </c>
      <c r="C722" t="s">
        <v>50</v>
      </c>
      <c r="D722" t="s">
        <v>152</v>
      </c>
      <c r="E722" t="s">
        <v>1734</v>
      </c>
      <c r="F722" t="s">
        <v>179</v>
      </c>
      <c r="G722">
        <f>HYPERLINK("http://clipc-services.ceda.ac.uk/dreq/u/df06d844bd95ddd2f0f62f54941c4b88.html","web")</f>
        <v>0</v>
      </c>
      <c r="J722" t="s">
        <v>1735</v>
      </c>
      <c r="K722" t="s">
        <v>1736</v>
      </c>
      <c r="M722" t="s">
        <v>179</v>
      </c>
    </row>
    <row r="723" spans="1:13">
      <c r="A723" t="s">
        <v>1719</v>
      </c>
      <c r="B723" t="s">
        <v>1737</v>
      </c>
      <c r="C723" t="s">
        <v>50</v>
      </c>
      <c r="D723" t="s">
        <v>152</v>
      </c>
      <c r="E723" t="s">
        <v>1738</v>
      </c>
      <c r="F723" t="s">
        <v>179</v>
      </c>
      <c r="G723">
        <f>HYPERLINK("http://clipc-services.ceda.ac.uk/dreq/u/091b217c2450d012fb2e192dee04053f.html","web")</f>
        <v>0</v>
      </c>
      <c r="J723" t="s">
        <v>1739</v>
      </c>
      <c r="K723" t="s">
        <v>1736</v>
      </c>
      <c r="M723" t="s">
        <v>179</v>
      </c>
    </row>
    <row r="724" spans="1:13">
      <c r="A724" t="s">
        <v>1719</v>
      </c>
      <c r="B724" t="s">
        <v>1740</v>
      </c>
      <c r="C724" t="s">
        <v>50</v>
      </c>
      <c r="D724" t="s">
        <v>152</v>
      </c>
      <c r="E724" t="s">
        <v>1741</v>
      </c>
      <c r="F724" t="s">
        <v>179</v>
      </c>
      <c r="G724">
        <f>HYPERLINK("http://clipc-services.ceda.ac.uk/dreq/u/fb5bd0286cdca991d0f67c498513f602.html","web")</f>
        <v>0</v>
      </c>
      <c r="J724" t="s">
        <v>1742</v>
      </c>
      <c r="K724" t="s">
        <v>1378</v>
      </c>
      <c r="M724" t="s">
        <v>179</v>
      </c>
    </row>
    <row r="725" spans="1:13">
      <c r="A725" t="s">
        <v>1719</v>
      </c>
      <c r="B725" t="s">
        <v>1743</v>
      </c>
      <c r="C725" t="s">
        <v>50</v>
      </c>
      <c r="D725" t="s">
        <v>1744</v>
      </c>
      <c r="E725" t="s">
        <v>1745</v>
      </c>
      <c r="F725" t="s">
        <v>38</v>
      </c>
      <c r="G725">
        <f>HYPERLINK("http://clipc-services.ceda.ac.uk/dreq/u/374e24b1cf7c24eb75126ea6e39ac478.html","web")</f>
        <v>0</v>
      </c>
      <c r="J725" t="s">
        <v>1746</v>
      </c>
      <c r="K725" t="s">
        <v>1378</v>
      </c>
      <c r="M725" t="s">
        <v>38</v>
      </c>
    </row>
    <row r="726" spans="1:13">
      <c r="A726" t="s">
        <v>1719</v>
      </c>
      <c r="B726" t="s">
        <v>1747</v>
      </c>
      <c r="C726" t="s">
        <v>50</v>
      </c>
      <c r="D726" t="s">
        <v>1748</v>
      </c>
      <c r="E726" t="s">
        <v>1749</v>
      </c>
      <c r="F726" t="s">
        <v>38</v>
      </c>
      <c r="G726">
        <f>HYPERLINK("http://clipc-services.ceda.ac.uk/dreq/u/1e93ae651487e683206b923c11fd6db1.html","web")</f>
        <v>0</v>
      </c>
      <c r="J726" t="s">
        <v>1750</v>
      </c>
      <c r="K726" t="s">
        <v>1378</v>
      </c>
      <c r="M726" t="s">
        <v>38</v>
      </c>
    </row>
    <row r="727" spans="1:13">
      <c r="A727" t="s">
        <v>1719</v>
      </c>
      <c r="B727" t="s">
        <v>1751</v>
      </c>
      <c r="C727" t="s">
        <v>50</v>
      </c>
      <c r="D727" t="s">
        <v>1752</v>
      </c>
      <c r="E727" t="s">
        <v>1753</v>
      </c>
      <c r="F727" t="s">
        <v>38</v>
      </c>
      <c r="G727">
        <f>HYPERLINK("http://clipc-services.ceda.ac.uk/dreq/u/e9289080901a39eba6ade178d596795a.html","web")</f>
        <v>0</v>
      </c>
      <c r="J727" t="s">
        <v>1754</v>
      </c>
      <c r="K727" t="s">
        <v>1378</v>
      </c>
      <c r="M727" t="s">
        <v>38</v>
      </c>
    </row>
    <row r="728" spans="1:13">
      <c r="A728" t="s">
        <v>1719</v>
      </c>
      <c r="B728" t="s">
        <v>1755</v>
      </c>
      <c r="C728" t="s">
        <v>50</v>
      </c>
      <c r="D728" t="s">
        <v>1756</v>
      </c>
      <c r="E728" t="s">
        <v>1757</v>
      </c>
      <c r="F728" t="s">
        <v>38</v>
      </c>
      <c r="G728">
        <f>HYPERLINK("http://clipc-services.ceda.ac.uk/dreq/u/b28e47214f0b71847c966828df0837ff.html","web")</f>
        <v>0</v>
      </c>
      <c r="J728" t="s">
        <v>1758</v>
      </c>
      <c r="K728" t="s">
        <v>1378</v>
      </c>
      <c r="M728"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2020-06-23T12:05:46Z</dcterms:created>
  <dcterms:modified xsi:type="dcterms:W3CDTF">2020-06-23T12:05:46Z</dcterms:modified>
</cp:coreProperties>
</file>