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<sst xmlns="http://schemas.openxmlformats.org/spreadsheetml/2006/main" count="6393" uniqueCount="1780">
  <si>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</si>
  <si>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</si>
  <si>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</si>
  <si>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</si>
  <si>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</si>
  <si>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</si>
  <si>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</si>
  <si>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</si>
  <si>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</si>
  <si>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</si>
  <si>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</si>
  <si>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</si>
  <si>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</si>
  <si>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</si>
  <si>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E1hr</t>
  </si>
  <si>
    <t>tntr27</t>
  </si>
  <si>
    <t>3</t>
  </si>
  <si>
    <t>longitude latitude plev27 time1</t>
  </si>
  <si>
    <t>Tendency of Air Temperature Due to Radiative Heating</t>
  </si>
  <si>
    <t>K s-1</t>
  </si>
  <si>
    <t>Tendency of Air Temperature due to Radiative Heating</t>
  </si>
  <si>
    <t>HighResMIP</t>
  </si>
  <si>
    <t>utendnogw27</t>
  </si>
  <si>
    <t>Eastward Acceleration Due to Non-Orographic Gravity Wave Drag</t>
  </si>
  <si>
    <t>m s-2</t>
  </si>
  <si>
    <t>Tendency of the eastward wind by parameterized nonorographic gravity waves.</t>
  </si>
  <si>
    <t>vtendnogw27</t>
  </si>
  <si>
    <t>Northward Acceleration Due to Non-Orographic Gravity Wave Drag</t>
  </si>
  <si>
    <t>Tendency of the northward wind by parameterized nonorographic gravity waves.  (Note that CF name tables only have a general northward tendency for all gravity waves, and we need it separated by type.)</t>
  </si>
  <si>
    <t>wap27</t>
  </si>
  <si>
    <t>Omega (=dp/dt)</t>
  </si>
  <si>
    <t>Pa s-1</t>
  </si>
  <si>
    <t>Omega (vertical velocity in pressure coordinates, positive downwards)</t>
  </si>
  <si>
    <t>Efx</t>
  </si>
  <si>
    <t>fldcapacity</t>
  </si>
  <si>
    <t>1</t>
  </si>
  <si>
    <t>longitude latitude sdepth</t>
  </si>
  <si>
    <t>Field Capacity</t>
  </si>
  <si>
    <t>%</t>
  </si>
  <si>
    <t>The field capacity of soil is the maximum content of water it can retain against gravitational drainage. Provide as a percentage of the soil volume.</t>
  </si>
  <si>
    <t>LS3MIP</t>
  </si>
  <si>
    <t>ksat</t>
  </si>
  <si>
    <t>Saturated Hydraulic Conductivity</t>
  </si>
  <si>
    <t>micron s-1</t>
  </si>
  <si>
    <t>Hydraulic conductivity is the constant k in Darcy's Law q=-k grad h for fluid flow q (volume transport per unit area i.e. velocity) through a porous medium, where h is the hydraulic head (pressure expressed as an equivalent depth of water).</t>
  </si>
  <si>
    <t>rootdsl</t>
  </si>
  <si>
    <t>Root Distribution</t>
  </si>
  <si>
    <t>kg m-2</t>
  </si>
  <si>
    <t>Mass of carbon in roots.</t>
  </si>
  <si>
    <t>sftflf</t>
  </si>
  <si>
    <t>2</t>
  </si>
  <si>
    <t>longitude latitude</t>
  </si>
  <si>
    <t>Floating Ice Shelf Area Percentage</t>
  </si>
  <si>
    <t>Percentage of grid cell covered by floating ice shelf, the component of the ice sheet that is flowing over sea water</t>
  </si>
  <si>
    <t>CMIP,ISMIP6</t>
  </si>
  <si>
    <t>vegHeight</t>
  </si>
  <si>
    <t>Height of the Vegetation Canopy</t>
  </si>
  <si>
    <t>m</t>
  </si>
  <si>
    <t>Vegetation height averaged over all vegetation types and over the vegetated fraction of a grid cell.</t>
  </si>
  <si>
    <t>CMIP,DCPP,PAMIP,PMIP</t>
  </si>
  <si>
    <t>wilt</t>
  </si>
  <si>
    <t>Wilting Point</t>
  </si>
  <si>
    <t xml:space="preserve">Percentage water content of soil by volume at the wilting point. The wilting point of soil is the water content below which plants cannot extract sufficient water to balance their loss through transpiration. </t>
  </si>
  <si>
    <t>6hrLev</t>
  </si>
  <si>
    <t>bs550aer</t>
  </si>
  <si>
    <t>longitude latitude time1 lambda550nm scatter180</t>
  </si>
  <si>
    <t>Aerosol Backscatter Coefficient</t>
  </si>
  <si>
    <t>m-1 sr-1</t>
  </si>
  <si>
    <t>Aerosol  Backscatter at 550nm and 180 degrees, computed from extinction and lidar ratio</t>
  </si>
  <si>
    <t>AerChemMIP</t>
  </si>
  <si>
    <t>IfxAnt</t>
  </si>
  <si>
    <t>hfgeoubed</t>
  </si>
  <si>
    <t>xant yant</t>
  </si>
  <si>
    <t>Geothermal Heat Flux Beneath Land Ice</t>
  </si>
  <si>
    <t>W m-2</t>
  </si>
  <si>
    <t>Upward geothermal heat flux per unit area beneath land ice</t>
  </si>
  <si>
    <t>ISMIP6</t>
  </si>
  <si>
    <t>lithk</t>
  </si>
  <si>
    <t>Ice Sheet Thickness</t>
  </si>
  <si>
    <t>The thickness of the ice sheet</t>
  </si>
  <si>
    <t>topg</t>
  </si>
  <si>
    <t>Bedrock Altitude</t>
  </si>
  <si>
    <t>The bedrock topography beneath the land ice</t>
  </si>
  <si>
    <t>Oyr</t>
  </si>
  <si>
    <t>arag</t>
  </si>
  <si>
    <t>longitude latitude olevel time</t>
  </si>
  <si>
    <t>Aragonite Concentration</t>
  </si>
  <si>
    <t>mol m-3</t>
  </si>
  <si>
    <t>Sum of particulate aragonite components (e.g. Phytoplankton, Detrital, etc.)</t>
  </si>
  <si>
    <t>AerChemMIP,CMIP,GeoMIP,LUMIP,OMIP,PMIP,VIACSAB</t>
  </si>
  <si>
    <t>bacc</t>
  </si>
  <si>
    <t>Bacterial Carbon Concentration</t>
  </si>
  <si>
    <t>Sum of bacterial carbon component concentrations</t>
  </si>
  <si>
    <t>bddtalk</t>
  </si>
  <si>
    <t>Rate of Change of Alkalinity Due to Biological Activity</t>
  </si>
  <si>
    <t>mol m-3 s-1</t>
  </si>
  <si>
    <t>Net total of biological terms in time rate of change of alkalinity</t>
  </si>
  <si>
    <t>AerChemMIP,CMIP,GeoMIP,LUMIP,OMIP,VIACSAB</t>
  </si>
  <si>
    <t>bddtdic</t>
  </si>
  <si>
    <t>Rate of Change of Dissolved Inorganic Carbon Due to Biological Activity</t>
  </si>
  <si>
    <t>Net total of biological terms in time rate of change of dissolved inorganic carbon</t>
  </si>
  <si>
    <t>bddtdife</t>
  </si>
  <si>
    <t>Rate of Change of Dissolved Inorganic Iron Due to Biological Activity</t>
  </si>
  <si>
    <t>Net total of biological terms in time rate of change of dissolved inorganic iron</t>
  </si>
  <si>
    <t>bddtdin</t>
  </si>
  <si>
    <t>Rate of Change of Nitrogen Nutrient Due to Biological Activity</t>
  </si>
  <si>
    <t>Net total of biological terms in time rate of change of nitrogen nutrients (e.g. NO3+NH4)</t>
  </si>
  <si>
    <t>bddtdip</t>
  </si>
  <si>
    <t>Rate of Change of Dissolved Phosphorus Due to Biological Activity</t>
  </si>
  <si>
    <t>Net of biological terms in time rate of change of dissolved phosphate</t>
  </si>
  <si>
    <t>bddtdisi</t>
  </si>
  <si>
    <t>Rate of Change of Dissolved Inorganic Silicon Due to Biological Activity</t>
  </si>
  <si>
    <t>Net of biological terms in time rate of change of dissolved inorganic silicon</t>
  </si>
  <si>
    <t>chlcalc</t>
  </si>
  <si>
    <t>Mass Concentration of Calcareous Phytoplankton Expressed as Chlorophyll in Sea Water</t>
  </si>
  <si>
    <t>kg m-3</t>
  </si>
  <si>
    <t>chlorophyll concentration from the calcite-producing phytoplankton component alone</t>
  </si>
  <si>
    <t>AerChemMIP,CMIP,GeoMIP,LUMIP,OMIP</t>
  </si>
  <si>
    <t>chldiaz</t>
  </si>
  <si>
    <t>Mass Concentration of Diazotrophs Expressed as Chlorophyll in Sea Water</t>
  </si>
  <si>
    <t>Chlorophyll concentration from the diazotrophic phytoplankton component alone</t>
  </si>
  <si>
    <t>chlpico</t>
  </si>
  <si>
    <t>Mass Concentration of Picophytoplankton Expressed as Chlorophyll in Sea Water</t>
  </si>
  <si>
    <t>chlorophyll concentration from the picophytoplankton (&lt;2 um) component alone</t>
  </si>
  <si>
    <t>co3abio</t>
  </si>
  <si>
    <t>Abiotic Carbonate Ion Concentration</t>
  </si>
  <si>
    <t xml:space="preserve">Mole concentration (number of moles per unit volume: molarity) of the abiotic-analogue carbonate anion (CO3). An abiotic analogue is used to simulate the effect on a modelled variable when biological effects on ocean carbon concentration and alkalinity are ignored. </t>
  </si>
  <si>
    <t>co3nat</t>
  </si>
  <si>
    <t>Natural Carbonate Ion Concentration</t>
  </si>
  <si>
    <t xml:space="preserve">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</si>
  <si>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co3satarag</t>
  </si>
  <si>
    <t>Mole Concentration of Carbonate Ion in Equilibrium with Pure Aragonite in Sea Water</t>
  </si>
  <si>
    <t>Mole concentration (number of moles per unit volume: molarity) of the carbonate anion (CO3) for sea water in equilibrium with pure Aragonite. Aragonite  (CaCO3) is a mineral that is a polymorph of calcium carbonate.</t>
  </si>
  <si>
    <t>darag</t>
  </si>
  <si>
    <t>Aragonite Dissolution</t>
  </si>
  <si>
    <t>Rate of change of Aragonite carbon mole concentration  due to dissolution</t>
  </si>
  <si>
    <t>difmxybo</t>
  </si>
  <si>
    <t>Ocean Momentum XY Biharmonic Diffusivity</t>
  </si>
  <si>
    <t>m4 s-1</t>
  </si>
  <si>
    <t>Lateral biharmonic viscosity applied to the momentum equations.</t>
  </si>
  <si>
    <t>AerChemMIP,CMIP,FAFMIP,GeoMIP,LUMIP,OMIP</t>
  </si>
  <si>
    <t>difmxylo</t>
  </si>
  <si>
    <t>Ocean Momentum XY Laplacian Diffusivity</t>
  </si>
  <si>
    <t>m2 s-1</t>
  </si>
  <si>
    <t>Lateral Laplacian viscosity applied to the momentum equations.</t>
  </si>
  <si>
    <t>diftrblo</t>
  </si>
  <si>
    <t>Ocean Tracer Diffusivity Due to Parameterized Mesoscale Advection</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</si>
  <si>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</si>
  <si>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diftrelo</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</si>
  <si>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</si>
  <si>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</si>
  <si>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dispkexyfo</t>
  </si>
  <si>
    <t>longitude latitude time</t>
  </si>
  <si>
    <t>Ocean Kinetic Energy Dissipation per Unit Area Due to XY Friction</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</si>
  <si>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</si>
  <si>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dissi13c</t>
  </si>
  <si>
    <t>Dissolved Inorganic Carbon-13 Concentration</t>
  </si>
  <si>
    <t>Dissolved inorganic carbon-13 (CO3+HCO3+H2CO3) concentration</t>
  </si>
  <si>
    <t>dissi14cabio</t>
  </si>
  <si>
    <t>Abiotic Dissolved Inorganic Carbon-14 Concentration</t>
  </si>
  <si>
    <t>Abiotic Dissolved inorganic carbon-14 (CO3+HCO3+H2CO3) concentration</t>
  </si>
  <si>
    <t>dissicabio</t>
  </si>
  <si>
    <t>Abiotic Dissolved Inorganic Carbon Concentration</t>
  </si>
  <si>
    <t>Abiotic Dissolved inorganic carbon (CO3+HCO3+H2CO3) concentration</t>
  </si>
  <si>
    <t>dissicnat</t>
  </si>
  <si>
    <t>Natural Dissolved Inorganic Carbon Concentration</t>
  </si>
  <si>
    <t>Dissolved inorganic carbon (CO3+HCO3+H2CO3) concentration at preindustrial atmospheric xCO2</t>
  </si>
  <si>
    <t>dmso</t>
  </si>
  <si>
    <t>Mole Concentration of Dimethyl Sulphide in Sea Water</t>
  </si>
  <si>
    <t>Mole concentration of dimethyl sulphide in water</t>
  </si>
  <si>
    <t>exparag</t>
  </si>
  <si>
    <t>Downward Flux of Aragonite</t>
  </si>
  <si>
    <t>mol m-2 s-1</t>
  </si>
  <si>
    <t>Downward flux of Aragonite</t>
  </si>
  <si>
    <t>fediss</t>
  </si>
  <si>
    <t>Particulate Source of Dissolved Iron</t>
  </si>
  <si>
    <t>Dissolution, remineralization and desorption of iron back to the dissolved phase</t>
  </si>
  <si>
    <t>fescav</t>
  </si>
  <si>
    <t>Non-Biogenic Iron Scavenging</t>
  </si>
  <si>
    <t>Dissolved Fe removed through nonbiogenic scavenging onto particles</t>
  </si>
  <si>
    <t>fg13co2</t>
  </si>
  <si>
    <t>Surface Downward Flux of 13CO2</t>
  </si>
  <si>
    <t>kg m-2 s-1</t>
  </si>
  <si>
    <t>Gas exchange flux of carbon-13 as CO2 (positive into ocean)</t>
  </si>
  <si>
    <t>fg14co2abio</t>
  </si>
  <si>
    <t>Surface Downward Flux of Abiotic 14CO2</t>
  </si>
  <si>
    <t>Gas exchange flux of abiotic 14CO2 (positive into ocean)</t>
  </si>
  <si>
    <t>fgco2abio</t>
  </si>
  <si>
    <t>Surface Downward Flux of Abiotic CO2</t>
  </si>
  <si>
    <t>Gas exchange flux of abiotic CO2 (positive into ocean)</t>
  </si>
  <si>
    <t>fgco2nat</t>
  </si>
  <si>
    <t>Surface Downward Flux of Natural CO2</t>
  </si>
  <si>
    <t>Gas exchange flux of natural CO2 (positive into ocean)</t>
  </si>
  <si>
    <t>o2sat</t>
  </si>
  <si>
    <t>Dissolved Oxygen Concentration at Saturation</t>
  </si>
  <si>
    <t>'Mole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</si>
  <si>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ocontempmint</t>
  </si>
  <si>
    <t>Depth Integral of Product of Sea Water Density and Conservative Temperature</t>
  </si>
  <si>
    <t>degC kg m-2</t>
  </si>
  <si>
    <t>Full column sum of density*cell thickness*conservative temperature. If the model is Boussinesq, then use Boussinesq reference density for the density factor.</t>
  </si>
  <si>
    <t>ocontemppsmadvect</t>
  </si>
  <si>
    <t>Tendency of Sea Water Conservative Temperature Expressed as Heat Content Due to Parameterized Submesoscale Advection</t>
  </si>
  <si>
    <t>Tendency of heat content for a grid cell from parameterized submesoscale eddy advection. Reported only for models that use conservative temperature as prognostic field.</t>
  </si>
  <si>
    <t>opottempdiff</t>
  </si>
  <si>
    <t>Tendency of Sea Water Potential Temperature Expressed as Heat Content Due to Parameterized Dianeutral Mixing</t>
  </si>
  <si>
    <t>Tendency of heat content for a grid cell from parameterized dianeutral mixing. Reported only for models that use potential temperature as prognostic field.</t>
  </si>
  <si>
    <t>opottempmint</t>
  </si>
  <si>
    <t>Integral with Respect to Depth of Product of Sea Water Density and Potential Temperature</t>
  </si>
  <si>
    <t>Integral over the full ocean depth of the product of sea water density and potential temperature.</t>
  </si>
  <si>
    <t>opottemppadvect</t>
  </si>
  <si>
    <t>Tendency of Sea Water Potential Temperature Expressed as Heat Content Due to Parameterized Eddy Advection</t>
  </si>
  <si>
    <t>Tendency of heat content for a grid cell from parameterized eddy advection (any form of eddy advection). Reported only for models that use potential temperature as prognostic field.</t>
  </si>
  <si>
    <t>opottemppmdiff</t>
  </si>
  <si>
    <t>Tendency of Sea Water Potential Temperature Expressed as Heat Content Due to Parameterized Mesoscale Diffusion</t>
  </si>
  <si>
    <t>Tendency of heat content for a grid cell from parameterized mesoscale eddy diffusion. Reported only for models that use potential temperature as prognostic field.</t>
  </si>
  <si>
    <t>opottemppsmadvect</t>
  </si>
  <si>
    <t>Tendency of Sea Water Potential Temperature Expressed as Heat Content Due to Parameterized Submesoscale Advection</t>
  </si>
  <si>
    <t>Tendency of heat content for a grid cell from parameterized submesoscale eddy advection. Reported only for models that use potential temperature as prognostic field.</t>
  </si>
  <si>
    <t>opottemprmadvect</t>
  </si>
  <si>
    <t>Tendency of Sea Water Potential Temperature Expressed as Heat Content Due to Residual Mean Advection</t>
  </si>
  <si>
    <t>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</si>
  <si>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opottemptend</t>
  </si>
  <si>
    <t>Tendency of Sea Water Potential Temperature Expressed as Heat Content</t>
  </si>
  <si>
    <t>Tendency of heat content for a grid cell from all processes. Reported only for models that use potential temperature as prognostic field.</t>
  </si>
  <si>
    <t>osaltpsmadvect</t>
  </si>
  <si>
    <t>Tendency of Sea Water Salinity Expressed as Salt Content Due to Parameterized Submesoscale Advection</t>
  </si>
  <si>
    <t>Tendency of salt content for a grid cell from parameterized submesoscale eddy advection.</t>
  </si>
  <si>
    <t>parag</t>
  </si>
  <si>
    <t>Aragonite Production</t>
  </si>
  <si>
    <t>Production rate of Aragonite, a mineral that is a polymorph of calcium carbonate. The chemical formula of aragonite is CaCO3.</t>
  </si>
  <si>
    <t>phabio</t>
  </si>
  <si>
    <t>Abiotic pH</t>
  </si>
  <si>
    <t>negative log10 of hydrogen ion concentration with the concentration expressed as mol H kg-1 (abiotic component)..</t>
  </si>
  <si>
    <t>phnat</t>
  </si>
  <si>
    <t>Natural pH</t>
  </si>
  <si>
    <t>negative log10 of hydrogen ion concentration with the concentration expressed as mol H kg-1.</t>
  </si>
  <si>
    <t>phycalc</t>
  </si>
  <si>
    <t>Mole Concentration of Calcareous Phytoplankton Expressed as Carbon in Sea Water</t>
  </si>
  <si>
    <t>carbon concentration from calcareous (calcite-producing) phytoplankton component alone</t>
  </si>
  <si>
    <t>phydiaz</t>
  </si>
  <si>
    <t>Mole Concentration of Diazotrophs Expressed as Carbon in Sea Water</t>
  </si>
  <si>
    <t>carbon concentration from the diazotrophic phytoplankton component alone</t>
  </si>
  <si>
    <t>phyn</t>
  </si>
  <si>
    <t>Mole Concentration of Total Phytoplankton Expressed as Nitrogen in Sea Water</t>
  </si>
  <si>
    <t>sum of phytoplankton nitrogen component concentrations</t>
  </si>
  <si>
    <t>phyp</t>
  </si>
  <si>
    <t>Mole Concentration of Total Phytoplankton Expressed as Phosphorus in Sea Water</t>
  </si>
  <si>
    <t>sum of phytoplankton phosphorus components</t>
  </si>
  <si>
    <t>phypico</t>
  </si>
  <si>
    <t>Mole Concentration of Picophytoplankton Expressed as Carbon in Sea Water</t>
  </si>
  <si>
    <t>carbon concentration from the picophytoplankton (&lt;2 um) component alone</t>
  </si>
  <si>
    <t>pon</t>
  </si>
  <si>
    <t>Mole Concentration of Particulate Organic Matter Expressed as Nitrogen in Sea Water</t>
  </si>
  <si>
    <t>sum of particulate organic nitrogen component concentrations</t>
  </si>
  <si>
    <t>pop</t>
  </si>
  <si>
    <t>Mole Concentration of Particulate Organic Matter Expressed as Phosphorus in Sea Water</t>
  </si>
  <si>
    <t>sum of particulate organic phosphorus component concentrations</t>
  </si>
  <si>
    <t>ppcalc</t>
  </si>
  <si>
    <t>Net Primary Mole Productivity of Carbon by Calcareous Phytoplankton</t>
  </si>
  <si>
    <t>Primary (organic carbon) production by the calcite-producing phytoplankton component alone</t>
  </si>
  <si>
    <t>ppdiaz</t>
  </si>
  <si>
    <t>Net Primary Mole Productivity of Carbon by Diazotrophs</t>
  </si>
  <si>
    <t>Primary (organic carbon) production by the diazotrophic phytoplankton component alone</t>
  </si>
  <si>
    <t>pppico</t>
  </si>
  <si>
    <t>Net Primary Mole Productivity of Carbon by Picophytoplankton</t>
  </si>
  <si>
    <t>Primary (organic carbon) production by the picophytoplankton (&lt;2 um) component alone</t>
  </si>
  <si>
    <t>rsdoabsorb</t>
  </si>
  <si>
    <t>Net Rate of Absorption of Shortwave Energy in Ocean Layer</t>
  </si>
  <si>
    <t>'shortwave' means shortwave radiation.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Net absorbed radiation is the difference between absorbed and emitted radiation.</t>
  </si>
  <si>
    <t>talknat</t>
  </si>
  <si>
    <t>Natural Total Alkalinity</t>
  </si>
  <si>
    <t>total alkalinity equivalent concentration (including carbonate, borate, phosphorus, silicon, and nitrogen components) at preindustrial atmospheric xCO2</t>
  </si>
  <si>
    <t>tnkebto</t>
  </si>
  <si>
    <t>Tendency of Ocean Eddy Kinetic Energy Content Due to Parameterized Eddy Advection</t>
  </si>
  <si>
    <t>Depth integrated impacts on kinetic energy arising from parameterized eddy-induced advection. For CMIP5, this diagnostic was 3d, whereas the CMIP6 depth integrated diagnostic is sufficient for many purposes and reduces archive requirements.</t>
  </si>
  <si>
    <t>volcello</t>
  </si>
  <si>
    <t>Ocean Grid-Cell Volume</t>
  </si>
  <si>
    <t>m3</t>
  </si>
  <si>
    <t>grid-cell volume ca. 2000.</t>
  </si>
  <si>
    <t>zmisc</t>
  </si>
  <si>
    <t>Mole Concentration of Other Zooplankton Expressed as Carbon in Sea Water</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</si>
  <si>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</si>
  <si>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AerChemMIP,C4MIP,CMIP,GeoMIP,LUMIP,OMIP,PMIP,VIACSAB</t>
  </si>
  <si>
    <t>ImonGre</t>
  </si>
  <si>
    <t>acabf</t>
  </si>
  <si>
    <t>xgre ygre time</t>
  </si>
  <si>
    <t>Surface Mass Balance Flux</t>
  </si>
  <si>
    <t>Specific mass balance means the net rate at which ice is added per unit area at the land ice surface. Computed as the total surface mass balance on the land ice portion of the grid cell divided by land ice area in the grid cell. A negative value means loss of ice</t>
  </si>
  <si>
    <t>icem</t>
  </si>
  <si>
    <t>Surface Ice Melt Flux</t>
  </si>
  <si>
    <t>Loss of ice mass resulting from surface melting. Computed as the total surface melt water on the land ice portion of the grid cell divided by land ice area in the grid cell.</t>
  </si>
  <si>
    <t>libmassbffl</t>
  </si>
  <si>
    <t>Basal Specific Mass Balance Flux of Floating Ice Shelf</t>
  </si>
  <si>
    <t>Specific mass balance means the net rate at which ice is added per unit area at the land ice base.  A negative value means loss of ice. Computed as the total basal mass balance on the floating land ice (floating ice shelf) portion of the grid cell divided by floating land ice (floating ice shelf) area in the grid cell. Cell_methods: area: mean where floating_ice_shelf</t>
  </si>
  <si>
    <t>libmassbfgr</t>
  </si>
  <si>
    <t>Basal Specific Mass Balance Flux of Grounded Ice Sheet</t>
  </si>
  <si>
    <t>Specific mass balance means the net rate at which ice is added per unit area at the land ice base.  A negative value means loss of ice. Computed as the total basal mass balance on the grounded land ice portion of the grid cell divided by grounded land ice area in the grid cell. Cell_methods: area: mean where grounded_ice_sheet</t>
  </si>
  <si>
    <t>licalvf</t>
  </si>
  <si>
    <t>Land Ice Calving Flux</t>
  </si>
  <si>
    <t>Loss of ice mass resulting from iceberg calving. Computed as the rate of mass loss by the ice shelf (in kg s-1) divided by the horizontal area of the ice sheet (m2) in the grid box.</t>
  </si>
  <si>
    <t>lifmassbf</t>
  </si>
  <si>
    <t>Land Ice Vertical Front Mass Balance Flux</t>
  </si>
  <si>
    <t>Total mass balance at the ice front (or vertical margin). It includes both iceberg calving and melt on vertical ice front</t>
  </si>
  <si>
    <t>litempbotfl</t>
  </si>
  <si>
    <t>Basal Temperature of Floating Ice Shelf</t>
  </si>
  <si>
    <t>K</t>
  </si>
  <si>
    <t>Basal temperature that is used to force the ice sheet models, it is the temperature AT ice shelf-ocean interface.  Cell_methods: area: mean where floating_ice_shelf</t>
  </si>
  <si>
    <t>litempbotgr</t>
  </si>
  <si>
    <t>Basal Temperature of Grounded Ice Sheet</t>
  </si>
  <si>
    <t>Basal temperature that is used to force the ice sheet models, it is the temperature AT ice sheet - bedrock interface. Cell_methods: area: mean where grounded_ice_sheet</t>
  </si>
  <si>
    <t>litemptop</t>
  </si>
  <si>
    <t>Temperature at Top of Ice Sheet Model</t>
  </si>
  <si>
    <t>Upper boundary temperature that is used to force ice sheet models. It is the temperature at the base of the snowpack models, and does not vary with seasons. Report surface temperature of ice sheet where snow thickness is zero</t>
  </si>
  <si>
    <t>mrroLi</t>
  </si>
  <si>
    <t>Land Ice Runoff Flux</t>
  </si>
  <si>
    <t>Runoff flux over land ice is the difference between any available liquid water in the snowpack less any refreezing. Computed as the sum of rainfall and melt of snow or ice less any refreezing or water retained in the snowpack</t>
  </si>
  <si>
    <t>snicefreez</t>
  </si>
  <si>
    <t>Surface Snow and Ice Refreeze Flux</t>
  </si>
  <si>
    <t>Mass flux of surface meltwater which refreezes within the snowpack. Computed as the total refreezing on the land ice portion of the grid cell divided by land ice area in the grid cell.</t>
  </si>
  <si>
    <t>snicem</t>
  </si>
  <si>
    <t>Surface Snow and Ice Melt Flux</t>
  </si>
  <si>
    <t>Loss of snow and ice mass resulting from surface melting. Computed as the total surface melt on the land ice portion of the grid cell divided by land ice area in the grid cell.</t>
  </si>
  <si>
    <t>CFday</t>
  </si>
  <si>
    <t>ccb</t>
  </si>
  <si>
    <t>Air Pressure at Convective Cloud Base</t>
  </si>
  <si>
    <t>Pa</t>
  </si>
  <si>
    <t>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</si>
  <si>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CFMIP,HighResMIP</t>
  </si>
  <si>
    <t>cct</t>
  </si>
  <si>
    <t>Air Pressure at Convective Cloud Top</t>
  </si>
  <si>
    <t>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</si>
  <si>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clcalipso</t>
  </si>
  <si>
    <t>longitude latitude alt40 time</t>
  </si>
  <si>
    <t>CALIPSO Percentage Cloud Cover</t>
  </si>
  <si>
    <t>Percentage cloud cover in CALIPSO standard atmospheric layers.</t>
  </si>
  <si>
    <t>clisccp</t>
  </si>
  <si>
    <t>longitude latitude plev7c tau time</t>
  </si>
  <si>
    <t>ISCCP Cloud Area Percentage</t>
  </si>
  <si>
    <t>Percentage cloud cover in optical depth categories.</t>
  </si>
  <si>
    <t>mc</t>
  </si>
  <si>
    <t>longitude latitude alevhalf time</t>
  </si>
  <si>
    <t>Convective Mass Flux</t>
  </si>
  <si>
    <t>The net mass flux should represent the difference between the updraft and downdraft components.  The flux is computed as the mass divided by the area of the grid cell.</t>
  </si>
  <si>
    <t>Eyr</t>
  </si>
  <si>
    <t>zfullo</t>
  </si>
  <si>
    <t>Depth Below Geoid of Ocean Layer</t>
  </si>
  <si>
    <t>Depth below geoid</t>
  </si>
  <si>
    <t>C4MIP,DCPP,LUMIP,PAMIP</t>
  </si>
  <si>
    <t>EdayZ</t>
  </si>
  <si>
    <t>epfy</t>
  </si>
  <si>
    <t>latitude plev39 time</t>
  </si>
  <si>
    <t>Northward Component of the Eliassen-Palm Flux</t>
  </si>
  <si>
    <t>m3 s-2</t>
  </si>
  <si>
    <t>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</si>
  <si>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DynVarMIP</t>
  </si>
  <si>
    <t>epfz</t>
  </si>
  <si>
    <t>Upward Component of the Eliassen-Palm Flux</t>
  </si>
  <si>
    <t>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</si>
  <si>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psitem</t>
  </si>
  <si>
    <t>Transformed Eulerian Mean Mass Streamfunction</t>
  </si>
  <si>
    <t>kg s-1</t>
  </si>
  <si>
    <t>Residual mass streamfunction, computed from vstar and integrated from the top of the atmosphere (on the native model grid). Reference: Andrews et al (1987): Middle Atmospheric Dynamics. Academic Press.</t>
  </si>
  <si>
    <t>utendepfd</t>
  </si>
  <si>
    <t>Tendency of Eastward Wind Due to Eliassen-Palm Flux Divergence</t>
  </si>
  <si>
    <t>Tendency of the zonal mean zonal wind due to the divergence of the Eliassen-Palm flux.</t>
  </si>
  <si>
    <t>utendvtem</t>
  </si>
  <si>
    <t>Tendency of Eastward Wind Due to TEM Northward Advection and Coriolis Term</t>
  </si>
  <si>
    <t>m s-1 d-1</t>
  </si>
  <si>
    <t>Tendency of zonally averaged eastward wind, by the residual upward wind advection (on the native model grid). Reference: Andrews et al (1987): Middle Atmospheric Dynamics. Academic Press.</t>
  </si>
  <si>
    <t>utendwtem</t>
  </si>
  <si>
    <t>Tendency of Eastward Wind Due to TEM Upward Advection</t>
  </si>
  <si>
    <t>Tendency of zonally averaged eastward wind, by the residual northward wind advection (on the native model grid). Reference: Andrews et al (1987): Middle Atmospheric Dynamics. Academic Press.</t>
  </si>
  <si>
    <t>vtem</t>
  </si>
  <si>
    <t>Transformed Eulerian Mean Northward Wind</t>
  </si>
  <si>
    <t>m s-1</t>
  </si>
  <si>
    <t>Transformed Eulerian Mean Diagnostics v*, meridional component of the residual meridional circulation (v*, w*) derived from 6 hr or higher frequency data fields (use instantaneous daily fields or 12 hr fields if the 6 hr data are not available).</t>
  </si>
  <si>
    <t>wtem</t>
  </si>
  <si>
    <t>Transformed Eulerian Mean Upward Wind</t>
  </si>
  <si>
    <t>Transformed Eulerian Mean Diagnostics w*, meridional component of the residual meridional circulation (v*, w*) derived from 6 hr or higher frequency data fields (use instantaneous daily fields or 12 hr fields if the 6 hr data are not available). Scale height: 6950 m</t>
  </si>
  <si>
    <t>LImon</t>
  </si>
  <si>
    <t>acabfIs</t>
  </si>
  <si>
    <t>Ice Sheet Surface Mass Balance Flux</t>
  </si>
  <si>
    <t>agesno</t>
  </si>
  <si>
    <t>Mean Age of Snow</t>
  </si>
  <si>
    <t>day</t>
  </si>
  <si>
    <t>Age of Snow (when computing the time-mean here, the time samples, weighted by the mass of snow on the land portion of the grid cell, are accumulated and then divided by the sum of the weights.  Reported as missing data in regions free of snow on land.</t>
  </si>
  <si>
    <t>C4MIP,CMIP,DAMIP,FAFMIP,GMMIP,GeoMIP,HighResMIP,LS3MIP,LUMIP,PMIP,VolMIP</t>
  </si>
  <si>
    <t>icemIs</t>
  </si>
  <si>
    <t>Ice Sheet Surface Ice Melt Flux</t>
  </si>
  <si>
    <t>litemptopIs</t>
  </si>
  <si>
    <t>Ice Sheet Temperature at Top of Ice Sheet Model</t>
  </si>
  <si>
    <t>pflw</t>
  </si>
  <si>
    <t>Liquid Water Content of Permafrost Layer</t>
  </si>
  <si>
    <t>*where land over land*, i.e., this is the total mass of liquid water contained within the permafrost layer within the land portion of a grid cell divided by the area of the land portion of the cell.</t>
  </si>
  <si>
    <t>C4MIP,CMIP,FAFMIP,GMMIP,GeoMIP,HighResMIP,LS3MIP,LUMIP,VIACSAB,VolMIP</t>
  </si>
  <si>
    <t>sncIs</t>
  </si>
  <si>
    <t>Ice Sheet Snow Cover Percentage</t>
  </si>
  <si>
    <t>Percentage of each grid cell that is occupied by snow that rests on land portion of cell.</t>
  </si>
  <si>
    <t>snicefreezIs</t>
  </si>
  <si>
    <t>Ice Sheet Surface Snow and Ice Refreeze Flux</t>
  </si>
  <si>
    <t>snicemIs</t>
  </si>
  <si>
    <t>Ice Sheet Surface Snow and Ice Melt Flux</t>
  </si>
  <si>
    <t>sootsn</t>
  </si>
  <si>
    <t>Snow Soot Content</t>
  </si>
  <si>
    <t>the entire land portion of the grid cell is considered, with snow soot content set to 0.0 in regions free of snow.</t>
  </si>
  <si>
    <t>tpf</t>
  </si>
  <si>
    <t>Permafrost Layer Thickness</t>
  </si>
  <si>
    <t>The mean thickness of the permafrost layer in the land portion of the grid cell.  Reported as zero in permafrost-free regions.</t>
  </si>
  <si>
    <t>C4MIP,CDRMIP,CMIP,FAFMIP,GMMIP,GeoMIP,HighResMIP,LS3MIP,LUMIP,PMIP,VIACSAB,VolMIP</t>
  </si>
  <si>
    <t>CFsubhr</t>
  </si>
  <si>
    <t>site time1</t>
  </si>
  <si>
    <t>AerChemMIP,CFMIP</t>
  </si>
  <si>
    <t>ci</t>
  </si>
  <si>
    <t>Fraction of Time Convection Occurs in Cell</t>
  </si>
  <si>
    <t>Fraction of time that convection occurs in the grid cell.</t>
  </si>
  <si>
    <t>edt</t>
  </si>
  <si>
    <t>alevel site time1</t>
  </si>
  <si>
    <t>Eddy Diffusivity Coefficient for Temperature</t>
  </si>
  <si>
    <t>Vertical diffusion coefficient for temperature due to parametrised eddies</t>
  </si>
  <si>
    <t>evu</t>
  </si>
  <si>
    <t>Eddy Viscosity Coefficient for Momentum</t>
  </si>
  <si>
    <t>Vertical diffusion coefficient for momentum due to parametrised eddies</t>
  </si>
  <si>
    <t>fco2fos</t>
  </si>
  <si>
    <t>Carbon Mass Flux into Atmosphere Due to Fossil Fuel Emissions of CO2</t>
  </si>
  <si>
    <t>This is the prescribed anthropogenic CO2 flux from fossil fuel use, including cement production, and flaring (but not from land-use changes, agricultural burning, forest regrowth, etc.)</t>
  </si>
  <si>
    <t>latitude</t>
  </si>
  <si>
    <t>site</t>
  </si>
  <si>
    <t>Latitude</t>
  </si>
  <si>
    <t>degrees_north</t>
  </si>
  <si>
    <t>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</si>
  <si>
    <t>longitude</t>
  </si>
  <si>
    <t>Longitude</t>
  </si>
  <si>
    <t>degrees_east</t>
  </si>
  <si>
    <t>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</si>
  <si>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alevhalf site time1</t>
  </si>
  <si>
    <t>rld</t>
  </si>
  <si>
    <t>Downwelling Longwave Radiation</t>
  </si>
  <si>
    <t>Downwelling Longwave Radiation (includes the fluxes at the surface and TOA)</t>
  </si>
  <si>
    <t>rldcs</t>
  </si>
  <si>
    <t>Downwelling Clear-Sky Longwave Radiation</t>
  </si>
  <si>
    <t>Downwelling clear-sky longwave radiation (includes the fluxes at the surface and TOA)</t>
  </si>
  <si>
    <t>rlu</t>
  </si>
  <si>
    <t>Upwelling Longwave Radiation</t>
  </si>
  <si>
    <t>Upwelling longwave radiation (includes the fluxes at the surface and TOA)</t>
  </si>
  <si>
    <t>rlucs</t>
  </si>
  <si>
    <t>Upwelling Clear-Sky Longwave Radiation</t>
  </si>
  <si>
    <t>Upwelling clear-sky longwave radiation  (includes the fluxes at the surface and TOA)</t>
  </si>
  <si>
    <t>rsd</t>
  </si>
  <si>
    <t>Downwelling Shortwave Radiation</t>
  </si>
  <si>
    <t>Downwelling shortwave radiation (includes the fluxes at the surface and top-of-atmosphere)</t>
  </si>
  <si>
    <t>rsdcs</t>
  </si>
  <si>
    <t>Downwelling Clear-Sky Shortwave Radiation</t>
  </si>
  <si>
    <t>Downwelling clear-sky shortwave radiation (includes the fluxes at the surface and top-of-atmosphere)</t>
  </si>
  <si>
    <t>rsu</t>
  </si>
  <si>
    <t>Upwelling Shortwave Radiation</t>
  </si>
  <si>
    <t>Upwelling shortwave radiation  (includes also the fluxes at the surface and top of atmosphere)</t>
  </si>
  <si>
    <t>rsucs</t>
  </si>
  <si>
    <t>Upwelling Clear-Sky Shortwave Radiation</t>
  </si>
  <si>
    <t>Upwelling clear-sky shortwave radiation  (includes the fluxes at the surface and TOA)</t>
  </si>
  <si>
    <t>sci</t>
  </si>
  <si>
    <t>Fraction of Time Shallow Convection Occurs</t>
  </si>
  <si>
    <t>Fraction of time that shallow convection occurs in the grid cell.</t>
  </si>
  <si>
    <t>tnhusa</t>
  </si>
  <si>
    <t>Tendency of Specific Humidity Due to Advection</t>
  </si>
  <si>
    <t>s-1</t>
  </si>
  <si>
    <t>Tendency of Specific Humidity due to Advection</t>
  </si>
  <si>
    <t>tnhusd</t>
  </si>
  <si>
    <t>Tendency of Specific Humidity Due to Numerical Diffusion</t>
  </si>
  <si>
    <t>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</si>
  <si>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tnhusscpbl</t>
  </si>
  <si>
    <t>Tendency of Specific Humidity Due to Stratiform Cloud and Precipitation and Boundary Layer Mixing</t>
  </si>
  <si>
    <t>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</si>
  <si>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tnt</t>
  </si>
  <si>
    <t>Tendency of Air Temperature</t>
  </si>
  <si>
    <t>tnta</t>
  </si>
  <si>
    <t>Tendency of Air Temperature Due to Advection</t>
  </si>
  <si>
    <t>Tendency of Air Temperature due to Advection</t>
  </si>
  <si>
    <t>tntscpbl</t>
  </si>
  <si>
    <t>Tendency of Air Temperature Due to Stratiform Cloud and Precipitation and Boundary Layer Mixing</t>
  </si>
  <si>
    <t>Tendency of Air Temperature Due to Stratiform Cloud and Precipitation and Boundary Layer Mixing (to be specified only in  models which do not separate cloud, precipitation and boundary layer terms.  Includes all boundary layer terms including diffusive ones.)</t>
  </si>
  <si>
    <t>3hr</t>
  </si>
  <si>
    <t>rsdsdiff</t>
  </si>
  <si>
    <t>Surface Diffuse Downwelling Shortwave Radiation</t>
  </si>
  <si>
    <t>Surface downwelling solar irradiance from diffuse radiation for UV calculations.</t>
  </si>
  <si>
    <t>CMIP,HighResMIP,VIACSAB</t>
  </si>
  <si>
    <t>SImon</t>
  </si>
  <si>
    <t>sidmasslat</t>
  </si>
  <si>
    <t>Lateral Sea Ice Melt Rate</t>
  </si>
  <si>
    <t>The rate of change of sea ice mass through lateral melting divided by grid-cell area (report 0 if not explicitly calculated thermodynamically)</t>
  </si>
  <si>
    <t>C4MIP,CMIP,FAFMIP,GMMIP,GeoMIP,HighResMIP,LS3MIP,RFMIP,SIMIP</t>
  </si>
  <si>
    <t>sidragbot</t>
  </si>
  <si>
    <t>Ocean Drag Coefficient</t>
  </si>
  <si>
    <t>Oceanic drag coefficient that is used to calculate the oceanic momentum drag on sea ice</t>
  </si>
  <si>
    <t>sidragtop</t>
  </si>
  <si>
    <t>Atmospheric Drag Coefficient</t>
  </si>
  <si>
    <t>Atmospheric drag coefficient that is used to calculate the atmospheric momentum drag on sea ice</t>
  </si>
  <si>
    <t>sifllatstop</t>
  </si>
  <si>
    <t>Net Latent Heat Flux over Sea Ice</t>
  </si>
  <si>
    <t>the net latent heat flux over sea ice</t>
  </si>
  <si>
    <t>C4MIP,CMIP,DCPP,FAFMIP,GMMIP,GeoMIP,HighResMIP,LS3MIP,PAMIP,PMIP,RFMIP,SIMIP,VIACSAB</t>
  </si>
  <si>
    <t>sifllwdtop</t>
  </si>
  <si>
    <t>Downwelling Longwave Flux over Sea Ice</t>
  </si>
  <si>
    <t>the downwelling longwave flux over sea ice (always positive)</t>
  </si>
  <si>
    <t>C4MIP,CMIP,FAFMIP,GMMIP,GeoMIP,HighResMIP,LS3MIP,PMIP,RFMIP,SIMIP,VIACSAB</t>
  </si>
  <si>
    <t>sifllwutop</t>
  </si>
  <si>
    <t>Upwelling Longwave Flux over Sea Ice</t>
  </si>
  <si>
    <t>the upwelling longwave flux over sea ice (always negative)</t>
  </si>
  <si>
    <t>siflsenstop</t>
  </si>
  <si>
    <t>Net Upward Sensible Heat Flux over Sea Ice</t>
  </si>
  <si>
    <t>the net sensible heat flux over sea ice</t>
  </si>
  <si>
    <t>siflswdbot</t>
  </si>
  <si>
    <t>Downwelling Shortwave Flux Under Sea Ice</t>
  </si>
  <si>
    <t>The downwelling shortwave flux underneath sea ice (always positive)</t>
  </si>
  <si>
    <t>siflswutop</t>
  </si>
  <si>
    <t>Upwelling Shortwave Flux over Sea Ice</t>
  </si>
  <si>
    <t>The upwelling shortwave flux over sea ice (always negative)</t>
  </si>
  <si>
    <t>siitdsnconc</t>
  </si>
  <si>
    <t>longitude latitude iceband time</t>
  </si>
  <si>
    <t>Snow Area Percentages in Ice Thickness Categories</t>
  </si>
  <si>
    <t>Percentage of grid cell covered by snow in each ice-thickness category (vector with one entry for each thickness category starting from the thinnest category, netcdf file should use thickness bounds of the categories as third coordinate axis)</t>
  </si>
  <si>
    <t>simpconc</t>
  </si>
  <si>
    <t>longitude latitude time typemp</t>
  </si>
  <si>
    <t>Percentage Cover of Sea Ice by Meltpond</t>
  </si>
  <si>
    <t>Percentage of sea ice, by area, which is covered by melt ponds, giving equal weight to every square metre of sea ice .</t>
  </si>
  <si>
    <t>simpmass</t>
  </si>
  <si>
    <t>Meltpond Mass per Unit Area (as Depth)</t>
  </si>
  <si>
    <t>Meltpond Depth</t>
  </si>
  <si>
    <t>simprefrozen</t>
  </si>
  <si>
    <t>Thickness of Refrozen Ice on Melt Pond</t>
  </si>
  <si>
    <t>Volume of refrozen ice on melt ponds divided by meltpond covered area</t>
  </si>
  <si>
    <t>sipr</t>
  </si>
  <si>
    <t>Rainfall Rate over Sea Ice</t>
  </si>
  <si>
    <t>mass of liquid precipitation falling onto sea ice divided by grid-cell area</t>
  </si>
  <si>
    <t>C4MIP,CFMIP,CMIP,FAFMIP,GMMIP,GeoMIP,HighResMIP,LS3MIP,PMIP,RFMIP,SIMIP,VIACSAB</t>
  </si>
  <si>
    <t>sirdgconc</t>
  </si>
  <si>
    <t>longitude latitude time typesirdg</t>
  </si>
  <si>
    <t>Percentage Cover of Sea Ice by Ridging</t>
  </si>
  <si>
    <t>Fraction of sea ice, by area, which is covered by sea ice ridges, giving equal weight to every square metre of sea ice .</t>
  </si>
  <si>
    <t>sirdgthick</t>
  </si>
  <si>
    <t>Ridged Ice Thickness</t>
  </si>
  <si>
    <t>Sea Ice Ridge Height (representing mean height over the ridged area)</t>
  </si>
  <si>
    <t>sisnconc</t>
  </si>
  <si>
    <t>Snow Area Percentage</t>
  </si>
  <si>
    <t>Percentage of sea ice, by area, which is covered by snow, giving equal weight to every square metre of sea ice . Exclude snow that lies on land or land ice.</t>
  </si>
  <si>
    <t>C4MIP,CFMIP,CMIP,DAMIP,FAFMIP,GMMIP,GeoMIP,HighResMIP,LS3MIP,PMIP,RFMIP,SIMIP,VIACSAB</t>
  </si>
  <si>
    <t>sndmasswindrif</t>
  </si>
  <si>
    <t>Snow Mass Rate of Change Through Wind Drift of Snow</t>
  </si>
  <si>
    <t>the rate of change of snow mass through wind drift of snow (from sea-ice into the sea) divided by sea-ice area</t>
  </si>
  <si>
    <t>CFmon</t>
  </si>
  <si>
    <t>clc</t>
  </si>
  <si>
    <t>longitude latitude alevel time</t>
  </si>
  <si>
    <t>Convective Cloud Area Percentage</t>
  </si>
  <si>
    <t>Include only convective cloud.</t>
  </si>
  <si>
    <t>AerChemMIP,CFMIP,DAMIP,GeoMIP,HighResMIP,PMIP</t>
  </si>
  <si>
    <t>AerChemMIP,CFMIP,DAMIP,HighResMIP,RFMIP,VIACSAB</t>
  </si>
  <si>
    <t>clic</t>
  </si>
  <si>
    <t>Mass Fraction of Convective Cloud Ice</t>
  </si>
  <si>
    <t>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</si>
  <si>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AerChemMIP,CFMIP,GeoMIP,HighResMIP</t>
  </si>
  <si>
    <t>clis</t>
  </si>
  <si>
    <t>Mass Fraction of Stratiform Cloud Ice</t>
  </si>
  <si>
    <t>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</si>
  <si>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AerChemMIP,CFMIP,DAMIP,HighResMIP,PMIP,RFMIP,VIACSAB</t>
  </si>
  <si>
    <t>cls</t>
  </si>
  <si>
    <t>Percentage Cover of Stratiform Cloud</t>
  </si>
  <si>
    <t>Cloud area fraction (reported as a percentage) for the whole atmospheric column due to stratiform clouds, as seen from the surface or the top of the atmosphere. Includes both large-scale and convective cloud.</t>
  </si>
  <si>
    <t>AerChemMIP,CFMIP,GeoMIP,HighResMIP,PMIP</t>
  </si>
  <si>
    <t>clwc</t>
  </si>
  <si>
    <t>Mass Fraction of Convective Cloud Liquid Water</t>
  </si>
  <si>
    <t>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</si>
  <si>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clws</t>
  </si>
  <si>
    <t>Mass Fraction of Stratiform Cloud Liquid Water</t>
  </si>
  <si>
    <t>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</si>
  <si>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dmc</t>
  </si>
  <si>
    <t>Deep Convective Mass Flux</t>
  </si>
  <si>
    <t>The net mass flux  represents the difference between the updraft and downdraft components.   This is calculated as the convective mass flux divided by the area of the whole grid cell (not just the area of the cloud).</t>
  </si>
  <si>
    <t>AerChemMIP,CFMIP,DAMIP,GeoMIP,HighResMIP</t>
  </si>
  <si>
    <t>mcd</t>
  </si>
  <si>
    <t>Downdraft Convective Mass Flux</t>
  </si>
  <si>
    <t>Calculated as the convective mass flux divided by the area of the whole grid cell (not just the area of the cloud).</t>
  </si>
  <si>
    <t>mcu</t>
  </si>
  <si>
    <t>Convective Updraft Mass Flux</t>
  </si>
  <si>
    <t>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</si>
  <si>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AerChemMIP,CFMIP,CMIP,DAMIP,GeoMIP,HighResMIP,PMIP,VIACSAB</t>
  </si>
  <si>
    <t>rld4co2</t>
  </si>
  <si>
    <t>Downwelling Longwave Radiation 4XCO2 Atmosphere</t>
  </si>
  <si>
    <t>Downwelling longwave radiation calculated using carbon dioxide concentrations increased fourfold (includes the fluxes at the surface and TOA)</t>
  </si>
  <si>
    <t>AerChemMIP,CFMIP,HighResMIP</t>
  </si>
  <si>
    <t>rldcs4co2</t>
  </si>
  <si>
    <t>Downwelling Clear-Sky Longwave Radiation 4XCO2 Atmosphere</t>
  </si>
  <si>
    <t>Downwelling clear-sky longwave radiation calculated using carbon dioxide concentrations increased fourfold (includes the fluxes at the surface and TOA)</t>
  </si>
  <si>
    <t>rlu4co2</t>
  </si>
  <si>
    <t>Upwelling Longwave Radiation 4XCO2 Atmosphere</t>
  </si>
  <si>
    <t>Upwelling longwave radiation calculated using carbon dioxide concentrations increased fourfold (includes the fluxes at the surface and TOA)</t>
  </si>
  <si>
    <t>rlucs4co2</t>
  </si>
  <si>
    <t>Upwelling Clear-Sky Longwave Radiation 4XCO2 Atmosphere</t>
  </si>
  <si>
    <t>Upwelling clear-sky longwave radiation calculated using carbon dioxide concentrations increased fourfold (includes the fluxes at the surface and TOA)</t>
  </si>
  <si>
    <t>rlut4co2</t>
  </si>
  <si>
    <t>TOA Outgoing Longwave Radiation 4XCO2 Atmosphere</t>
  </si>
  <si>
    <t>Top-of-atmosphere outgoing longwave radiation calculated using carbon dioxide concentrations increased fourfold</t>
  </si>
  <si>
    <t>AerChemMIP,CFMIP,HighResMIP,VIACSAB</t>
  </si>
  <si>
    <t>rlutcs4co2</t>
  </si>
  <si>
    <t>TOA Outgoing Clear-Sky Longwave Radiation 4XCO2 Atmosphere</t>
  </si>
  <si>
    <t>Top-of-atmosphere outgoing clear-sky longwave radiation calculated using carbon dioxide concentrations increased fourfold</t>
  </si>
  <si>
    <t>rsd4co2</t>
  </si>
  <si>
    <t>Downwelling Shortwave Radiation 4XCO2 Atmosphere</t>
  </si>
  <si>
    <t>Downwelling shortwave radiation calculated using carbon dioxide concentrations increased fourfold</t>
  </si>
  <si>
    <t>rsdcs4co2</t>
  </si>
  <si>
    <t>Downwelling Clear-Sky Shortwave Radiation 4XCO2 Atmosphere</t>
  </si>
  <si>
    <t>Downwelling clear-sky shortwave radiation calculated using carbon dioxide concentrations increased fourfold</t>
  </si>
  <si>
    <t>rsu4co2</t>
  </si>
  <si>
    <t>Upwelling Shortwave Radiation 4XCO2 Atmosphere</t>
  </si>
  <si>
    <t>Upwelling Shortwave Radiation calculated using carbon dioxide concentrations increased fourfold</t>
  </si>
  <si>
    <t>rsucs4co2</t>
  </si>
  <si>
    <t>Upwelling Clear-Sky Shortwave Radiation 4XCO2 Atmosphere</t>
  </si>
  <si>
    <t>Upwelling clear-sky shortwave radiation calculated using carbon dioxide concentrations increased fourfold</t>
  </si>
  <si>
    <t>rsut4co2</t>
  </si>
  <si>
    <t>TOA Outgoing Shortwave Radiation in 4XCO2 Atmosphere</t>
  </si>
  <si>
    <t>TOA Outgoing Shortwave Radiation calculated using carbon dioxide concentrations increased fourfold</t>
  </si>
  <si>
    <t>rsutcs4co2</t>
  </si>
  <si>
    <t>TOA Outgoing Clear-Sky Shortwave Radiation 4XCO2 Atmosphere</t>
  </si>
  <si>
    <t>TOA Outgoing Clear-Sky Shortwave Radiation calculated using carbon dioxide concentrations increased fourfold</t>
  </si>
  <si>
    <t>smc</t>
  </si>
  <si>
    <t>Shallow Convective Mass Flux</t>
  </si>
  <si>
    <t>The net mass flux represents the difference between the updraft and downdraft components.  For models with a distinct shallow convection scheme, this is calculated as convective mass flux divided by the area of the whole grid cell (not just the area of the cloud).</t>
  </si>
  <si>
    <t>Omon</t>
  </si>
  <si>
    <t>AerChemMIP,C4MIP,CMIP,GMMIP,GeoMIP,HighResMIP,LS3MIP,OMIP</t>
  </si>
  <si>
    <t>aragos</t>
  </si>
  <si>
    <t>Surface Aragonite Concentration</t>
  </si>
  <si>
    <t>sum of particulate aragonite components (e.g. Phytoplankton, Detrital, etc.)</t>
  </si>
  <si>
    <t>baccos</t>
  </si>
  <si>
    <t>Surface Bacterial Carbon Concentration</t>
  </si>
  <si>
    <t>AerChemMIP,C4MIP,GMMIP,GeoMIP,OMIP</t>
  </si>
  <si>
    <t>chlcalcos</t>
  </si>
  <si>
    <t>Surface Mass Concentration of Calcareous Phytoplankton Expressed as Chlorophyll in Sea Water</t>
  </si>
  <si>
    <t>AerChemMIP,C4MIP,CMIP,GMMIP,GeoMIP,HighResMIP,LS3MIP,OMIP,VIACSAB</t>
  </si>
  <si>
    <t>chldiazos</t>
  </si>
  <si>
    <t>Surface Mass Concentration of Diazotrophs Expressed as Chlorophyll in Sea Water</t>
  </si>
  <si>
    <t>chlorophyll concentration from the diazotrophic phytoplankton component alone</t>
  </si>
  <si>
    <t>chlpicoos</t>
  </si>
  <si>
    <t>Surface Mass Concentration of Picophytoplankton Expressed as Chlorophyll in Sea Water</t>
  </si>
  <si>
    <t>co3abioos</t>
  </si>
  <si>
    <t>Surface Abiotic Carbonate Ion Concentration</t>
  </si>
  <si>
    <t xml:space="preserve">Near surface mole concentration (number of moles per unit volume: molarity) of the abiotic-analogue carbonate anion (CO3). An abiotic analogue is used to simulate the effect on a modelled variable when biological effects on ocean carbon concentration and alkalinity are ignored. </t>
  </si>
  <si>
    <t>co3natos</t>
  </si>
  <si>
    <t>Surface Natural Carbonate Ion Concentration</t>
  </si>
  <si>
    <t xml:space="preserve">Near surface mole concentration (number of moles per unit volume: molarity) of the natural-analogue carbonate anion (CO3). A natural analogue is used to simulate the effect on a modelled variable of imposing preindustrial atmospheric carbon dioxide concentrations, even when the model as a whole may be subjected to varying forcings. </t>
  </si>
  <si>
    <t>co3sataragos</t>
  </si>
  <si>
    <t>Surface Mole Concentration of Carbonate Ion in Equilibrium with Pure Aragonite in Sea Water</t>
  </si>
  <si>
    <t>Near surface mole concentration (number of moles per unit volume: molarity) of the carbonate anion (CO3) for sea water in equilibrium with pure Aragonite. Aragonite  (CaCO3) is a mineral that is a polymorph of calcium carbonate.</t>
  </si>
  <si>
    <t>AerChemMIP,C4MIP,CMIP,GMMIP,GeoMIP,LUMIP,OMIP,PMIP</t>
  </si>
  <si>
    <t>dissi13cos</t>
  </si>
  <si>
    <t>Surface Dissolved Inorganic Carbon-13 Concentration</t>
  </si>
  <si>
    <t>Near surface dissolved inorganic carbon-13 (CO3+HCO3+H2CO3) concentration</t>
  </si>
  <si>
    <t>AerChemMIP,C4MIP,CMIP,GMMIP,GeoMIP,HighResMIP,LS3MIP,OMIP,PMIP</t>
  </si>
  <si>
    <t>AerChemMIP,C4MIP,DAMIP,GMMIP,GeoMIP,OMIP</t>
  </si>
  <si>
    <t>dissi14cabioos</t>
  </si>
  <si>
    <t>Surface Abiotic Dissolved Inorganic Carbon-14 Concentration</t>
  </si>
  <si>
    <t>AerChemMIP,C4MIP,CMIP,DAMIP,GMMIP,GeoMIP,OMIP</t>
  </si>
  <si>
    <t>dissicabioos</t>
  </si>
  <si>
    <t>Surface Abiotic Dissolved Inorganic Carbon Concentration</t>
  </si>
  <si>
    <t>AerChemMIP,C4MIP,CMIP,GMMIP,GeoMIP,HighResMIP,LS3MIP,LUMIP,OMIP</t>
  </si>
  <si>
    <t>dmsos</t>
  </si>
  <si>
    <t>Surface Mole Concentration of Dimethyl Sulphide in Sea Water</t>
  </si>
  <si>
    <t>Mole concentration of dimethyl sulphide in water in the near surface layer</t>
  </si>
  <si>
    <t>dpco2abio</t>
  </si>
  <si>
    <t>longitude latitude time depth0m</t>
  </si>
  <si>
    <t>Abiotic Delta Pco Partial Pressure</t>
  </si>
  <si>
    <t>Difference in partial pressure of abiotic-analogue carbon dioxide between sea water and air.  The partial pressure of a dissolved gas in sea water is the partial pressure in air with which it would be in equilibrium. An abiotic analogue is used to simulate the effect on a modelled variable when biological effects on ocean carbon concentration and alkalinity are ignored.</t>
  </si>
  <si>
    <t>dpco2nat</t>
  </si>
  <si>
    <t xml:space="preserve">Natural Delta CO2 Partial Pressure </t>
  </si>
  <si>
    <t xml:space="preserve">Difference in partial pressure of natural-analogue carbon dioxide between sea water and air.  The partial pressure of a dissolved gas in sea water is the partial pressure in air with which it would be in equilibrium.  A natural analogue is used to simulate the effect on a modelled variable of imposing preindustrial atmospheric carbon dioxide concentrations, even when the model as a whole may be subjected to varying forcings. </t>
  </si>
  <si>
    <t>eparag100</t>
  </si>
  <si>
    <t>longitude latitude time depth100m</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</si>
  <si>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</si>
  <si>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AerChemMIP,C4MIP,CMIP,DAMIP,GMMIP,GeoMIP,HighResMIP,LS3MIP,OMIP,VIACSAB</t>
  </si>
  <si>
    <t>epn100</t>
  </si>
  <si>
    <t>Downward Flux of Particulate Nitrogen</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</si>
  <si>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</si>
  <si>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epp100</t>
  </si>
  <si>
    <t>Downward Flux of Particulate Phosphorus</t>
  </si>
  <si>
    <t>fddtalk</t>
  </si>
  <si>
    <t>longitude latitude time olayer100m</t>
  </si>
  <si>
    <t>Rate of Change of Total Alkalinity</t>
  </si>
  <si>
    <t>vertical integral of net time rate of change of alkalinity</t>
  </si>
  <si>
    <t>fddtdic</t>
  </si>
  <si>
    <t>Rate of Change of Net Dissolved Inorganic Carbon</t>
  </si>
  <si>
    <t>'Content'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</si>
  <si>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fddtdife</t>
  </si>
  <si>
    <t>Rate of Change of Net Dissolved Inorganic Iron</t>
  </si>
  <si>
    <t>vertical integral of net time rate of change of dissolved inorganic iron</t>
  </si>
  <si>
    <t>fddtdin</t>
  </si>
  <si>
    <t>Rate of Change of Net Dissolved Inorganic Nitrogen</t>
  </si>
  <si>
    <t>Net time rate of change of nitrogen nutrients (e.g. NO3+NH4)</t>
  </si>
  <si>
    <t>fddtdip</t>
  </si>
  <si>
    <t>Rate of Change of Net Dissolved Inorganic Phosphorus</t>
  </si>
  <si>
    <t>vertical integral of net  time rate of change of phosphate</t>
  </si>
  <si>
    <t>fddtdisi</t>
  </si>
  <si>
    <t>Rate of Change of Net Dissolved Inorganic Silicon</t>
  </si>
  <si>
    <t>vertical integral of net time rate of change of dissolved inorganic silicate</t>
  </si>
  <si>
    <t>AerChemMIP,C4MIP,CMIP,GMMIP,GeoMIP,HighResMIP,LS3MIP,LUMIP,OMIP,PMIP</t>
  </si>
  <si>
    <t>fgdms</t>
  </si>
  <si>
    <t>Surface Upward Flux of DMS</t>
  </si>
  <si>
    <t>Gas exchange flux of DMS (positive into atmosphere)</t>
  </si>
  <si>
    <t>ficeberg</t>
  </si>
  <si>
    <t>Water Flux into Sea Water from Icebergs</t>
  </si>
  <si>
    <t>computed as the iceberg melt water  flux into the ocean divided by the area of the ocean portion of the grid cell.</t>
  </si>
  <si>
    <t>AerChemMIP,C4MIP,CMIP,GMMIP,GeoMIP,HighResMIP,ISMIP6,LS3MIP,OMIP,VolMIP</t>
  </si>
  <si>
    <t>frfe</t>
  </si>
  <si>
    <t>Iron Loss to Sediments</t>
  </si>
  <si>
    <t>'Content'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</si>
  <si>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hfbasinpadv</t>
  </si>
  <si>
    <t>latitude basin time</t>
  </si>
  <si>
    <t>Northward Ocean Heat Transport Due to Parameterized Eddy Advection</t>
  </si>
  <si>
    <t>W</t>
  </si>
  <si>
    <t>Contributions to heat transport from parameterized eddy-induced advective transport due to any subgrid advective process. Diagnosed here as a function of latitude and basin.  Use Celsius for temperature scale.</t>
  </si>
  <si>
    <t>AerChemMIP,C4MIP,CMIP,DAMIP,GMMIP,GeoMIP,HighResMIP,LS3MIP,OMIP</t>
  </si>
  <si>
    <t>hfbasinpmdiff</t>
  </si>
  <si>
    <t>Northward Ocean Heat Transport Due to Parameterized Mesoscale Diffusion</t>
  </si>
  <si>
    <t>Contributions to heat transport from parameterized mesoscale eddy-induced diffusive transport (i.e., neutral diffusion). Diagnosed here as a function of latitude and basin.</t>
  </si>
  <si>
    <t>hfbasinpsmadv</t>
  </si>
  <si>
    <t>Northward Ocean Heat Transport Due to Parameterized Submesoscale Advection</t>
  </si>
  <si>
    <t>Contributions to heat transport from parameterized mesoscale eddy-induced advective transport. Diagnosed here as a function of latitude and basin.  Use Celsius for temperature scale.</t>
  </si>
  <si>
    <t>hfibthermds</t>
  </si>
  <si>
    <t>Heat Flux into Sea Water Due to Iceberg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</si>
  <si>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</si>
  <si>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AerChemMIP,C4MIP,CMIP,GMMIP,GeoMIP,HighResMIP,LS3MIP,OMIP,VolMIP</t>
  </si>
  <si>
    <t>hfrunoffds</t>
  </si>
  <si>
    <t>Temperature Flux Due to Runoff Expressed as Heat Flux into Sea Water</t>
  </si>
  <si>
    <t xml:space="preserve">Heat flux associated with liquid water which drains from land. It is calculated relative to the heat that would be transported by runoff water entering the sea at zero degrees Celsius. </t>
  </si>
  <si>
    <t>hfsifrazil</t>
  </si>
  <si>
    <t>Heat Flux into Sea Water Due to Frazil Ice Formation</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</si>
  <si>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</si>
  <si>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AerChemMIP,C4MIP,CMIP,DAMIP,GMMIP,GeoMIP,HighResMIP,LS3MIP,OMIP,VolMIP</t>
  </si>
  <si>
    <t>hfsifrazil2d</t>
  </si>
  <si>
    <t>hfsnthermds</t>
  </si>
  <si>
    <t>Heat Flux into Sea Water Due to Snow Thermodynamics</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</si>
  <si>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</si>
  <si>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icfriver</t>
  </si>
  <si>
    <t>Flux of Inorganic Carbon into Ocean Surface by Runoff</t>
  </si>
  <si>
    <t>Inorganic Carbon supply to ocean through runoff (separate from gas exchange)</t>
  </si>
  <si>
    <t>AerChemMIP,C4MIP,CDRMIP,CMIP,GMMIP,GeoMIP,HighResMIP,LS3MIP,OMIP</t>
  </si>
  <si>
    <t>intparag</t>
  </si>
  <si>
    <t>Vertically integrated aragonite production</t>
  </si>
  <si>
    <t>intpbn</t>
  </si>
  <si>
    <t>Nitrogen Production</t>
  </si>
  <si>
    <t>Vertically integrated biogenic nitrogen production</t>
  </si>
  <si>
    <t>intpbp</t>
  </si>
  <si>
    <t>Phosphorus Production</t>
  </si>
  <si>
    <t>Vertically integrated biogenic phosphorus production</t>
  </si>
  <si>
    <t>intpoc</t>
  </si>
  <si>
    <t>Particulate Organic Carbon Content</t>
  </si>
  <si>
    <t>Vertically integrated POC</t>
  </si>
  <si>
    <t>intppdiaz</t>
  </si>
  <si>
    <t>Vertically integrated primary (organic carbon) production by the diazotrophs alone</t>
  </si>
  <si>
    <t>intpppico</t>
  </si>
  <si>
    <t>Vertically integrated primary (organic carbon) production by the picophytoplankton component alone</t>
  </si>
  <si>
    <t>limfecalc</t>
  </si>
  <si>
    <t>Iron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</si>
  <si>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</si>
  <si>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limfediaz</t>
  </si>
  <si>
    <t>Iron Limitation of Diazotrophs</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</si>
  <si>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</si>
  <si>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limfepico</t>
  </si>
  <si>
    <t>Iron Limitation of Picophytoplankton</t>
  </si>
  <si>
    <t>Picophytoplankton are phytoplankton of less than 2 micrometers in size.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</si>
  <si>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limirrcalc</t>
  </si>
  <si>
    <t>Irradiance Limitation of Calcareous Phytoplankton</t>
  </si>
  <si>
    <t>Growth limitation of calcareous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</si>
  <si>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limirrdiaz</t>
  </si>
  <si>
    <t>Irradiance Limitation of Diazotrophs</t>
  </si>
  <si>
    <t>Growth limitation of diazotrophs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</si>
  <si>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limirrpico</t>
  </si>
  <si>
    <t>Irradiance Limitation of Picophytoplankton</t>
  </si>
  <si>
    <t>Growth limitation of picophytoplankton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</si>
  <si>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limncalc</t>
  </si>
  <si>
    <t>Nitrogen Limitation of Calcareous Phytoplankton</t>
  </si>
  <si>
    <t>'Calcareous phytoplankton' are phytoplankton that produce calcite. Calcite is a mineral that is a polymorph of calcium carbonate. The chemical formula of calcite is CaCO3.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</si>
  <si>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limndiat</t>
  </si>
  <si>
    <t>Nitrogen Limitation of Diatoms</t>
  </si>
  <si>
    <t>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</si>
  <si>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limnpico</t>
  </si>
  <si>
    <t>Nitrogen Limitation of Picophytoplankton</t>
  </si>
  <si>
    <t>Picophytoplankton are phytoplankton of less than 2 micrometers in size.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</si>
  <si>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msftmrho</t>
  </si>
  <si>
    <t>latitude rho basin time</t>
  </si>
  <si>
    <t>Ocean Meridional Overturning Mass Streamfunction</t>
  </si>
  <si>
    <t>Overturning mass streamfunction arising from all advective mass transport processes, resolved and parameterized.</t>
  </si>
  <si>
    <t>msftmrhompa</t>
  </si>
  <si>
    <t>Ocean Meridional Overturning Mass Streamfunction Due to Parameterized Mesoscale Advection</t>
  </si>
  <si>
    <t>CMIP5 called this 'due to Bolus Advection'.  Name change respects the more general physics of the mesoscale parameterizations.</t>
  </si>
  <si>
    <t>msftmz</t>
  </si>
  <si>
    <t>latitude olevel basin time</t>
  </si>
  <si>
    <t>AerChemMIP,C4MIP,CMIP,DAMIP,DCPP,GMMIP,GeoMIP,HighResMIP,LS3MIP,OMIP,PAMIP,VolMIP</t>
  </si>
  <si>
    <t>msftmzmpa</t>
  </si>
  <si>
    <t>AerChemMIP,C4MIP,CMIP,DAMIP,DCPP,GMMIP,GeoMIP,HighResMIP,LS3MIP,OMIP,PAMIP</t>
  </si>
  <si>
    <t>msftmzsmpa</t>
  </si>
  <si>
    <t>Ocean Meridional Overturning Mass Streamfunction Due to Parameterized Submesoscale Advection</t>
  </si>
  <si>
    <t>Report only if there is a submesoscale eddy parameterization.</t>
  </si>
  <si>
    <t>msftyrho</t>
  </si>
  <si>
    <t>gridlatitude rho basin time</t>
  </si>
  <si>
    <t>Ocean Y Overturning Mass Streamfunction</t>
  </si>
  <si>
    <t>msftyrhompa</t>
  </si>
  <si>
    <t>Ocean Y Overturning Mass Streamfunction Due to Parameterized Mesoscale Advection</t>
  </si>
  <si>
    <t>msftyzmpa</t>
  </si>
  <si>
    <t>gridlatitude olevel basin time</t>
  </si>
  <si>
    <t>msftyzsmpa</t>
  </si>
  <si>
    <t>Ocean Y Overturning Mass Streamfunction Due to Parameterized Submesoscale Advection</t>
  </si>
  <si>
    <t>o2satos</t>
  </si>
  <si>
    <t>Surface Dissolved Oxygen Concentration at Saturation</t>
  </si>
  <si>
    <t>ocfriver</t>
  </si>
  <si>
    <t>Flux of Organic Carbon into Ocean Surface by Runoff</t>
  </si>
  <si>
    <t>Organic Carbon supply to ocean through runoff (separate from gas exchange)</t>
  </si>
  <si>
    <t>phabioos</t>
  </si>
  <si>
    <t>Surface Abiotic pH</t>
  </si>
  <si>
    <t>phnatos</t>
  </si>
  <si>
    <t>Surface Natural pH</t>
  </si>
  <si>
    <t>phycalcos</t>
  </si>
  <si>
    <t>Surface Mole Concentration of Calcareous Phytoplankton Expressed as Carbon in Sea Water</t>
  </si>
  <si>
    <t>phydiazos</t>
  </si>
  <si>
    <t>Surface Mole Concentration of Diazotrophs Expressed as Carbon in Sea Water</t>
  </si>
  <si>
    <t>phynos</t>
  </si>
  <si>
    <t>Surface Mole Concentration of Phytoplankton Nitrogen in Sea Water</t>
  </si>
  <si>
    <t>phypicoos</t>
  </si>
  <si>
    <t>Surface Mole Concentration of Picophytoplankton Expressed as Carbon in Sea Water</t>
  </si>
  <si>
    <t>phypos</t>
  </si>
  <si>
    <t>Surface Mole Concentration of Total Phytoplankton Expressed as Phosphorus in Sea Water</t>
  </si>
  <si>
    <t>ponos</t>
  </si>
  <si>
    <t>Surface Mole Concentration of Particulate Organic Matter Expressed as Nitrogen in Sea Water</t>
  </si>
  <si>
    <t>popos</t>
  </si>
  <si>
    <t>Surface Mole Concentration of Particulate Organic Matter Expressed as Phosphorus in Sea Water</t>
  </si>
  <si>
    <t>sfriver</t>
  </si>
  <si>
    <t>Salt Flux into Sea Water from Rivers</t>
  </si>
  <si>
    <t>This field is physical, and it arises when rivers carry a nonzero salt content.  Often this is zero, with rivers assumed to be fresh.</t>
  </si>
  <si>
    <t>spco2abio</t>
  </si>
  <si>
    <t>Abiotic Surface Aqueous Partial Pressure of CO2</t>
  </si>
  <si>
    <t>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</si>
  <si>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spco2nat</t>
  </si>
  <si>
    <t>Natural Surface Aqueous Partial Pressure of CO2</t>
  </si>
  <si>
    <t>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</si>
  <si>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tauucorr</t>
  </si>
  <si>
    <t>Surface Downward X Stress Correction</t>
  </si>
  <si>
    <t>N m-2</t>
  </si>
  <si>
    <t>This is the stress on the liquid ocean from overlying atmosphere, sea ice, ice shelf, etc.</t>
  </si>
  <si>
    <t>tauvcorr</t>
  </si>
  <si>
    <t>Surface Downward Y Stress Correction</t>
  </si>
  <si>
    <t>CMIP,HighResMIP,LS3MIP</t>
  </si>
  <si>
    <t>vsf</t>
  </si>
  <si>
    <t>Virtual Salt Flux into Sea Water</t>
  </si>
  <si>
    <t>It is set to zero in models which receive a real water flux.</t>
  </si>
  <si>
    <t>AerChemMIP,C4MIP,CMIP,DCPP,GMMIP,GeoMIP,HighResMIP,LS3MIP,OMIP,PAMIP,VIACSAB</t>
  </si>
  <si>
    <t>vsfcorr</t>
  </si>
  <si>
    <t>Virtual Salt Flux Correction</t>
  </si>
  <si>
    <t>vsfevap</t>
  </si>
  <si>
    <t>Virtual Salt Flux into Sea Water Due to Evaporation</t>
  </si>
  <si>
    <t>zero for models using real water fluxes.</t>
  </si>
  <si>
    <t>vsfpr</t>
  </si>
  <si>
    <t>Virtual Salt Flux into Sea Water Due to Rainfall</t>
  </si>
  <si>
    <t>vsfriver</t>
  </si>
  <si>
    <t>Virtual Salt Flux into Sea Water from Rivers</t>
  </si>
  <si>
    <t>vsfsit</t>
  </si>
  <si>
    <t>Virtual Salt Flux into Sea Water Due to Sea Ice Thermodynamics</t>
  </si>
  <si>
    <t>This variable measures the virtual salt flux into sea water due to the melting of sea ice. It is set to zero in models which receive a real water flux.</t>
  </si>
  <si>
    <t>AerChemMIP,C4MIP,CFMIP,CMIP,DAMIP,GMMIP,GeoMIP,HighResMIP,LS3MIP,OMIP,VIACSAB</t>
  </si>
  <si>
    <t>zmiscos</t>
  </si>
  <si>
    <t>Surface Mole Concentration of Other Zooplankton Expressed as Carbon in Sea Water</t>
  </si>
  <si>
    <t>zsatarag</t>
  </si>
  <si>
    <t>Aragonite Saturation Depth</t>
  </si>
  <si>
    <t>Depth of aragonite saturation horizon (0 if undersaturated at all depths, 'missing' if supersaturated at all depths; if multiple horizons exist, the shallowest should be taken).</t>
  </si>
  <si>
    <t>AerChemMIP,C4MIP,CDRMIP,CMIP,GMMIP,GeoMIP,HighResMIP,LS3MIP,OMIP,VIACSAB</t>
  </si>
  <si>
    <t>zsatcalc</t>
  </si>
  <si>
    <t>Calcite Saturation Depth</t>
  </si>
  <si>
    <t>Depth of calcite saturation horizon (0 if undersaturated at all depths, and missing saturated through whole depth; if two or more horizons exist, then the shallowest is reported)</t>
  </si>
  <si>
    <t>IfxGre</t>
  </si>
  <si>
    <t>xgre ygre</t>
  </si>
  <si>
    <t>EmonZ</t>
  </si>
  <si>
    <t>DAMIP,DCPP,DynVarMIP,HighResMIP,PAMIP,VolMIP</t>
  </si>
  <si>
    <t>jo2</t>
  </si>
  <si>
    <t>Photolysis Rate of Diatomic Molecular Oxygen</t>
  </si>
  <si>
    <t>Rate of photolysis of molecular oxygen to atomic oxygen (o2 -&gt; o1d+o)</t>
  </si>
  <si>
    <t>DAMIP</t>
  </si>
  <si>
    <t>jo3</t>
  </si>
  <si>
    <t>Photolysis Rate of Ozone (O3)</t>
  </si>
  <si>
    <t>Sum of photolysis rates o3 -&gt; o1d+o2 and o3 -&gt; o+o2</t>
  </si>
  <si>
    <t>oxloss</t>
  </si>
  <si>
    <t>Total Odd Oxygen (Ox) Loss Rate</t>
  </si>
  <si>
    <t>total chemical loss rate for o+o1d+o3</t>
  </si>
  <si>
    <t>oxprod</t>
  </si>
  <si>
    <t>Total Odd Oxygen (Ox) Production Rate</t>
  </si>
  <si>
    <t>total production rate of o+o1d+o3 including o2 photolysis and all o3 producing reactions</t>
  </si>
  <si>
    <t>vmrox</t>
  </si>
  <si>
    <t>Mole Fraction of Odd Oxygen (O, O3 and O1D)</t>
  </si>
  <si>
    <t>mol mol-1</t>
  </si>
  <si>
    <t>Mole Fraction of Ox</t>
  </si>
  <si>
    <t>xgwdparam</t>
  </si>
  <si>
    <t>Eastward Gravity Wave Drag</t>
  </si>
  <si>
    <t>Parameterised x-component of gravity wave drag</t>
  </si>
  <si>
    <t>ygwdparam</t>
  </si>
  <si>
    <t>Northward Gravity Wave Drag</t>
  </si>
  <si>
    <t>Parameterised y- component of gravity wave drag</t>
  </si>
  <si>
    <t>zmtnt</t>
  </si>
  <si>
    <t>Zonal Mean Diabatic Heating Rates</t>
  </si>
  <si>
    <t>The diabatic heating rates due to all the processes that may change potential temperature</t>
  </si>
  <si>
    <t>Amon</t>
  </si>
  <si>
    <t>AerChemMIP,C4MIP,CFMIP,CMIP,DAMIP,FAFMIP,GMMIP,GeoMIP,HighResMIP,LS3MIP,LUMIP,RFMIP,VolMIP</t>
  </si>
  <si>
    <t>cfc113global</t>
  </si>
  <si>
    <t>time</t>
  </si>
  <si>
    <t>Global Mean Mole Fraction of CFC113</t>
  </si>
  <si>
    <t>1e-12</t>
  </si>
  <si>
    <t>Mole fraction is used in the construction mole_fraction_of_X_in_Y, where X is a material constituent of Y.  The chemical formula of CFC113 is CCl2FCClF2.  The IUPAC name for CFC113 is 1,1,2-trichloro-1,2,2-trifluoro-ethane.</t>
  </si>
  <si>
    <t>AerChemMIP,C4MIP,CFMIP,CMIP,FAFMIP,GMMIP,GeoMIP,HighResMIP,LS3MIP,LUMIP,RFMIP,VIACSAB,VolMIP</t>
  </si>
  <si>
    <t>cfc11global</t>
  </si>
  <si>
    <t>Global Mean Mole Fraction of CFC11</t>
  </si>
  <si>
    <t>Mole fraction is used in the construction mole_fraction_of_X_in_Y, where X is a material constituent of Y.  The chemical formula of CFC11 is CFCl3.  The IUPAC name for CFC11 is trichloro-fluoro-methane.</t>
  </si>
  <si>
    <t>cfc12global</t>
  </si>
  <si>
    <t>Global Mean Mole Fraction of CFC12</t>
  </si>
  <si>
    <t>Mole fraction is used in the construction mole_fraction_of_X_in_Y, where X is a material constituent of Y.  The chemical formula of CFC12 is CF2Cl2.  The IUPAC name for CFC12 is dichloro-difluoro-methane.</t>
  </si>
  <si>
    <t>AerChemMIP,C4MIP,CFMIP,CMIP,DAMIP,FAFMIP,GMMIP,GeoMIP,HighResMIP,ISMIP6,LS3MIP,LUMIP,PMIP,RFMIP,VIACSAB,VolMIP</t>
  </si>
  <si>
    <t>co2</t>
  </si>
  <si>
    <t>longitude latitude plev19 time</t>
  </si>
  <si>
    <t>Mole Fraction of CO2</t>
  </si>
  <si>
    <t>Mole fraction is used in the construction mole_fraction_of_X_in_Y, where X is a material constituent of Y.</t>
  </si>
  <si>
    <t>AerChemMIP,C4MIP,CFMIP,CMIP,DAMIP,FAFMIP,GMMIP,GeoMIP,HighResMIP,LS3MIP,LUMIP,PMIP,RFMIP,VolMIP</t>
  </si>
  <si>
    <t>co2Clim</t>
  </si>
  <si>
    <t>longitude latitude plev19 time2</t>
  </si>
  <si>
    <t>co2mass</t>
  </si>
  <si>
    <t>Total Atmospheric Mass of CO2</t>
  </si>
  <si>
    <t>kg</t>
  </si>
  <si>
    <t>Total atmospheric mass of Carbon Dioxide</t>
  </si>
  <si>
    <t>AerChemMIP,C4MIP,CDRMIP,CFMIP,CMIP,DAMIP,FAFMIP,GMMIP,GeoMIP,HighResMIP,LS3MIP,LUMIP,PMIP,RFMIP,VolMIP</t>
  </si>
  <si>
    <t>co2massClim</t>
  </si>
  <si>
    <t>time2</t>
  </si>
  <si>
    <t>AerChemMIP,C4MIP,CMIP,DAMIP,FAFMIP,GMMIP,GeoMIP,HighResMIP,LS3MIP,LUMIP,RFMIP,VIACSAB,VolMIP</t>
  </si>
  <si>
    <t>hcfc22global</t>
  </si>
  <si>
    <t>Global Mean Mole Fraction of HCFC22</t>
  </si>
  <si>
    <t>Mole fraction is used in the construction mole_fraction_of_X_in_Y, where X is a material constituent of Y.  A chemical species denoted by X may be described by a single term such as 'nitrogen' or a phrase such as 'nox_expressed_as_nitrogen'. The chemical formula for HCFC22 is CHClF2.  The IUPAC name for HCFC22 is chloro-difluoro-methane.</t>
  </si>
  <si>
    <t>AerChemMIP,C4MIP,CFMIP,CMIP,DAMIP,FAFMIP,GMMIP,GeoMIP,HighResMIP,LS3MIP,LUMIP,RFMIP,VIACSAB,VolMIP</t>
  </si>
  <si>
    <t>n2o</t>
  </si>
  <si>
    <t>Mole Fraction of N2O</t>
  </si>
  <si>
    <t>Mole fraction is used in the construction mole_fraction_of_X_in_Y, where X is a material constituent of Y.   The chemical formula of  nitrous oxide is N2O.</t>
  </si>
  <si>
    <t>n2oClim</t>
  </si>
  <si>
    <t>n2oglobal</t>
  </si>
  <si>
    <t>Global Mean Mole Fraction of N2O</t>
  </si>
  <si>
    <t>1e-09</t>
  </si>
  <si>
    <t>Global mean Nitrous Oxide (N2O)</t>
  </si>
  <si>
    <t>n2oglobalClim</t>
  </si>
  <si>
    <t>AerChemMIP,C4MIP,CFMIP,CMIP,DAMIP,FAFMIP,GMMIP,GeoMIP,HighResMIP,ISMIP6,LS3MIP,LUMIP,RFMIP,VIACSAB,VolMIP</t>
  </si>
  <si>
    <t>6hrPlev</t>
  </si>
  <si>
    <t>prhmax</t>
  </si>
  <si>
    <t>Maximum Hourly Precipitation Rate</t>
  </si>
  <si>
    <t>In accordance with common usage in geophysical disciplines, 'flux' implies per unit area, called 'flux density' in physics.</t>
  </si>
  <si>
    <t>DCPP,PAMIP</t>
  </si>
  <si>
    <t>wsgmax100m</t>
  </si>
  <si>
    <t>longitude latitude time height100m</t>
  </si>
  <si>
    <t>Maximum Wind Speed of Gust at 100m</t>
  </si>
  <si>
    <t>Wind speed gust maximum at 100m above surface</t>
  </si>
  <si>
    <t>VIACSAB</t>
  </si>
  <si>
    <t>AERmon</t>
  </si>
  <si>
    <t>aoanh</t>
  </si>
  <si>
    <t>Northern Hemisphere Tracer Lifetime</t>
  </si>
  <si>
    <t>yr</t>
  </si>
  <si>
    <t>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</si>
  <si>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AerChemMIP,DAMIP</t>
  </si>
  <si>
    <t>c2h2</t>
  </si>
  <si>
    <t>C2H2 Volume Mixing Ratio</t>
  </si>
  <si>
    <t>ccn</t>
  </si>
  <si>
    <t>Cloud Condensation Nuclei Concentration at Liquid Cloud Top</t>
  </si>
  <si>
    <t>m-3</t>
  </si>
  <si>
    <t>proposed name: number_concentration_of_ambient_aerosol_in_air_at_liquid_water_cloud_top</t>
  </si>
  <si>
    <t>AerChemMIP,DAMIP,HighResMIP</t>
  </si>
  <si>
    <t>chepasoa</t>
  </si>
  <si>
    <t>Total Net Production of Anthropogenic Secondary Organic Aerosol</t>
  </si>
  <si>
    <t>anthropogenic part of chepsoa</t>
  </si>
  <si>
    <t>cod</t>
  </si>
  <si>
    <t>Cloud Optical Depth</t>
  </si>
  <si>
    <t>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</si>
  <si>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emiaco</t>
  </si>
  <si>
    <t>Total Emission Rate of Anthropogenic CO</t>
  </si>
  <si>
    <t>Anthropogenic  emission of CO.</t>
  </si>
  <si>
    <t>emianox</t>
  </si>
  <si>
    <t>Total Emission Rate of Anthropogenic NOx</t>
  </si>
  <si>
    <t>Store flux as Nitrogen. Anthropogenic fraction. NOx=NO+NO2, Includes agricultural waste burning but no other biomass burning. Integrate 3D emission field vertically to 2d field.</t>
  </si>
  <si>
    <t>emiaoa</t>
  </si>
  <si>
    <t>Total Emission Rate of Anthropogenic Organic Aerosol</t>
  </si>
  <si>
    <t>anthropogenic part of emioa</t>
  </si>
  <si>
    <t>h2o</t>
  </si>
  <si>
    <t>Mass Fraction of Water</t>
  </si>
  <si>
    <t>includes all phases of water</t>
  </si>
  <si>
    <t>hcl</t>
  </si>
  <si>
    <t>HCl Volume Mixing Ratio</t>
  </si>
  <si>
    <t>Mole fraction is used in the construction mole_fraction_of_X_in_Y, where X is a material constituent of Y.  The chemical formula of hydrogen chloride is HCl.</t>
  </si>
  <si>
    <t>lossn2o</t>
  </si>
  <si>
    <t>Monthly Loss of Atmospheric Nitrous Oxide</t>
  </si>
  <si>
    <t>monthly averaged atmospheric loss</t>
  </si>
  <si>
    <t>nh50</t>
  </si>
  <si>
    <t>Artificial Tracer with 50 Day Lifetime</t>
  </si>
  <si>
    <t>Fixed surface layer mixing ratio over 30o-50oN (100ppbv), uniform fixed 50-day exponential decay.</t>
  </si>
  <si>
    <t>od550bb</t>
  </si>
  <si>
    <t>longitude latitude time lambda550nm</t>
  </si>
  <si>
    <t>Aerosol Optical Depth at 550nm Due to Biomass Burning</t>
  </si>
  <si>
    <t>total organic aerosol AOD due to biomass burning (excluding so4, nitrate BB components)</t>
  </si>
  <si>
    <t>AerChemMIP,DAMIP,HighResMIP,RFMIP</t>
  </si>
  <si>
    <t>od550csaer</t>
  </si>
  <si>
    <t>Ambient Aerosol Optical Thickness at 550nm</t>
  </si>
  <si>
    <t>AOD from the ambient aerosols in clear skies if od550aer is for all-sky (i.e., includes aerosol water).  Does not include AOD from stratospheric aerosols if these are prescribed but includes other possible background aerosol types. Needs a comment attribute 'wavelength: 550nm'</t>
  </si>
  <si>
    <t>photo1d</t>
  </si>
  <si>
    <t>Photolysis Rate of Ozone (O3) to Excited Atomic Oxygen (the Singlet D State, O1D)</t>
  </si>
  <si>
    <t>proposed name: photolysis_rate_of_ozone_to_O1D</t>
  </si>
  <si>
    <t>pod0</t>
  </si>
  <si>
    <t>Phytotoxic Ozone Dose</t>
  </si>
  <si>
    <t>mol m-2</t>
  </si>
  <si>
    <t>Accumulated stomatal ozone flux over the threshold of 0 mol m-2 s-1; Computation: Time Integral of (hourly above canopy ozone concentration * stomatal conductance * Rc/(Rb+Rc) )</t>
  </si>
  <si>
    <t>reffclwtop</t>
  </si>
  <si>
    <t>Cloud-Top Effective Droplet Radius</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</si>
  <si>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</si>
  <si>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AerChemMIP,DAMIP,GeoMIP,HighResMIP,VIACSAB</t>
  </si>
  <si>
    <t>rsutcsaf</t>
  </si>
  <si>
    <t>TOA Outgoing Clear-Sky, Aerosol-Free Shortwave Radiation</t>
  </si>
  <si>
    <t>Flux corresponding to rsutcs resulting from aerosol-free call to radiation, following Ghan (ACP, 2013)</t>
  </si>
  <si>
    <t>AerChemMIP,DAMIP,GeoMIP,HighResMIP</t>
  </si>
  <si>
    <t>ttop</t>
  </si>
  <si>
    <t>Air Temperature at Cloud Top</t>
  </si>
  <si>
    <t>cloud_top refers to the top of the highest cloud. Air temperature is the bulk temperature of the air, not the surface (skin) temperature.</t>
  </si>
  <si>
    <t>E3hrPt</t>
  </si>
  <si>
    <t>aerasymbnd</t>
  </si>
  <si>
    <t>longitude latitude alevel spectband time1</t>
  </si>
  <si>
    <t>Aerosol Level Asymmetry Parameter for Each Band</t>
  </si>
  <si>
    <t>The asymmetry factor is the angular integral of the aerosol scattering phase function weighted by the cosine of the angle with the incident radiation flux. The asymmetry coefficient is here an integral over all wavelength bands.</t>
  </si>
  <si>
    <t>RFMIP</t>
  </si>
  <si>
    <t>aeroptbnd</t>
  </si>
  <si>
    <t>Aerosol Level Absorption Optical Thickness for Each Band</t>
  </si>
  <si>
    <t>Optical thickness of atmospheric aerosols in wavelength bands.</t>
  </si>
  <si>
    <t>aerssabnd</t>
  </si>
  <si>
    <t>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</si>
  <si>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</si>
  <si>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albdiffbnd</t>
  </si>
  <si>
    <t>longitude latitude spectband time1</t>
  </si>
  <si>
    <t>Diffuse Surface Albedo for Each Band</t>
  </si>
  <si>
    <t>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</si>
  <si>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albdirbnd</t>
  </si>
  <si>
    <t>Direct Surface Albedo for Each Band</t>
  </si>
  <si>
    <t>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</si>
  <si>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cfadDbze94</t>
  </si>
  <si>
    <t>longitude latitude alt40 dbze time1</t>
  </si>
  <si>
    <t>CloudSat Radar Reflectivity CFAD</t>
  </si>
  <si>
    <t>CFAD (Cloud Frequency Altitude Diagrams) are frequency distributions of radar  reflectivity (or lidar scattering ratio) as a function of altitude. The variable cfadDbze94 is defined as the simulated relative frequency of occurrence of radar reflectivity in sampling volumes defined by altitude bins. The radar is observing at a frequency of 94GHz.</t>
  </si>
  <si>
    <t>CFMIP</t>
  </si>
  <si>
    <t>cfadLidarsr532</t>
  </si>
  <si>
    <t>longitude latitude alt40 scatratio time1</t>
  </si>
  <si>
    <t>CALIPSO Scattering Ratio CFAD</t>
  </si>
  <si>
    <t>CFAD (Cloud Frequency Altitude Diagrams) are frequency distributions of radar  reflectivity (or lidar scattering ratio) as a function of altitude. The variable cfadLidarsr532 is defined as the simulated relative frequency of lidar scattering ratio in sampling volumes defined by altitude bins. The lidar is observing at a wavelength of 532nm.</t>
  </si>
  <si>
    <t>longitude latitude alt40 time1</t>
  </si>
  <si>
    <t>clcalipso2</t>
  </si>
  <si>
    <t>CALIPSO Cloud Cover Percentage Undetected by CloudSat (as Percentage of Area Covered)</t>
  </si>
  <si>
    <t>Clouds detected by CALIPSO but below the detectability threshold of CloudSat</t>
  </si>
  <si>
    <t>longitude latitude plev7c tau time1</t>
  </si>
  <si>
    <t>clmisr</t>
  </si>
  <si>
    <t>longitude latitude alt16 tau time1</t>
  </si>
  <si>
    <t>Percentage Cloud Cover as Calculated by the MISR Simulator (Including Error Flag)</t>
  </si>
  <si>
    <t>Cloud percentage in spectral bands and layers as observed by the Multi-angle Imaging SpectroRadiometer (MISR) instrument. The first layer in each profile is reserved for a retrieval error flag.</t>
  </si>
  <si>
    <t>longitude latitude alevel time1</t>
  </si>
  <si>
    <t>jpdftaureicemodis</t>
  </si>
  <si>
    <t>longitude latitude effectRadIc tau time1</t>
  </si>
  <si>
    <t>MODIS Joint Distribution of Optical Thickness and Particle Size, Ice</t>
  </si>
  <si>
    <t>Joint probability distribution function, giving probability of cloud as a function of optical thickness and particle size, as measured by MODIS. For cloud ice particles.</t>
  </si>
  <si>
    <t>jpdftaureliqmodis</t>
  </si>
  <si>
    <t>longitude latitude effectRadLi tau time1</t>
  </si>
  <si>
    <t>MODIS Optical Thickness-Particle Size Joint Distribution, Liquid</t>
  </si>
  <si>
    <t>Joint probability distribution function, giving probability of cloud as a function of optical thickness and particle size, as measured by MODIS. For liquid cloud particles.</t>
  </si>
  <si>
    <t>parasolRefl</t>
  </si>
  <si>
    <t>longitude latitude sza5 time1</t>
  </si>
  <si>
    <t>PARASOL Reflectance</t>
  </si>
  <si>
    <t>Simulated reflectance from PARASOL as seen at the top of the atmosphere for 5 solar zenith angles. Valid only over ocean and for one viewing direction (viewing zenith angle of 30 degrees and relative azimuth angle 320 degrees).</t>
  </si>
  <si>
    <t>longitude latitude alevhalf time1</t>
  </si>
  <si>
    <t>rsdcsaf</t>
  </si>
  <si>
    <t>Downwelling Clear-Sky, Aerosol-Free Shortwave Radiation</t>
  </si>
  <si>
    <t>Calculated in the absence of aerosols and clouds (following Ghan). This requires a double-call in the radiation code with precisely the same meteorology.</t>
  </si>
  <si>
    <t>rsdcsafbnd</t>
  </si>
  <si>
    <t>longitude latitude alevhalf spectband time1</t>
  </si>
  <si>
    <t>Downwelling Clear-Sky, Aerosol-Free, Shortwave Radiation in Bands</t>
  </si>
  <si>
    <t>rsdcsbnd</t>
  </si>
  <si>
    <t>Downwelling Clear-Sky Shortwave Radiation at Each Level for Each Band</t>
  </si>
  <si>
    <t>Calculated with aerosols but without clouds. This is a standard clear-sky calculation</t>
  </si>
  <si>
    <t>rsdscsaf</t>
  </si>
  <si>
    <t>longitude latitude time1</t>
  </si>
  <si>
    <t>Surface Downwelling Clear-Sky, Aerosol-Free Shortwave Radiation</t>
  </si>
  <si>
    <t>Calculated in the absence of aerosols and clouds.</t>
  </si>
  <si>
    <t>rsdscsafbnd</t>
  </si>
  <si>
    <t>Surface Downwelling Clear-Sky, Aerosol-Free Shortwave Radiation in Bands</t>
  </si>
  <si>
    <t>Calculated in the absence of aerosols and clouds, following Ghan (2013, ACP). This requires a double-call in the radiation code with precisely the same meteorology.</t>
  </si>
  <si>
    <t>rsdscsbnd</t>
  </si>
  <si>
    <t>Surface Downwelling Clear-Sky Shortwave Radiation for Each Band</t>
  </si>
  <si>
    <t>rsucsaf</t>
  </si>
  <si>
    <t>Upwelling Clear-Sky, Aerosol-Free Shortwave Radiation</t>
  </si>
  <si>
    <t>rsucsafbnd</t>
  </si>
  <si>
    <t>Upwelling Clear-Sky, Aerosol-Free Shortwave Radiation in Bands</t>
  </si>
  <si>
    <t>rsucsbnd</t>
  </si>
  <si>
    <t>Upwelling Clear-Sky Shortwave Radiation at Each Level for Each Band</t>
  </si>
  <si>
    <t>rsuscsaf</t>
  </si>
  <si>
    <t>Surface Upwelling Clean Clear-Sky Shortwave Radiation</t>
  </si>
  <si>
    <t>Surface Upwelling Clear-sky, Aerosol Free Shortwave Radiation</t>
  </si>
  <si>
    <t>rsuscsafbnd</t>
  </si>
  <si>
    <t>Surface Upwelling Clear-Sky, Aerosol-Free Shortwave Radiation in Bands</t>
  </si>
  <si>
    <t>Calculated in the absence of aerosols and clouds, following Ghan (ACP, 2013). This requires a double-call in the radiation code with precisely the same meteorology.</t>
  </si>
  <si>
    <t>rsuscsbnd</t>
  </si>
  <si>
    <t>Surface Upwelling Clear-Sky Shortwave Radiation for Each Band</t>
  </si>
  <si>
    <t>rsutcsafbnd</t>
  </si>
  <si>
    <t>TOA Outgoing Clear-Sky, Aerosol-Free Shortwave Radiation in Bands</t>
  </si>
  <si>
    <t>rsutcsbnd</t>
  </si>
  <si>
    <t>TOA Outgoing Clear-Sky Shortwave Radiation for Each Band</t>
  </si>
  <si>
    <t>solbnd</t>
  </si>
  <si>
    <t>TOA Solar Irradiance for Each Band</t>
  </si>
  <si>
    <t>Solar irradiance at a horizontal surface at top of atmosphere.</t>
  </si>
  <si>
    <t>sza</t>
  </si>
  <si>
    <t>Solar Zenith Angle</t>
  </si>
  <si>
    <t>degree</t>
  </si>
  <si>
    <t>The angle between the line of sight to the sun and the local vertical</t>
  </si>
  <si>
    <t>wap7h</t>
  </si>
  <si>
    <t>longitude latitude plev7h time1</t>
  </si>
  <si>
    <t>Esubhr</t>
  </si>
  <si>
    <t>reffclic</t>
  </si>
  <si>
    <t>Hydrometeor Effective Radius of Convective Cloud Ice</t>
  </si>
  <si>
    <t>This is defined as the in-cloud ratio of the third moment over the second moment of the particle size distribution (obtained by considering only the cloudy portion of the grid cell).</t>
  </si>
  <si>
    <t>reffclis</t>
  </si>
  <si>
    <t>Hydrometeor Effective Radius of Stratiform Cloud Ice</t>
  </si>
  <si>
    <t>reffclwc</t>
  </si>
  <si>
    <t>Convective Cloud Liquid Droplet Effective Radius</t>
  </si>
  <si>
    <t>Droplets are liquid.  The effective radius is defined as the ratio of the third moment over the second moment of the particle size distribution and the time-mean should be calculated, weighting the individual samples by the cloudy fraction of the grid cell.</t>
  </si>
  <si>
    <t>reffclws</t>
  </si>
  <si>
    <t>Stratiform Cloud Liquid Droplet Effective Radius</t>
  </si>
  <si>
    <t>tnhuspbl</t>
  </si>
  <si>
    <t>Tendency of Specific Humidity Due to Boundary Layer Mixing</t>
  </si>
  <si>
    <t>Includes all boundary layer terms including diffusive terms.</t>
  </si>
  <si>
    <t>tnhusscp</t>
  </si>
  <si>
    <t>Tendency of Specific Humidity Due to Stratiform Clouds and Precipitation</t>
  </si>
  <si>
    <t>The phrase 'tendency_of_X' means derivative of X with respect to time. 'Specific' means per unit mass. Specific humidity is the mass fraction of water vapor in (moist) air. The specification of a physical process by the phrase 'due_to_' process means that the quantity named is a single term in a sum of terms which together compose the general quantity named by omitting the phrase. A variable with the standard name of tendency_of_specific_humidity_due_to_stratiform_cloud_and_precipitation should contain the effects of all processes which convert stratiform clouds and precipitation to or from water vapor. In an atmosphere model, stratiform cloud is that produced by large-scale convergence (not the convection schemes).</t>
  </si>
  <si>
    <t>tntd</t>
  </si>
  <si>
    <t>Tendency of Air Temperature Due to Numerical Diffusion</t>
  </si>
  <si>
    <t>This includes any horizontal or vertical numerical temperature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temperature budget.</t>
  </si>
  <si>
    <t>tntpbl</t>
  </si>
  <si>
    <t>Tendency of Air Temperature Due to Boundary Layer Mixing</t>
  </si>
  <si>
    <t>AERday</t>
  </si>
  <si>
    <t>ua10</t>
  </si>
  <si>
    <t>longitude latitude time p10</t>
  </si>
  <si>
    <t>Eastward Wind at 10hPa</t>
  </si>
  <si>
    <t>Zonal wind on the 10 hPa surface</t>
  </si>
  <si>
    <t>zg10</t>
  </si>
  <si>
    <t>Geopotential Height at 10hPa</t>
  </si>
  <si>
    <t>Geopotential height on the 10hPa surface</t>
  </si>
  <si>
    <t>zg100</t>
  </si>
  <si>
    <t>longitude latitude time p100</t>
  </si>
  <si>
    <t>Geopotential Height at 100hPa</t>
  </si>
  <si>
    <t>Geopotential height on the 100 hPa surface</t>
  </si>
  <si>
    <t>Oclim</t>
  </si>
  <si>
    <t>longitude latitude olevel time2</t>
  </si>
  <si>
    <t>CMIP,FAFMIP,HighResMIP,LUMIP,RFMIP</t>
  </si>
  <si>
    <t>difmxybo2d</t>
  </si>
  <si>
    <t>longitude latitude time2</t>
  </si>
  <si>
    <t>difmxylo2d</t>
  </si>
  <si>
    <t>diftrbbo</t>
  </si>
  <si>
    <t>Ocean Tracer Bolus Biharmonic Diffusivity</t>
  </si>
  <si>
    <t xml:space="preserve">Parameterized mesoscale eddy advection occurs on a spatial scale of many tens of kilometres and an evolutionary time of weeks(sometimes called bolus advection). Reference: James C. McWilliams 2016, Submesoscale currents in the ocean, Proceedings of the Royal Society A: Mathematical, Physical and Engineering Sciences, volume 472, issue 2189. DOI: 10.1098/rspa.2016.0117. </t>
  </si>
  <si>
    <t>diftrbbo2d</t>
  </si>
  <si>
    <t>diftrebo</t>
  </si>
  <si>
    <t>Ocean Tracer Epineutral Biharmonic Diffusivity</t>
  </si>
  <si>
    <t xml:space="preserve">Epineutral diffusivity means a lateral diffusivity along a either a neutral or isopycnal density surface due to motion which is not resolved on the grid scale of an ocean model. The type of density surface is dependent on the model formulation. </t>
  </si>
  <si>
    <t>diftrebo2d</t>
  </si>
  <si>
    <t>diftrxybo</t>
  </si>
  <si>
    <t>Ocean Tracer XY Biharmonic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</si>
  <si>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'biharmonic diffusivity' means diffusivity for use with a biharmonic diffusion operator.</t>
  </si>
  <si>
    <t>diftrxybo2d</t>
  </si>
  <si>
    <t>diftrxylo</t>
  </si>
  <si>
    <t>Ocean Tracer XY Laplacian Diffusivity</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</si>
  <si>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</si>
  <si>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difvmbo</t>
  </si>
  <si>
    <t>Ocean Vertical Momentum Diffusivity Due to Background</t>
  </si>
  <si>
    <t>Vertical/dianeutral diffusivity applied to momentum due to the background (i.e. caused by a time invariant imposed field which may be either constant over the globe or spatially varying, depending on the ocean model used).</t>
  </si>
  <si>
    <t>CMIP,FAFMIP,HighResMIP,LUMIP,RFMIP,VIACSAB</t>
  </si>
  <si>
    <t>difvmfdo</t>
  </si>
  <si>
    <t>Ocean Vertical Momentum Diffusivity Due to Form Drag</t>
  </si>
  <si>
    <t>Vertical/dianeutral diffusivity applied to momentum due to form drag (i.e. resulting from a model scheme representing  mesoscale eddy-induced form drag).</t>
  </si>
  <si>
    <t>difvtrbo</t>
  </si>
  <si>
    <t>Ocean Vertical Tracer Diffusivity Due to Background</t>
  </si>
  <si>
    <t>Vertical/dianeutral diffusivity applied to tracers due to the background (i.e. caused by a time invariant imposed field which may be either constant over the globe or spatially varying, depending on the ocean model used).</t>
  </si>
  <si>
    <t>tnpeot</t>
  </si>
  <si>
    <t>Tendency of Ocean Potential Energy Content Due to Tides</t>
  </si>
  <si>
    <t>'Content'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</si>
  <si>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tnpeotb</t>
  </si>
  <si>
    <t>Tendency of Ocean Potential Energy Content Due to Background</t>
  </si>
  <si>
    <t>'Content'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</si>
  <si>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Ofx</t>
  </si>
  <si>
    <t>ugrido</t>
  </si>
  <si>
    <t>UGRID Grid Specification</t>
  </si>
  <si>
    <t>Ony required for models with unstructured grids: this label should be used for a file containing information about the grid structure, following the UGRID convention.</t>
  </si>
  <si>
    <t>CMIP</t>
  </si>
  <si>
    <t>longitude latitude olevel</t>
  </si>
  <si>
    <t>AerChemMIP,C4MIP,CMIP,DCPP,GMMIP,GeoMIP,OMIP,PAMIP,PMIP,VIACSAB</t>
  </si>
  <si>
    <t>6hrPlevPt</t>
  </si>
  <si>
    <t>cldicemxrat27</t>
  </si>
  <si>
    <t>Cloud Ice Mixing Ratio</t>
  </si>
  <si>
    <t>Cloud ice mixing ratio</t>
  </si>
  <si>
    <t>cldwatmxrat27</t>
  </si>
  <si>
    <t>Cloud Water Mixing Ratio</t>
  </si>
  <si>
    <t>Cloud water mixing ratio</t>
  </si>
  <si>
    <t>dtauc</t>
  </si>
  <si>
    <t>Convective Cloud Optical Depth</t>
  </si>
  <si>
    <t>This is the in-cloud optical depth obtained by considering only the cloudy portion of the grid cell</t>
  </si>
  <si>
    <t>dtaus</t>
  </si>
  <si>
    <t>Stratiform Cloud Optical Depth</t>
  </si>
  <si>
    <t>This is the in-cloud optical depth obtained by considering only the cloudy portion of the grid cell.</t>
  </si>
  <si>
    <t>grplmxrat27</t>
  </si>
  <si>
    <t>Graupel Mixing Ratio</t>
  </si>
  <si>
    <t>Graupel mixing ratio</t>
  </si>
  <si>
    <t>rainmxrat27</t>
  </si>
  <si>
    <t>Mass Fraction of Rain in Air</t>
  </si>
  <si>
    <t>Rain mixing ratio</t>
  </si>
  <si>
    <t>snowmxrat27</t>
  </si>
  <si>
    <t>Mass Fraction of Snow in Air</t>
  </si>
  <si>
    <t>Snow mixing ratio</t>
  </si>
  <si>
    <t>wbptemp7h</t>
  </si>
  <si>
    <t>Wet Bulb Potential Temperature</t>
  </si>
  <si>
    <t>Wet bulb potential temperature</t>
  </si>
  <si>
    <t>Eday</t>
  </si>
  <si>
    <t>ccldncl</t>
  </si>
  <si>
    <t>Cloud Droplet Number Concentration of Convective Cloud Tops</t>
  </si>
  <si>
    <t>Droplets are liquid only.  Report concentration 'as seen from space' over convective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</si>
  <si>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cldnci</t>
  </si>
  <si>
    <t>Ice Crystal Number Concentration of Cloud Tops</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</si>
  <si>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</si>
  <si>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cldnvi</t>
  </si>
  <si>
    <t>Column Integrated Cloud Droplet Number</t>
  </si>
  <si>
    <t>m-2</t>
  </si>
  <si>
    <t>Droplets are liquid only.  Values are weighted by liquid cloud fraction in each layer when vertically integrating, and for monthly means the samples are weighted by total liquid cloud fraction (as seen from TOA).</t>
  </si>
  <si>
    <t>clivic</t>
  </si>
  <si>
    <t>Convective Ice Water Path</t>
  </si>
  <si>
    <t>calculate mass of convective ice water in the column divided by the area of the column (not just the area of the cloudy portion of the column). This includes precipitating frozen hydrometeors ONLY if the precipitating hydrometeors affect the calculation of radiative transfer in model.</t>
  </si>
  <si>
    <t>clwvic</t>
  </si>
  <si>
    <t>Convective Condensed Water Path</t>
  </si>
  <si>
    <t>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</si>
  <si>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hursminCrop</t>
  </si>
  <si>
    <t>longitude latitude time height2m</t>
  </si>
  <si>
    <t>Daily Minimum Near-Surface Relative Humidity over Crop Tile</t>
  </si>
  <si>
    <t>The relative humidity with respect to liquid water for T&gt; 0 C, and with respect to ice for T&lt;0 C.</t>
  </si>
  <si>
    <t>longitude latitude effectRadIc tau time</t>
  </si>
  <si>
    <t>longitude latitude effectRadLi tau time</t>
  </si>
  <si>
    <t>loadbc</t>
  </si>
  <si>
    <t>Load of Black Carbon Aerosol</t>
  </si>
  <si>
    <t>The total dry mass of black carbon aerosol particles per unit area.</t>
  </si>
  <si>
    <t>loadnh4</t>
  </si>
  <si>
    <t>Load of NH4</t>
  </si>
  <si>
    <t>The total dry mass of ammonium aerosol particles per unit area.</t>
  </si>
  <si>
    <t>loadno3</t>
  </si>
  <si>
    <t>Load of NO3</t>
  </si>
  <si>
    <t>The total dry mass of nitrate aerosol particles per unit area.</t>
  </si>
  <si>
    <t>loadoa</t>
  </si>
  <si>
    <t>Load of Dry Aerosol Organic Matter</t>
  </si>
  <si>
    <t>atmosphere dry organic content: This is the vertically integrated sum of atmosphere_primary_organic_content and atmosphere_secondary_organic_content (see next two table entries).</t>
  </si>
  <si>
    <t>loadpoa</t>
  </si>
  <si>
    <t>Load of Dry Aerosol Primary Organic Matter</t>
  </si>
  <si>
    <t>The total dry mass of primary particulate organic aerosol particles per unit area.</t>
  </si>
  <si>
    <t>loadso4</t>
  </si>
  <si>
    <t>Load of SO4</t>
  </si>
  <si>
    <t>The total dry mass of sulfate aerosol particles per unit area.</t>
  </si>
  <si>
    <t>loadsoa</t>
  </si>
  <si>
    <t>Load of Dry Aerosol Secondary Organic Matter</t>
  </si>
  <si>
    <t>The total dry mass of secondary particulate organic aerosol particles per unit area.</t>
  </si>
  <si>
    <t>loadss</t>
  </si>
  <si>
    <t>Load of Sea-Salt Aerosol</t>
  </si>
  <si>
    <t>The total dry mass of sea salt aerosol particles per unit area.</t>
  </si>
  <si>
    <t>mrsfl</t>
  </si>
  <si>
    <t>longitude latitude sdepth time</t>
  </si>
  <si>
    <t>Frozen Water Content of Soil Layer</t>
  </si>
  <si>
    <t>in each soil layer, the mass of water in ice phase.  Reported as 'missing' for grid cells occupied entirely by 'sea'</t>
  </si>
  <si>
    <t>C4MIP</t>
  </si>
  <si>
    <t>longitude latitude sza5 time</t>
  </si>
  <si>
    <t>DCPP,PAMIP,PMIP</t>
  </si>
  <si>
    <t>reffcclwtop</t>
  </si>
  <si>
    <t>Cloud-Top Effective Droplet Radius in Convective Cloud</t>
  </si>
  <si>
    <t>Droplets are liquid only.  This is the effective radius 'as seen from space' over convective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</si>
  <si>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reffsclwtop</t>
  </si>
  <si>
    <t>Cloud-Top Effective Droplet Radius in Stratiform Cloud</t>
  </si>
  <si>
    <t>Droplets are liquid only.  This is the effective radius 'as seen from space' over liquid stratiform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mean.daily data, separated to large-scale clouds, convective clouds. If any of the cloud is from more than one process (i.e. shallow convection), please provide them separately.</t>
  </si>
  <si>
    <t>rsdscsdiff</t>
  </si>
  <si>
    <t>Surface Diffuse Downwelling Clear Sky Shortwave Radiation</t>
  </si>
  <si>
    <t>Surface downwelling solar irradiance from diffuse radiation for UV calculations in clear sky conditions</t>
  </si>
  <si>
    <t>scldncl</t>
  </si>
  <si>
    <t>Cloud Droplet Number Concentration of Stratiform Cloud Tops</t>
  </si>
  <si>
    <t>Droplets are liquid only.  Report concentration 'as seen from space' over stratiform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</si>
  <si>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tasmaxCrop</t>
  </si>
  <si>
    <t>Daily Maximum Near-Surface Air Temperature over Crop Tile</t>
  </si>
  <si>
    <t>maximum near-surface (usually, 2 meter) air temperature (add cell_method attribute 'time: max')</t>
  </si>
  <si>
    <t>tasminCrop</t>
  </si>
  <si>
    <t>Daily Minimum Near-Surface Air Temperature over Crop Tile</t>
  </si>
  <si>
    <t>minimum near-surface (usually, 2 meter) air temperature (add cell_method attribute 'time: min')</t>
  </si>
  <si>
    <t>tauupbl</t>
  </si>
  <si>
    <t>Eastward Surface Stress from Planetary Boundary Layer Scheme</t>
  </si>
  <si>
    <t>The  downward eastward stress associated with the models parameterization of the planetary boundary layer. (This request is related to a WGNE effort to understand how models parameterize the surface stresses.)</t>
  </si>
  <si>
    <t>tauvpbl</t>
  </si>
  <si>
    <t>Northward Surface Stress from Planetary Boundary Layer Scheme</t>
  </si>
  <si>
    <t>The  downward northward stress associated with the models parameterization of the planetary boundary layer. (This request is related to a WGNE effort to understand how models parameterize the surface stresses.)</t>
  </si>
  <si>
    <t>AERmonZ</t>
  </si>
  <si>
    <t>bry</t>
  </si>
  <si>
    <t>Total Inorganic Bromine Volume Mixing Ratio</t>
  </si>
  <si>
    <t>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</si>
  <si>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cly</t>
  </si>
  <si>
    <t>Total Inorganic Chlorine Volume Mixing Ratio</t>
  </si>
  <si>
    <t>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</si>
  <si>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meanage</t>
  </si>
  <si>
    <t>Mean Age of Stratospheric Air</t>
  </si>
  <si>
    <t>The mean age of air is defined as the mean time that a stratospheric air mass has been out of contact with the well-mixed troposphere.</t>
  </si>
  <si>
    <t>AerChemMIP,DynVarMIP,VolMIP</t>
  </si>
  <si>
    <t>vt100</t>
  </si>
  <si>
    <t>latitude time p100</t>
  </si>
  <si>
    <t>Northward Heat Flux Due to Eddies</t>
  </si>
  <si>
    <t>Zonally averaged meridional heat flux at 100hPa as monthly means derived from daily (or higher frequency) fields.</t>
  </si>
  <si>
    <t>CF3hr</t>
  </si>
  <si>
    <t>demc</t>
  </si>
  <si>
    <t>Convective Cloud Emissivity</t>
  </si>
  <si>
    <t>This is the in-cloud emissivity obtained by considering only the cloudy portion of the grid cell.</t>
  </si>
  <si>
    <t>dems</t>
  </si>
  <si>
    <t>Stratiform Cloud Emissivity</t>
  </si>
  <si>
    <t>grpllsprof</t>
  </si>
  <si>
    <t>Stratiform Graupel Flux</t>
  </si>
  <si>
    <t>In accordance with common usage in geophysical disciplines, 'flux' implies per unit area, called 'flux density' in physics. Stratiform precipitation, whether liquid or frozen, is precipitation that formed in stratiform cloud. Graupel consists of heavily rimed snow particles, often called snow pellets; often indistinguishable from very small soft hail except when the size convention that hail must have a diameter greater than 5 mm is adopted. Reference: American Meteorological Society Glossary http://glossary.ametsoc.org/wiki/Graupel. There are also separate standard names for hail. Standard names for 'graupel_and_hail' should be used to describe data produced by models that do not distinguish between hail and graupel.</t>
  </si>
  <si>
    <t>prcprof</t>
  </si>
  <si>
    <t>Convective Rainfall Flux</t>
  </si>
  <si>
    <t>prlsns</t>
  </si>
  <si>
    <t>Stratiform Snowfall Flux</t>
  </si>
  <si>
    <t>large-scale precipitation of all forms of water in the solid phase.</t>
  </si>
  <si>
    <t>prlsprof</t>
  </si>
  <si>
    <t>Stratiform Rainfall Flux</t>
  </si>
  <si>
    <t>In accordance with common usage in geophysical disciplines, 'flux' implies per unit area, called 'flux density' in physics.  Stratiform precipitation, whether liquid or frozen, is precipitation that formed in stratiform cloud.</t>
  </si>
  <si>
    <t>prsnc</t>
  </si>
  <si>
    <t>Convective Snowfall Flux</t>
  </si>
  <si>
    <t>convective precipitation of all forms of water in the solid phase.</t>
  </si>
  <si>
    <t>reffgrpls</t>
  </si>
  <si>
    <t>Hydrometeor Effective Radius of Stratiform Graupel</t>
  </si>
  <si>
    <t>reffrainc</t>
  </si>
  <si>
    <t>Hydrometeor Effective Radius of Convective Rainfall</t>
  </si>
  <si>
    <t>reffrains</t>
  </si>
  <si>
    <t>Hydrometeor Effective Radius of Stratiform Rainfall</t>
  </si>
  <si>
    <t>reffsnowc</t>
  </si>
  <si>
    <t>Hydrometeor Effective Radius of Convective Snowfall</t>
  </si>
  <si>
    <t>reffsnows</t>
  </si>
  <si>
    <t>Hydrometeor Effective Radius of Stratiform Snowfall</t>
  </si>
  <si>
    <t>zfull</t>
  </si>
  <si>
    <t>Altitude of Model Full-Levels</t>
  </si>
  <si>
    <t>Height of full model 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</si>
  <si>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CFMIP,RFMIP</t>
  </si>
  <si>
    <t>zhalf</t>
  </si>
  <si>
    <t>Altitude of Model Half-Levels</t>
  </si>
  <si>
    <t>Height of model half-levels above a reference ellipsoid. A reference ellipsoid is a mathematical figure that approximates the geoid. The geoid is a surface of constant geopotential with which mean sea level would coincide if the ocean were at rest. The ellipsoid is an approximation because the geoid is an irregular shape. A number of reference ellipsoids are defined for use in the field of geodesy. To specify which reference ellipsoid is being used, a grid_mapping variable should be attached to the data variable as described in Chapter 5.6 of the CF Convention.</t>
  </si>
  <si>
    <t>E3hr</t>
  </si>
  <si>
    <t>prcsh</t>
  </si>
  <si>
    <t>Precipitation Flux from Shallow Convection</t>
  </si>
  <si>
    <t>Convection precipitation from shallow convection</t>
  </si>
  <si>
    <t>prrc</t>
  </si>
  <si>
    <t>Convective Rainfall Rate</t>
  </si>
  <si>
    <t>Emon</t>
  </si>
  <si>
    <t>c13Land</t>
  </si>
  <si>
    <t>Mass of 13C in All Terrestrial Carbon Pools</t>
  </si>
  <si>
    <t>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</si>
  <si>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C4MIP,LUMIP,PMIP</t>
  </si>
  <si>
    <t>c13Litter</t>
  </si>
  <si>
    <t>Mass of 13C in Litter Pool</t>
  </si>
  <si>
    <t>Carbon-13 mass content per unit area litter (dead plant material in or above the soil).</t>
  </si>
  <si>
    <t>c13Soil</t>
  </si>
  <si>
    <t>Mass of 13C in Soil Pool</t>
  </si>
  <si>
    <t>Carbon-13 mass content per unit area in soil.</t>
  </si>
  <si>
    <t>c13Veg</t>
  </si>
  <si>
    <t>Mass of 13C in Vegetation</t>
  </si>
  <si>
    <t>Carbon-13 mass content per unit area in vegetation (any living plants e.g. trees, shrubs, grass).</t>
  </si>
  <si>
    <t>c14Land</t>
  </si>
  <si>
    <t>Mass of 14C in All Terrestrial Carbon Pools</t>
  </si>
  <si>
    <t>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</si>
  <si>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c14Litter</t>
  </si>
  <si>
    <t>Mass of 14C in Litter Pool</t>
  </si>
  <si>
    <t>Carbon-14 mass content per unit area litter (dead plant material in or above the soil).</t>
  </si>
  <si>
    <t>c14Soil</t>
  </si>
  <si>
    <t>Mass of 14C in Soil Pool</t>
  </si>
  <si>
    <t>Carbon-14 mass content per unit area in soil.</t>
  </si>
  <si>
    <t>c14Veg</t>
  </si>
  <si>
    <t>Mass of 14C in Vegetation</t>
  </si>
  <si>
    <t>Carbon-14 mass content per unit area in vegetation (any living plants e.g. trees, shrubs, grass).</t>
  </si>
  <si>
    <t>cLitterGrass</t>
  </si>
  <si>
    <t>Carbon Mass in Litter on Grass Tiles</t>
  </si>
  <si>
    <t>'Litter'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</si>
  <si>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C4MIP,LUMIP</t>
  </si>
  <si>
    <t>cLitterShrub</t>
  </si>
  <si>
    <t>Carbon Mass in Litter on Shrub Tiles</t>
  </si>
  <si>
    <t>cLitterTree</t>
  </si>
  <si>
    <t>Carbon Mass in Litter on Tree Tiles</t>
  </si>
  <si>
    <t>cMisc</t>
  </si>
  <si>
    <t>Carbon Mass in Other Living Compartments on Land</t>
  </si>
  <si>
    <t>e.g., labile, fruits, reserves, etc.</t>
  </si>
  <si>
    <t>AerChemMIP,CMIP,FAFMIP,GMMIP,GeoMIP,HighResMIP,LS3MIP,RFMIP,VIACSAB,VolMIP</t>
  </si>
  <si>
    <t>cSoilAbove1m</t>
  </si>
  <si>
    <t>longitude latitude time sdepth10</t>
  </si>
  <si>
    <t>Carbon Mass in Soil Pool Above 1m Depth</t>
  </si>
  <si>
    <t>Report missing data over ocean grid cells. For fractional land report value averaged over the land fraction.</t>
  </si>
  <si>
    <t>cSoilGrass</t>
  </si>
  <si>
    <t>Carbon Mass in Soil on Grass Tiles</t>
  </si>
  <si>
    <t>'Content' indicates a quantity per unit area. The 'soil content' of a quantity refers to the vertical integral from the surface down to the bottom of the soil model. For the content between specified levels in the soil, standard names including content_of_soil_layer are used.</t>
  </si>
  <si>
    <t>cSoilLevels</t>
  </si>
  <si>
    <t>Carbon Mass in Each Model Soil Level (Summed over All Soil Carbon Pools in That Level)</t>
  </si>
  <si>
    <t>for models with vertically discretised soil carbon, report total soil carbon for each level</t>
  </si>
  <si>
    <t>cSoilPools</t>
  </si>
  <si>
    <t>longitude latitude soilpools time</t>
  </si>
  <si>
    <t>Carbon Mass in Each Model Soil Pool (Summed over Vertical Levels)</t>
  </si>
  <si>
    <t>For models with multiple soil carbon pools, report each pool here. If models also have vertical discretisation these should be aggregated</t>
  </si>
  <si>
    <t>cSoilShrub</t>
  </si>
  <si>
    <t>Carbon Mass in Soil on Shrub Tiles</t>
  </si>
  <si>
    <t>cSoilTree</t>
  </si>
  <si>
    <t>Carbon Mass in Soil on Tree Tiles</t>
  </si>
  <si>
    <t>cVegGrass</t>
  </si>
  <si>
    <t>Carbon Mass in Vegetation on Grass Tiles</t>
  </si>
  <si>
    <t>'Content' indicates a quantity per unit area. 'Vegetation' means any plants e.g. trees, shrubs, grass. Plants are autotrophs i.e. 'producers' of biomass using carbon obtained from carbon dioxide.</t>
  </si>
  <si>
    <t>cVegShrub</t>
  </si>
  <si>
    <t>Carbon Mass in Vegetation on Shrub Tiles</t>
  </si>
  <si>
    <t>cVegTree</t>
  </si>
  <si>
    <t>Carbon Mass in Vegetation on Tree Tiles</t>
  </si>
  <si>
    <t>longitude latitude alt40 dbze time</t>
  </si>
  <si>
    <t>longitude latitude alt40 scatratio time</t>
  </si>
  <si>
    <t>clcalipsoice</t>
  </si>
  <si>
    <t>CALIPSO Ice Cloud Percentage</t>
  </si>
  <si>
    <t>clcalipsoliq</t>
  </si>
  <si>
    <t>CALIPSO Liquid Cloud Percentage</t>
  </si>
  <si>
    <t>Percentage liquid water ice cloud cover in CALIPSO standard atmospheric layers.</t>
  </si>
  <si>
    <t>longitude latitude plev27 time</t>
  </si>
  <si>
    <t>GeoMIP</t>
  </si>
  <si>
    <t>cldncl</t>
  </si>
  <si>
    <t>Cloud Droplet Number Concentration of Cloud Tops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</si>
  <si>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</si>
  <si>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GeoMIP,VIACSAB</t>
  </si>
  <si>
    <t>climodis</t>
  </si>
  <si>
    <t>MODIS Ice Cloud Area Percentage</t>
  </si>
  <si>
    <t xml:space="preserve">Total ice cloud area fraction (reported as a percentage) for the whole atmospheric column, as seen by the  Moderate Resolution Imaging Spectroradiometer (MODIS). </t>
  </si>
  <si>
    <t>longitude latitude alt16 tau time</t>
  </si>
  <si>
    <t>cltmodis</t>
  </si>
  <si>
    <t>MODIS Total Cloud Cover Percentage</t>
  </si>
  <si>
    <t>Total cloud area fraction (reported as a percentage) for the whole atmospheric column, as seen by the  Moderate Resolution Imaging Spectroradiometer (MODIS). Includes both large-scale and convective cloud.</t>
  </si>
  <si>
    <t>clwmodis</t>
  </si>
  <si>
    <t>MODIS Liquid Cloud Percentage</t>
  </si>
  <si>
    <t>Mass of cloud liquid water, as seen by the  Moderate Resolution Imaging Spectroradiometer (MODIS). Includes both large-scale and convective cloud.</t>
  </si>
  <si>
    <t>co23D</t>
  </si>
  <si>
    <t>3D-Field of Transported CO2</t>
  </si>
  <si>
    <t>kg kg-1</t>
  </si>
  <si>
    <t>report 3D field of model simulated atmospheric CO2 mass mixing ration on model levels</t>
  </si>
  <si>
    <t>co2s</t>
  </si>
  <si>
    <t>Atmosphere CO2</t>
  </si>
  <si>
    <t>1e-06</t>
  </si>
  <si>
    <t>As co2, but only at the surface</t>
  </si>
  <si>
    <t>columnmassflux</t>
  </si>
  <si>
    <t>Column Integrated Mass Flux</t>
  </si>
  <si>
    <t>Column integral of (mcu-mcd)</t>
  </si>
  <si>
    <t>conccmcn</t>
  </si>
  <si>
    <t>Number Concentration Coarse Mode Aerosol</t>
  </si>
  <si>
    <t>includes all particles with diameter larger than 1 micron</t>
  </si>
  <si>
    <t>conccn</t>
  </si>
  <si>
    <t>Aerosol Number Concentration</t>
  </si>
  <si>
    <t>'Number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</si>
  <si>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concnmcn</t>
  </si>
  <si>
    <t>Number Concentration of Nucleation Mode Aerosol</t>
  </si>
  <si>
    <t>includes all particles with diameter smaller than 3 nm</t>
  </si>
  <si>
    <t>diabdrag</t>
  </si>
  <si>
    <t>Tendency of Eastward Wind from Numerical Artefacts</t>
  </si>
  <si>
    <t>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</si>
  <si>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dissi14c</t>
  </si>
  <si>
    <t>Dissolved Inorganic Carbon-14 Concentration</t>
  </si>
  <si>
    <t>Dissolved inorganic carbon-14 (CO3+HCO3+H2CO3) concentration</t>
  </si>
  <si>
    <t>fHarvestToProduct</t>
  </si>
  <si>
    <t>Harvested Biomass That Goes into Product Pool</t>
  </si>
  <si>
    <t>be it food or wood harvest, any carbon that is subsequently stored is reported here</t>
  </si>
  <si>
    <t>fN2O</t>
  </si>
  <si>
    <t>Total Land N2O Flux</t>
  </si>
  <si>
    <t>Surface upward flux of nitrous oxide (N2O) from vegetation (any living plants e.g. trees, shrubs, grass), litter (dead plant material in or above the soil), soil.</t>
  </si>
  <si>
    <t>fNOx</t>
  </si>
  <si>
    <t>Total Land NOx Flux</t>
  </si>
  <si>
    <t>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</si>
  <si>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fNVegSoil</t>
  </si>
  <si>
    <t>Total Nitrogen Mass Flux from Vegetation Directly to Soil</t>
  </si>
  <si>
    <t>In some models part of nitrogen (e.g., root exudate) can go directly into the soil pool without entering litter.</t>
  </si>
  <si>
    <t>fVegLitterMortality</t>
  </si>
  <si>
    <t>Total Carbon Mass Flux from Vegetation to Litter as a Result of Mortality</t>
  </si>
  <si>
    <t>needed to separate changing vegetation C turnover times resulting from changing allocation versus changing mortality</t>
  </si>
  <si>
    <t>fVegLitterSenescence</t>
  </si>
  <si>
    <t>Total Carbon Mass Flux from Vegetation to Litter as a Result of Leaf, Branch, and Root Senescence</t>
  </si>
  <si>
    <t>fVegSoilMortality</t>
  </si>
  <si>
    <t>Total Carbon Mass Flux from Vegetation to Soil as a Result of Mortality</t>
  </si>
  <si>
    <t>fVegSoilSenescence</t>
  </si>
  <si>
    <t>Total Carbon Mass Flux from Vegetation to Soil as a Result of Leaf, Branch, and Root Senescence</t>
  </si>
  <si>
    <t>fahLut</t>
  </si>
  <si>
    <t>longitude latitude landUse time</t>
  </si>
  <si>
    <t>Anthropogenic Heat Flux Generated from non-Renewable Human Primary Energy Consumption</t>
  </si>
  <si>
    <t>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</si>
  <si>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LUMIP</t>
  </si>
  <si>
    <t>fg14co2</t>
  </si>
  <si>
    <t>Total Surface Downward Flux of 14CO2 into Ocean</t>
  </si>
  <si>
    <t>Gas exchange flux of carbon-14 as CO2 (positive into ocean)</t>
  </si>
  <si>
    <t>gppShrub</t>
  </si>
  <si>
    <t>Gross Primary Production on Shrub Tiles</t>
  </si>
  <si>
    <t>Total GPP of shrubs in the grid cell</t>
  </si>
  <si>
    <t>gppc13</t>
  </si>
  <si>
    <t>Mass Flux of 13C out of Atmosphere Due to Gross Primary Production on Land</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</si>
  <si>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</si>
  <si>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gppc14</t>
  </si>
  <si>
    <t>Mass Flux of 14C out of Atmosphere Due to Gross Primary Production on Land</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</si>
  <si>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</si>
  <si>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hflsLut</t>
  </si>
  <si>
    <t>Latent Heat Flux on Land-Use Tile</t>
  </si>
  <si>
    <t>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</si>
  <si>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hfssLut</t>
  </si>
  <si>
    <t>Sensible Heat Flux on Land-Use Tile</t>
  </si>
  <si>
    <t>Upward sensible heat flux on land use tiles. The surface sensible heat flux, also called turbulent heat flux, is the exchange of heat between the surface and the air by motion of air.</t>
  </si>
  <si>
    <t>hussLut</t>
  </si>
  <si>
    <t>longitude latitude landUse time height2m</t>
  </si>
  <si>
    <t>Near-Surface Specific Humidity on Land-Use Tile</t>
  </si>
  <si>
    <t>Normally, the specific humidity should be reported at the 2 meter height</t>
  </si>
  <si>
    <t>intuadse</t>
  </si>
  <si>
    <t>Vertically Integrated Eastward Dry Statice Energy Transport</t>
  </si>
  <si>
    <t>MJ m-1 s-1</t>
  </si>
  <si>
    <t>Vertically integrated eastward dry static energy transport (cp.T +zg).v (Mass_weighted_vertical integral of the product of eastward wind by dry static_energy per mass unit)</t>
  </si>
  <si>
    <t>PMIP</t>
  </si>
  <si>
    <t>intuaw</t>
  </si>
  <si>
    <t>Vertically Integrated Eastward Moisture Transport</t>
  </si>
  <si>
    <t>kg m-1 s-1</t>
  </si>
  <si>
    <t>Vertically integrated Eastward moisture transport (Mass weighted vertical integral of the product of eastward wind by total water mass per unit mass)</t>
  </si>
  <si>
    <t>intvadse</t>
  </si>
  <si>
    <t>Vertically Integrated Northward Dry Static Energy Transport</t>
  </si>
  <si>
    <t>Vertically integrated northward dry static energy transport (cp.T +zg).v (Mass_weighted_vertical integral of the product of northward wind by dry static_energy per mass unit)</t>
  </si>
  <si>
    <t>intvaw</t>
  </si>
  <si>
    <t>Vertically Integrated Northward Moisture Transport</t>
  </si>
  <si>
    <t>Vertically integrated Northward moisture transport (Mass_weighted_vertical integral of the product of northward wind by total water mass per unit mass)</t>
  </si>
  <si>
    <t>lwsrfasdust</t>
  </si>
  <si>
    <t>All-Sky Surface Longwave Radiative Flux Due to Dust</t>
  </si>
  <si>
    <t>The direct radiative effect refers to the instantaneous radiative impact on the Earth's energy balance, excluding secondary effects such as changes in cloud cover.</t>
  </si>
  <si>
    <t>lwsrfcsdust</t>
  </si>
  <si>
    <t>Clear-Sky Surface Longwave Radiative Flux Due to Dust</t>
  </si>
  <si>
    <t>The direct radiative effect refers to the instantaneous radiative impact on the Earth's energy balance, excluding secondary effects such as changes in cloud cover. Calculating in clear-sky conditions.</t>
  </si>
  <si>
    <t>lwtoaasdust</t>
  </si>
  <si>
    <t>TOA All-Sky Longwave Radiative Forcing Due to Dust</t>
  </si>
  <si>
    <t>Instantaneous forcing is the radiative flux change caused instantaneously by an imposed change in radiative forcing agent (greenhouse gases, aerosol, solar radiation, etc.).</t>
  </si>
  <si>
    <t>lwtoacsaer</t>
  </si>
  <si>
    <t>TOA Clear-Sky longwave Radiative Forcing due to  Aerosols</t>
  </si>
  <si>
    <t>lwtoacsdust</t>
  </si>
  <si>
    <t>TOA Clear-Sky Longwave Radiative Forcing Due to Dust</t>
  </si>
  <si>
    <t>mrlso</t>
  </si>
  <si>
    <t>Soil Liquid Water Content</t>
  </si>
  <si>
    <t>The mass (summed over all all layers) of liquid water.</t>
  </si>
  <si>
    <t>mrtws</t>
  </si>
  <si>
    <t>Terrestrial Water Storage</t>
  </si>
  <si>
    <t>Mass of water in all phases and in all components including soil, canopy, vegetation, ice sheets, rivers and ground water.</t>
  </si>
  <si>
    <t>netAtmosLandC13Flux</t>
  </si>
  <si>
    <t>Net Mass Flux of 13C Between Atmosphere and Land (Positive into Land) as a Result of All Processes</t>
  </si>
  <si>
    <t>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</si>
  <si>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netAtmosLandC14Flux</t>
  </si>
  <si>
    <t>Net Mass Flux of 14C Between Atmosphere and Land (Positive into Land) as a Result of All Processes</t>
  </si>
  <si>
    <t>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</si>
  <si>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nppOther</t>
  </si>
  <si>
    <t>Net Primary Production Allocated to Other Pools (not Leaves Stem or Roots)</t>
  </si>
  <si>
    <t>added for completeness with npp_root</t>
  </si>
  <si>
    <t>nppShrub</t>
  </si>
  <si>
    <t>Net Primary Production on Shrub Tiles</t>
  </si>
  <si>
    <t>Total NPP of shrubs in the grid cell</t>
  </si>
  <si>
    <t>nppStem</t>
  </si>
  <si>
    <t>Net Primary Production Allocated to Stem</t>
  </si>
  <si>
    <t>FAFMIP</t>
  </si>
  <si>
    <t>od443dust</t>
  </si>
  <si>
    <t>Optical Thickness at 443nm Dust</t>
  </si>
  <si>
    <t>Total aerosol AOD due to dust aerosol at a wavelength of 443 nanometres.</t>
  </si>
  <si>
    <t>od550aerso</t>
  </si>
  <si>
    <t>Stratospheric Optical Depth at 550nm (All Aerosols) 2D-Field (Stratosphere Only)</t>
  </si>
  <si>
    <t>From tropopause to stratopause as defined by the model</t>
  </si>
  <si>
    <t>GeoMIP,PMIP</t>
  </si>
  <si>
    <t>od550so4so</t>
  </si>
  <si>
    <t>Stratospheric Optical Depth at 550nm (Sulphate Only) 2D-Field (Stratosphere Only)</t>
  </si>
  <si>
    <t>Stratospheric aerosol AOD due to sulfate aerosol at a wavelength of 550 nanometres.</t>
  </si>
  <si>
    <t>od865dust</t>
  </si>
  <si>
    <t>Dust Optical Depth at 865nm</t>
  </si>
  <si>
    <t>Total aerosol AOD due to dust aerosol at a wavelength of 865 nanometres.</t>
  </si>
  <si>
    <t>pabigthetao</t>
  </si>
  <si>
    <t>Sea Water Added Conservative Temperature</t>
  </si>
  <si>
    <t>degC</t>
  </si>
  <si>
    <t xml:space="preserve">A passive tracer in an ocean model whose surface flux does not come from the atmosphere but is imposed externally upon the simulated climate system. The surface flux is expressed as a heat flux and converted to a passive tracer increment as if it were a heat flux being added to conservative temperature. The passive tracer is transported within the ocean as if it were conservative temperature. The passive tracer is zero in the control climate of the model. </t>
  </si>
  <si>
    <t>pathetao</t>
  </si>
  <si>
    <t>Sea Water Additional Potential Temperature</t>
  </si>
  <si>
    <t>The quantity with standard name sea_water_added_potential_temperature is a passive tracer in an ocean model whose surface flux does not come from the atmosphere but is imposed externally upon the simulated climate system. The surface flux is expressed as a heat flux and converted to a passive tracer increment as if it were a heat flux being added to potential temperature. The passive tracer is transported within the ocean as if it were potential temperature. The passive tracer is zero in the control climate of the model. The passive tracer records added heat, as described for the CMIP6 FAFMIP experiment (doi:10.5194/gmd-9-3993-2016), following earlier ideas. Potential temperature is the temperature a parcel of air or sea water would have if moved adiabatically to sea level pressure.</t>
  </si>
  <si>
    <t>pr17O</t>
  </si>
  <si>
    <t>Precipitation Flux of Water Containing Oxygen-17 (H2 17O)</t>
  </si>
  <si>
    <t>Precipitation mass flux of water molecules that contain the oxygen-17 isotope (H2 17O), including solid and liquid phases.</t>
  </si>
  <si>
    <t>pr18O</t>
  </si>
  <si>
    <t>Precipitation Flux of Water Containing Oxygen-18 (H2 18O)</t>
  </si>
  <si>
    <t>Precipitation mass flux of water molecules that contain the oxygen-18 isotope (H2 18O), including solid and liquid phases.</t>
  </si>
  <si>
    <t>pr2h</t>
  </si>
  <si>
    <t>Precipitation Flux of Water Containing Deuterium (1H 2H O)</t>
  </si>
  <si>
    <t>Precipitation mass flux of water molecules that contain one atom of the hydrogen-2 isotope (1H 2H O), including solid and liquid phases.</t>
  </si>
  <si>
    <t>prbigthetao</t>
  </si>
  <si>
    <t>Sea Water Redistributed Conservative Temperature</t>
  </si>
  <si>
    <t xml:space="preserve">A passive tracer in an ocean model which is subject to an externally imposed perturbative surface heat flux. The passive tracer is initialised to the conservative temperature in the control climate before the perturbation is imposed. Its surface flux is the heat flux from the atmosphere, not including the imposed perturbation, and is converted to a passive tracer increment as if it were being added to conservative temperature. The passive tracer is transported within the ocean as if it were conservative temperature. </t>
  </si>
  <si>
    <t>prsn17O</t>
  </si>
  <si>
    <t>Precipitation Flux of Snow and Ice Containing Oxygen-17 (H2 17O)</t>
  </si>
  <si>
    <t>Precipitation mass flux of water molecules that contain the oxygen-17 isotope (H2 17O), including solid phase only.</t>
  </si>
  <si>
    <t>prsn18O</t>
  </si>
  <si>
    <t>Precipitation Flux of Snow and Ice Containing Oxygen-18 (H2 18O)</t>
  </si>
  <si>
    <t>Precipitation mass flux of water molecules that contain the oxygen-18 isotope (H2 18O), including solid phase only.</t>
  </si>
  <si>
    <t>prsn2h</t>
  </si>
  <si>
    <t>Precipitation Flux of Snow and Ice Containing Deuterium (1H 2H O)</t>
  </si>
  <si>
    <t>Precipitation mass flux of water molecules that contain one atom of the hydrogen-2 isotope (1H 2H O), including solid phase only.</t>
  </si>
  <si>
    <t>prthetao</t>
  </si>
  <si>
    <t>Sea Water Redistributed Potential Temperature</t>
  </si>
  <si>
    <t xml:space="preserve">A passive tracer in an ocean model which is subject to an externally imposed perturbative surface heat flux. The passive tracer is initialised to the potential temperature in the control climate before the perturbation is imposed. Its surface flux is the heat flux from the atmosphere, not including the imposed perturbation, and is converted to a passive tracer increment as if it were being added to potential temperature. The passive tracer is transported within the ocean as if it were potential temperature. </t>
  </si>
  <si>
    <t>prw17O</t>
  </si>
  <si>
    <t>Mass of Water Vapor Containing Oxygen-17 (H2 17O) in Layer</t>
  </si>
  <si>
    <t>Water vapor path for water molecules that contain oxygen-17 (H2 17O)</t>
  </si>
  <si>
    <t>prw18O</t>
  </si>
  <si>
    <t>Mass of Water Vapor Containing Oxygen-18 (H2 18O) in Layer</t>
  </si>
  <si>
    <t>Water vapor path for water molecules that contain oxygen-18 (H2 18O)</t>
  </si>
  <si>
    <t>prw2H</t>
  </si>
  <si>
    <t>Mass of Water Containing Deuterium (1H 2H O) in Layer</t>
  </si>
  <si>
    <t>Water vapor path for water molecules that contain one atom of the hydrogen-2 isotope (1H 2H O)</t>
  </si>
  <si>
    <t>raShrub</t>
  </si>
  <si>
    <t>Autotrophic Respiration on Shrub Tiles</t>
  </si>
  <si>
    <t>Total RA of shrubs in the grid cell</t>
  </si>
  <si>
    <t>rac13</t>
  </si>
  <si>
    <t>Mass Flux of 13C into Atmosphere Due to Autotrophic (Plant) Respiration on Land</t>
  </si>
  <si>
    <t xml:space="preserve">Flux of carbon-13 into the atmosphere due to plant respiration. Plant respiration is the sum of respiration by parts of plants both above and below the soil. It is assumed that all the respired carbon dioxide is emitted to the atmosphere. </t>
  </si>
  <si>
    <t>rac14</t>
  </si>
  <si>
    <t>Mass Flux of 14C into Atmosphere Due to Autotrophic (Plant) Respiration on Land</t>
  </si>
  <si>
    <t xml:space="preserve">Flux of carbon-14 into the atmosphere due to plant respiration. Plant respiration is the sum of respiration by parts of plants both above and below the soil. It is assumed that all the respired carbon dioxide is emitted to the atmosphere. </t>
  </si>
  <si>
    <t>CFMIP,GeoMIP</t>
  </si>
  <si>
    <t>rhGrass</t>
  </si>
  <si>
    <t>Heterotrophic Respiration on Grass Tiles</t>
  </si>
  <si>
    <t>Total RH of grass in the grid cell</t>
  </si>
  <si>
    <t>rhShrub</t>
  </si>
  <si>
    <t>Heterotrophic Respiration on Shrub Tiles</t>
  </si>
  <si>
    <t>Total RH of shrubs in the grid cell</t>
  </si>
  <si>
    <t>rhTree</t>
  </si>
  <si>
    <t>Heterotrophic Respiration on Tree Tiles</t>
  </si>
  <si>
    <t>Total RH of trees in the grid cell</t>
  </si>
  <si>
    <t>rhc13</t>
  </si>
  <si>
    <t>Mass Flux of 13C into Atmosphere Due to Heterotrophic Respiration on Land</t>
  </si>
  <si>
    <t>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</si>
  <si>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rhc14</t>
  </si>
  <si>
    <t>Mass Flux of 14C into Atmosphere Due to Heterotrophic Respiration on Land</t>
  </si>
  <si>
    <t>rlusLut</t>
  </si>
  <si>
    <t>Surface Upwelling Longwave on Land-Use Tile</t>
  </si>
  <si>
    <t>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</si>
  <si>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rsusLut</t>
  </si>
  <si>
    <t>Surface Upwelling Shortwave  on Land-use Tile</t>
  </si>
  <si>
    <t>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</si>
  <si>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sconcdust</t>
  </si>
  <si>
    <t>Surface Concentration of Dust</t>
  </si>
  <si>
    <t>mass concentration of dust dry aerosol in air in model lowest layer</t>
  </si>
  <si>
    <t>sconcso4</t>
  </si>
  <si>
    <t>Surface Concentration of SO4</t>
  </si>
  <si>
    <t>mass concentration of sulfate dry aerosol in air in model lowest layer.</t>
  </si>
  <si>
    <t>sconcss</t>
  </si>
  <si>
    <t>Surface Concentration of Sea-Salt Aerosol</t>
  </si>
  <si>
    <t>mass concentration of sea-salt dry aerosol in air in model lowest layer</t>
  </si>
  <si>
    <t>sw17O</t>
  </si>
  <si>
    <t>Isotopic Ratio of Oxygen-17 in Sea Water</t>
  </si>
  <si>
    <t>Ratio of abundance of oxygen-17 (17O) atoms to oxygen-16 (16O) atoms in sea water</t>
  </si>
  <si>
    <t>sw18O</t>
  </si>
  <si>
    <t>Mass of Water Containing Oxygen-18 (H2 18O) in Layer</t>
  </si>
  <si>
    <t>sw2H</t>
  </si>
  <si>
    <t>Isotopic Ratio of Deuterium in Sea Water</t>
  </si>
  <si>
    <t>Ratio of abundance of hydrogen-2 (2H) atoms to hydrogen-1 (1H) atoms in sea water</t>
  </si>
  <si>
    <t>sweLut</t>
  </si>
  <si>
    <t>Snow Water Equivalent on Land-Use Tile</t>
  </si>
  <si>
    <t>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</si>
  <si>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swsrfasdust</t>
  </si>
  <si>
    <t>All-Sky Surface Shortwave Radiative Flux Due to Dust</t>
  </si>
  <si>
    <t>swsrfcsdust</t>
  </si>
  <si>
    <t>Clear-Sky Surface Shortwave Radiative Flux Due to Dust</t>
  </si>
  <si>
    <t>The direct radiative effect refers to the instantaneous radiative impact on the Earth's energy balance, excluding secondary effects such as changes in cloud cover. Calculated in clear-sky conditions.</t>
  </si>
  <si>
    <t>swtoaasdust</t>
  </si>
  <si>
    <t>All-Sky Shortwave Flux Due to Dust at Toa</t>
  </si>
  <si>
    <t>swtoacsdust</t>
  </si>
  <si>
    <t>clear sky  Shortwave flux due to dust at toa</t>
  </si>
  <si>
    <t>tSoilPools</t>
  </si>
  <si>
    <t>Turnover Rate of Each Model Soil Carbon Pool</t>
  </si>
  <si>
    <t>defined as 1/(turnover time) for each soil pool. Use the same pools reported under cSoilPools</t>
  </si>
  <si>
    <t>tasLut</t>
  </si>
  <si>
    <t>Near-Surface Air Temperature on Land Use Tile</t>
  </si>
  <si>
    <t>Air temperature is the bulk temperature of the air, not the surface (skin) temperature.</t>
  </si>
  <si>
    <t>tntmp27</t>
  </si>
  <si>
    <t>Tendency of Air Temperature Due to Model Physics</t>
  </si>
  <si>
    <t>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</si>
  <si>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tntrl27</t>
  </si>
  <si>
    <t>Tendency of Air Temperature Due to Longwave Radiative Heating</t>
  </si>
  <si>
    <t>Tendency of air temperature due to longwave radiative heating</t>
  </si>
  <si>
    <t>tntrs27</t>
  </si>
  <si>
    <t>Tendency of Air Temperature Due to Shortwave Radiative Heating</t>
  </si>
  <si>
    <t>Tendency of air temperature due to shortwave radiative heating</t>
  </si>
  <si>
    <t>tslsiLut</t>
  </si>
  <si>
    <t>Surface Temperature on Landuse Tile</t>
  </si>
  <si>
    <t>Surface temperature (i.e. temperature at which long-wave radiation emitted)</t>
  </si>
  <si>
    <t>uqint</t>
  </si>
  <si>
    <t>Eastward Humidity Transport</t>
  </si>
  <si>
    <t>Column integrated eastward wind times specific humidity</t>
  </si>
  <si>
    <t>AerChemMIP,C4MIP,DAMIP,HighResMIP,LUMIP,PMIP</t>
  </si>
  <si>
    <t>vegHeightCrop</t>
  </si>
  <si>
    <t>Height of Crops</t>
  </si>
  <si>
    <t>Vegetation height averaged over the crop fraction of a grid cell.</t>
  </si>
  <si>
    <t>vegHeightGrass</t>
  </si>
  <si>
    <t>Height of Grass</t>
  </si>
  <si>
    <t>Vegetation height averaged over the grass fraction of a grid cell.</t>
  </si>
  <si>
    <t>vegHeightPasture</t>
  </si>
  <si>
    <t>Height of Pastures</t>
  </si>
  <si>
    <t>Vegetation height averaged over the pasture fraction of a grid cell.</t>
  </si>
  <si>
    <t>vegHeightShrub</t>
  </si>
  <si>
    <t>Height of Shrubs</t>
  </si>
  <si>
    <t>Vegetation height averaged over the shrub fraction of a grid cell.</t>
  </si>
  <si>
    <t>vqint</t>
  </si>
  <si>
    <t>Northward Humidity Transport</t>
  </si>
  <si>
    <t>Column integrated northward wind times specific humidity</t>
  </si>
  <si>
    <t>wetlandCH4</t>
  </si>
  <si>
    <t>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</si>
  <si>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</si>
  <si>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wetlandCH4cons</t>
  </si>
  <si>
    <t>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</si>
  <si>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</si>
  <si>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wetlandCH4prod</t>
  </si>
  <si>
    <t>Grid Averaged Methane Production (Methanogenesis) from Wetlands</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</si>
  <si>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</si>
  <si>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wetlandFrac</t>
  </si>
  <si>
    <t>longitude latitude time typewetla</t>
  </si>
  <si>
    <t>Wetland Percentage Cover</t>
  </si>
  <si>
    <t>Percentage of grid cell covered by wetland. Report only one year if  fixed percentage is used, or time series if values are determined dynamically.</t>
  </si>
  <si>
    <t>C4MIP,CMIP,LUMIP,PMIP</t>
  </si>
  <si>
    <t>wtd</t>
  </si>
  <si>
    <t>Water Table Depth</t>
  </si>
  <si>
    <t>Depth is the vertical distance below the surface. The water table is the surface below which the soil is saturated with water such that all pore spaces are filled.</t>
  </si>
  <si>
    <t>ImonAnt</t>
  </si>
  <si>
    <t>xant yant time</t>
  </si>
  <si>
    <t>Lmon</t>
  </si>
  <si>
    <t>burntFractionAll</t>
  </si>
  <si>
    <t>longitude latitude time typeburnt</t>
  </si>
  <si>
    <t>Percentage of Entire Grid cell  that is Covered by Burnt Vegetation (All Classes)</t>
  </si>
  <si>
    <t>Percentage of grid cell burned due to all fires including natural and anthropogenic fires and those associated with anthropogenic Land-use change</t>
  </si>
  <si>
    <t>AerChemMIP,C4MIP,CFMIP,CMIP,FAFMIP,GMMIP,GeoMIP,HighResMIP,LS3MIP,LUMIP,PMIP,RFMIP,VIACSAB,VolMIP</t>
  </si>
  <si>
    <t>c3PftFrac</t>
  </si>
  <si>
    <t>longitude latitude time typec3pft</t>
  </si>
  <si>
    <t>Percentage Cover by C3 Plant Functional Type</t>
  </si>
  <si>
    <t>Percentage of entire grid cell  that is covered by C3 PFTs (including grass, crops, and trees).</t>
  </si>
  <si>
    <t>AerChemMIP,CMIP,FAFMIP,GMMIP,GeoMIP,HighResMIP,LS3MIP,PMIP,RFMIP,VIACSAB,VolMIP</t>
  </si>
  <si>
    <t>c4PftFrac</t>
  </si>
  <si>
    <t>longitude latitude time typec4pft</t>
  </si>
  <si>
    <t>Percentage Cover by C4 Plant Functional Type</t>
  </si>
  <si>
    <t>Percentage of entire grid cell  that is covered by C4 PFTs (including grass and crops).</t>
  </si>
  <si>
    <t>fVegSoil</t>
  </si>
  <si>
    <t>Total Carbon Mass Flux from Vegetation Directly to Soil</t>
  </si>
  <si>
    <t>Carbon mass flux per unit area from vegetation directly into soil, without intermediate conversion to litter.</t>
  </si>
  <si>
    <t>AerChemMIP,C4MIP,CMIP,FAFMIP,GMMIP,GeoMIP,HighResMIP,LS3MIP,LUMIP,PMIP,RFMIP,VIACSAB,VolMIP</t>
  </si>
  <si>
    <t>nppLeaf</t>
  </si>
  <si>
    <t>Carbon Mass Flux Due to NPP Allocation to Leaf</t>
  </si>
  <si>
    <t>This is the rate of carbon uptake by leaves due to NPP</t>
  </si>
  <si>
    <t>AerChemMIP,C4MIP,CMIP,FAFMIP,GMMIP,GeoMIP,HighResMIP,LS3MIP,LUMIP,RFMIP,VIACSAB,VolMIP</t>
  </si>
  <si>
    <t>nppRoot</t>
  </si>
  <si>
    <t>Carbon Mass Flux Due to NPP Allocation to Roots</t>
  </si>
  <si>
    <t>This is the rate of carbon uptake by roots due to NPP</t>
  </si>
  <si>
    <t>nppWood</t>
  </si>
  <si>
    <t>Carbon Mass Flux Due to NPP Allocation to Wood</t>
  </si>
  <si>
    <t>This is the rate of carbon uptake by wood due to NPP</t>
  </si>
  <si>
    <t>treeFracPrimDec</t>
  </si>
  <si>
    <t>longitude latitude time typepdec</t>
  </si>
  <si>
    <t>Percentage Cover by Primary Deciduous Tree</t>
  </si>
  <si>
    <t>Percentage of the entire grid cell  that is covered by total primary deciduous trees.</t>
  </si>
  <si>
    <t>treeFracPrimEver</t>
  </si>
  <si>
    <t>longitude latitude time typepever</t>
  </si>
  <si>
    <t>Percentage Cover by Primary Evergreen Trees</t>
  </si>
  <si>
    <t>Percentage of entire grid cell  that is covered by primary evergreen trees.</t>
  </si>
  <si>
    <t>treeFracSecDec</t>
  </si>
  <si>
    <t>longitude latitude time typesdec</t>
  </si>
  <si>
    <t>Percentage Cover by Secondary Deciduous Trees</t>
  </si>
  <si>
    <t>Percentage of entire grid cell  that is covered by secondary deciduous trees.</t>
  </si>
  <si>
    <t>treeFracSecEver</t>
  </si>
  <si>
    <t>longitude latitude time typesever</t>
  </si>
  <si>
    <t>Percentage Cover by Secondary Evergreen Trees</t>
  </si>
  <si>
    <t>Percentage of entire grid cell  that is covered by secondary evergreen trees.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</si>
</sst>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743"/>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HYPERLINK("http://clipc-services.ceda.ac.uk/dreq/u/93a0ba1f23bfc41b720ea68951d28144.html","web")</f>
        <v>0</v>
      </c>
      <c r="J3" t="s">
        <v>20</v>
      </c>
      <c r="K3" t="s">
        <v>21</v>
      </c>
      <c r="M3" t="s">
        <v>19</v>
      </c>
    </row>
    <row r="4" spans="1:14">
      <c r="A4" t="s">
        <v>14</v>
      </c>
      <c r="B4" t="s">
        <v>22</v>
      </c>
      <c r="C4" t="s">
        <v>16</v>
      </c>
      <c r="D4" t="s">
        <v>17</v>
      </c>
      <c r="E4" t="s">
        <v>23</v>
      </c>
      <c r="F4" t="s">
        <v>24</v>
      </c>
      <c r="G4">
        <f>HYPERLINK("http://clipc-services.ceda.ac.uk/dreq/u/590e85a8-9e49-11e5-803c-0d0b866b59f3.html","web")</f>
        <v>0</v>
      </c>
      <c r="J4" t="s">
        <v>25</v>
      </c>
      <c r="K4" t="s">
        <v>21</v>
      </c>
      <c r="M4" t="s">
        <v>24</v>
      </c>
    </row>
    <row r="5" spans="1:14">
      <c r="A5" t="s">
        <v>14</v>
      </c>
      <c r="B5" t="s">
        <v>26</v>
      </c>
      <c r="C5" t="s">
        <v>16</v>
      </c>
      <c r="D5" t="s">
        <v>17</v>
      </c>
      <c r="E5" t="s">
        <v>27</v>
      </c>
      <c r="F5" t="s">
        <v>24</v>
      </c>
      <c r="G5">
        <f>HYPERLINK("http://clipc-services.ceda.ac.uk/dreq/u/59170700-9e49-11e5-803c-0d0b866b59f3.html","web")</f>
        <v>0</v>
      </c>
      <c r="J5" t="s">
        <v>28</v>
      </c>
      <c r="K5" t="s">
        <v>21</v>
      </c>
      <c r="M5" t="s">
        <v>24</v>
      </c>
    </row>
    <row r="6" spans="1:14">
      <c r="A6" t="s">
        <v>14</v>
      </c>
      <c r="B6" t="s">
        <v>29</v>
      </c>
      <c r="C6" t="s">
        <v>16</v>
      </c>
      <c r="D6" t="s">
        <v>17</v>
      </c>
      <c r="E6" t="s">
        <v>30</v>
      </c>
      <c r="F6" t="s">
        <v>31</v>
      </c>
      <c r="G6">
        <f>HYPERLINK("http://clipc-services.ceda.ac.uk/dreq/u/51fb29dd55442361fa9c5dbe23aca9c6.html","web")</f>
        <v>0</v>
      </c>
      <c r="J6" t="s">
        <v>32</v>
      </c>
      <c r="K6" t="s">
        <v>21</v>
      </c>
      <c r="M6" t="s">
        <v>31</v>
      </c>
    </row>
    <row r="8" spans="1:14">
      <c r="A8" t="s">
        <v>33</v>
      </c>
      <c r="B8" t="s">
        <v>34</v>
      </c>
      <c r="C8" t="s">
        <v>35</v>
      </c>
      <c r="D8" t="s">
        <v>36</v>
      </c>
      <c r="E8" t="s">
        <v>37</v>
      </c>
      <c r="F8" t="s">
        <v>38</v>
      </c>
      <c r="G8">
        <f>HYPERLINK("http://clipc-services.ceda.ac.uk/dreq/u/7124a0cc-c7b6-11e6-bb2a-ac72891c3257.html","web")</f>
        <v>0</v>
      </c>
      <c r="J8" t="s">
        <v>39</v>
      </c>
      <c r="K8" t="s">
        <v>40</v>
      </c>
      <c r="M8" t="s">
        <v>38</v>
      </c>
    </row>
    <row r="9" spans="1:14">
      <c r="A9" t="s">
        <v>33</v>
      </c>
      <c r="B9" t="s">
        <v>41</v>
      </c>
      <c r="C9" t="s">
        <v>35</v>
      </c>
      <c r="D9" t="s">
        <v>36</v>
      </c>
      <c r="E9" t="s">
        <v>42</v>
      </c>
      <c r="F9" t="s">
        <v>43</v>
      </c>
      <c r="G9">
        <f>HYPERLINK("http://clipc-services.ceda.ac.uk/dreq/u/7124996a-c7b6-11e6-bb2a-ac72891c3257.html","web")</f>
        <v>0</v>
      </c>
      <c r="J9" t="s">
        <v>44</v>
      </c>
      <c r="K9" t="s">
        <v>40</v>
      </c>
      <c r="M9" t="s">
        <v>43</v>
      </c>
    </row>
    <row r="10" spans="1:14">
      <c r="A10" t="s">
        <v>33</v>
      </c>
      <c r="B10" t="s">
        <v>45</v>
      </c>
      <c r="C10" t="s">
        <v>35</v>
      </c>
      <c r="D10" t="s">
        <v>36</v>
      </c>
      <c r="E10" t="s">
        <v>46</v>
      </c>
      <c r="F10" t="s">
        <v>47</v>
      </c>
      <c r="G10">
        <f>HYPERLINK("http://clipc-services.ceda.ac.uk/dreq/u/71249bb8-c7b6-11e6-bb2a-ac72891c3257.html","web")</f>
        <v>0</v>
      </c>
      <c r="J10" t="s">
        <v>48</v>
      </c>
      <c r="K10" t="s">
        <v>40</v>
      </c>
      <c r="M10" t="s">
        <v>47</v>
      </c>
    </row>
    <row r="11" spans="1:14">
      <c r="A11" t="s">
        <v>33</v>
      </c>
      <c r="B11" t="s">
        <v>49</v>
      </c>
      <c r="C11" t="s">
        <v>50</v>
      </c>
      <c r="D11" t="s">
        <v>51</v>
      </c>
      <c r="E11" t="s">
        <v>52</v>
      </c>
      <c r="F11" t="s">
        <v>38</v>
      </c>
      <c r="G11">
        <f>HYPERLINK("http://clipc-services.ceda.ac.uk/dreq/u/590dbe0c-9e49-11e5-803c-0d0b866b59f3.html","web")</f>
        <v>0</v>
      </c>
      <c r="J11" t="s">
        <v>53</v>
      </c>
      <c r="K11" t="s">
        <v>54</v>
      </c>
      <c r="M11" t="s">
        <v>38</v>
      </c>
    </row>
    <row r="12" spans="1:14">
      <c r="A12" t="s">
        <v>33</v>
      </c>
      <c r="B12" t="s">
        <v>55</v>
      </c>
      <c r="C12" t="s">
        <v>50</v>
      </c>
      <c r="D12" t="s">
        <v>51</v>
      </c>
      <c r="E12" t="s">
        <v>56</v>
      </c>
      <c r="F12" t="s">
        <v>57</v>
      </c>
      <c r="G12">
        <f>HYPERLINK("http://clipc-services.ceda.ac.uk/dreq/u/59170cbe-9e49-11e5-803c-0d0b866b59f3.html","web")</f>
        <v>0</v>
      </c>
      <c r="J12" t="s">
        <v>58</v>
      </c>
      <c r="K12" t="s">
        <v>59</v>
      </c>
      <c r="M12" t="s">
        <v>57</v>
      </c>
    </row>
    <row r="13" spans="1:14">
      <c r="A13" t="s">
        <v>33</v>
      </c>
      <c r="B13" t="s">
        <v>60</v>
      </c>
      <c r="C13" t="s">
        <v>35</v>
      </c>
      <c r="D13" t="s">
        <v>36</v>
      </c>
      <c r="E13" t="s">
        <v>61</v>
      </c>
      <c r="F13" t="s">
        <v>38</v>
      </c>
      <c r="G13">
        <f>HYPERLINK("http://clipc-services.ceda.ac.uk/dreq/u/7124926c-c7b6-11e6-bb2a-ac72891c3257.html","web")</f>
        <v>0</v>
      </c>
      <c r="J13" t="s">
        <v>62</v>
      </c>
      <c r="K13" t="s">
        <v>40</v>
      </c>
      <c r="M13" t="s">
        <v>38</v>
      </c>
    </row>
    <row r="15" spans="1:14">
      <c r="A15" t="s">
        <v>63</v>
      </c>
      <c r="B15" t="s">
        <v>64</v>
      </c>
      <c r="C15" t="s">
        <v>35</v>
      </c>
      <c r="D15" t="s">
        <v>65</v>
      </c>
      <c r="E15" t="s">
        <v>66</v>
      </c>
      <c r="F15" t="s">
        <v>67</v>
      </c>
      <c r="G15">
        <f>HYPERLINK("http://clipc-services.ceda.ac.uk/dreq/u/c9a77f2a-c5f0-11e6-ac20-5404a60d96b5.html","web")</f>
        <v>0</v>
      </c>
      <c r="J15" t="s">
        <v>68</v>
      </c>
      <c r="K15" t="s">
        <v>69</v>
      </c>
      <c r="M15" t="s">
        <v>67</v>
      </c>
    </row>
    <row r="17" spans="1:13">
      <c r="A17" t="s">
        <v>70</v>
      </c>
      <c r="B17" t="s">
        <v>71</v>
      </c>
      <c r="C17" t="s">
        <v>16</v>
      </c>
      <c r="D17" t="s">
        <v>72</v>
      </c>
      <c r="E17" t="s">
        <v>73</v>
      </c>
      <c r="F17" t="s">
        <v>74</v>
      </c>
      <c r="G17">
        <f>HYPERLINK("http://clipc-services.ceda.ac.uk/dreq/u/5914a1ea-9e49-11e5-803c-0d0b866b59f3.html","web")</f>
        <v>0</v>
      </c>
      <c r="J17" t="s">
        <v>75</v>
      </c>
      <c r="K17" t="s">
        <v>76</v>
      </c>
      <c r="M17" t="s">
        <v>74</v>
      </c>
    </row>
    <row r="18" spans="1:13">
      <c r="A18" t="s">
        <v>70</v>
      </c>
      <c r="B18" t="s">
        <v>77</v>
      </c>
      <c r="C18" t="s">
        <v>50</v>
      </c>
      <c r="D18" t="s">
        <v>72</v>
      </c>
      <c r="E18" t="s">
        <v>78</v>
      </c>
      <c r="F18" t="s">
        <v>57</v>
      </c>
      <c r="G18">
        <f>HYPERLINK("http://clipc-services.ceda.ac.uk/dreq/u/59176b14-9e49-11e5-803c-0d0b866b59f3.html","web")</f>
        <v>0</v>
      </c>
      <c r="J18" t="s">
        <v>79</v>
      </c>
      <c r="K18" t="s">
        <v>76</v>
      </c>
      <c r="M18" t="s">
        <v>57</v>
      </c>
    </row>
    <row r="19" spans="1:13">
      <c r="A19" t="s">
        <v>70</v>
      </c>
      <c r="B19" t="s">
        <v>80</v>
      </c>
      <c r="C19" t="s">
        <v>50</v>
      </c>
      <c r="D19" t="s">
        <v>72</v>
      </c>
      <c r="E19" t="s">
        <v>81</v>
      </c>
      <c r="F19" t="s">
        <v>57</v>
      </c>
      <c r="G19">
        <f>HYPERLINK("http://clipc-services.ceda.ac.uk/dreq/u/59148cf0-9e49-11e5-803c-0d0b866b59f3.html","web")</f>
        <v>0</v>
      </c>
      <c r="J19" t="s">
        <v>82</v>
      </c>
      <c r="K19" t="s">
        <v>76</v>
      </c>
      <c r="M19" t="s">
        <v>57</v>
      </c>
    </row>
    <row r="21" spans="1:13">
      <c r="A21" t="s">
        <v>83</v>
      </c>
      <c r="B21" t="s">
        <v>84</v>
      </c>
      <c r="C21" t="s">
        <v>50</v>
      </c>
      <c r="D21" t="s">
        <v>85</v>
      </c>
      <c r="E21" t="s">
        <v>86</v>
      </c>
      <c r="F21" t="s">
        <v>87</v>
      </c>
      <c r="G21">
        <f>HYPERLINK("http://clipc-services.ceda.ac.uk/dreq/u/a72a0bcf271db9db3a7fb9b7f3e7b93a.html","web")</f>
        <v>0</v>
      </c>
      <c r="J21" t="s">
        <v>88</v>
      </c>
      <c r="K21" t="s">
        <v>89</v>
      </c>
      <c r="M21" t="s">
        <v>87</v>
      </c>
    </row>
    <row r="22" spans="1:13">
      <c r="A22" t="s">
        <v>83</v>
      </c>
      <c r="B22" t="s">
        <v>90</v>
      </c>
      <c r="C22" t="s">
        <v>16</v>
      </c>
      <c r="D22" t="s">
        <v>85</v>
      </c>
      <c r="E22" t="s">
        <v>91</v>
      </c>
      <c r="F22" t="s">
        <v>87</v>
      </c>
      <c r="G22">
        <f>HYPERLINK("http://clipc-services.ceda.ac.uk/dreq/u/27ad2512525b0c42b7edd88f1dad5955.html","web")</f>
        <v>0</v>
      </c>
      <c r="J22" t="s">
        <v>92</v>
      </c>
      <c r="K22" t="s">
        <v>89</v>
      </c>
      <c r="M22" t="s">
        <v>87</v>
      </c>
    </row>
    <row r="23" spans="1:13">
      <c r="A23" t="s">
        <v>83</v>
      </c>
      <c r="B23" t="s">
        <v>93</v>
      </c>
      <c r="C23" t="s">
        <v>16</v>
      </c>
      <c r="D23" t="s">
        <v>85</v>
      </c>
      <c r="E23" t="s">
        <v>94</v>
      </c>
      <c r="F23" t="s">
        <v>95</v>
      </c>
      <c r="G23">
        <f>HYPERLINK("http://clipc-services.ceda.ac.uk/dreq/u/e5a8a5a5c4ff0920fa237e5274df57ba.html","web")</f>
        <v>0</v>
      </c>
      <c r="J23" t="s">
        <v>96</v>
      </c>
      <c r="K23" t="s">
        <v>97</v>
      </c>
      <c r="M23" t="s">
        <v>95</v>
      </c>
    </row>
    <row r="24" spans="1:13">
      <c r="A24" t="s">
        <v>83</v>
      </c>
      <c r="B24" t="s">
        <v>98</v>
      </c>
      <c r="C24" t="s">
        <v>16</v>
      </c>
      <c r="D24" t="s">
        <v>85</v>
      </c>
      <c r="E24" t="s">
        <v>99</v>
      </c>
      <c r="F24" t="s">
        <v>95</v>
      </c>
      <c r="G24">
        <f>HYPERLINK("http://clipc-services.ceda.ac.uk/dreq/u/1df32c1e9440e03187aa8253e1a0f2d9.html","web")</f>
        <v>0</v>
      </c>
      <c r="J24" t="s">
        <v>100</v>
      </c>
      <c r="K24" t="s">
        <v>97</v>
      </c>
      <c r="M24" t="s">
        <v>95</v>
      </c>
    </row>
    <row r="25" spans="1:13">
      <c r="A25" t="s">
        <v>83</v>
      </c>
      <c r="B25" t="s">
        <v>101</v>
      </c>
      <c r="C25" t="s">
        <v>16</v>
      </c>
      <c r="D25" t="s">
        <v>85</v>
      </c>
      <c r="E25" t="s">
        <v>102</v>
      </c>
      <c r="F25" t="s">
        <v>95</v>
      </c>
      <c r="G25">
        <f>HYPERLINK("http://clipc-services.ceda.ac.uk/dreq/u/6674625c225f14aa8d6795d1df244c28.html","web")</f>
        <v>0</v>
      </c>
      <c r="J25" t="s">
        <v>103</v>
      </c>
      <c r="K25" t="s">
        <v>97</v>
      </c>
      <c r="M25" t="s">
        <v>95</v>
      </c>
    </row>
    <row r="26" spans="1:13">
      <c r="A26" t="s">
        <v>83</v>
      </c>
      <c r="B26" t="s">
        <v>104</v>
      </c>
      <c r="C26" t="s">
        <v>16</v>
      </c>
      <c r="D26" t="s">
        <v>85</v>
      </c>
      <c r="E26" t="s">
        <v>105</v>
      </c>
      <c r="F26" t="s">
        <v>95</v>
      </c>
      <c r="G26">
        <f>HYPERLINK("http://clipc-services.ceda.ac.uk/dreq/u/c075ee7167ef3bc43fef7ce624f960af.html","web")</f>
        <v>0</v>
      </c>
      <c r="J26" t="s">
        <v>106</v>
      </c>
      <c r="K26" t="s">
        <v>97</v>
      </c>
      <c r="M26" t="s">
        <v>95</v>
      </c>
    </row>
    <row r="27" spans="1:13">
      <c r="A27" t="s">
        <v>83</v>
      </c>
      <c r="B27" t="s">
        <v>107</v>
      </c>
      <c r="C27" t="s">
        <v>16</v>
      </c>
      <c r="D27" t="s">
        <v>85</v>
      </c>
      <c r="E27" t="s">
        <v>108</v>
      </c>
      <c r="F27" t="s">
        <v>95</v>
      </c>
      <c r="G27">
        <f>HYPERLINK("http://clipc-services.ceda.ac.uk/dreq/u/cc3eb19e60c00c77520c2cbf58c322b1.html","web")</f>
        <v>0</v>
      </c>
      <c r="J27" t="s">
        <v>109</v>
      </c>
      <c r="K27" t="s">
        <v>97</v>
      </c>
      <c r="M27" t="s">
        <v>95</v>
      </c>
    </row>
    <row r="28" spans="1:13">
      <c r="A28" t="s">
        <v>83</v>
      </c>
      <c r="B28" t="s">
        <v>110</v>
      </c>
      <c r="C28" t="s">
        <v>16</v>
      </c>
      <c r="D28" t="s">
        <v>85</v>
      </c>
      <c r="E28" t="s">
        <v>111</v>
      </c>
      <c r="F28" t="s">
        <v>95</v>
      </c>
      <c r="G28">
        <f>HYPERLINK("http://clipc-services.ceda.ac.uk/dreq/u/2157a343384243be18fe8a06826aecb5.html","web")</f>
        <v>0</v>
      </c>
      <c r="J28" t="s">
        <v>112</v>
      </c>
      <c r="K28" t="s">
        <v>97</v>
      </c>
      <c r="M28" t="s">
        <v>95</v>
      </c>
    </row>
    <row r="29" spans="1:13">
      <c r="A29" t="s">
        <v>83</v>
      </c>
      <c r="B29" t="s">
        <v>113</v>
      </c>
      <c r="C29" t="s">
        <v>50</v>
      </c>
      <c r="D29" t="s">
        <v>85</v>
      </c>
      <c r="E29" t="s">
        <v>114</v>
      </c>
      <c r="F29" t="s">
        <v>115</v>
      </c>
      <c r="G29">
        <f>HYPERLINK("http://clipc-services.ceda.ac.uk/dreq/u/df96c61c07957da1c4e8212f0553fa98.html","web")</f>
        <v>0</v>
      </c>
      <c r="J29" t="s">
        <v>116</v>
      </c>
      <c r="K29" t="s">
        <v>117</v>
      </c>
      <c r="M29" t="s">
        <v>115</v>
      </c>
    </row>
    <row r="30" spans="1:13">
      <c r="A30" t="s">
        <v>83</v>
      </c>
      <c r="B30" t="s">
        <v>118</v>
      </c>
      <c r="C30" t="s">
        <v>50</v>
      </c>
      <c r="D30" t="s">
        <v>85</v>
      </c>
      <c r="E30" t="s">
        <v>119</v>
      </c>
      <c r="F30" t="s">
        <v>115</v>
      </c>
      <c r="G30">
        <f>HYPERLINK("http://clipc-services.ceda.ac.uk/dreq/u/171d617ceca8a4351f53d090c0ead89c.html","web")</f>
        <v>0</v>
      </c>
      <c r="J30" t="s">
        <v>120</v>
      </c>
      <c r="K30" t="s">
        <v>117</v>
      </c>
      <c r="M30" t="s">
        <v>115</v>
      </c>
    </row>
    <row r="31" spans="1:13">
      <c r="A31" t="s">
        <v>83</v>
      </c>
      <c r="B31" t="s">
        <v>121</v>
      </c>
      <c r="C31" t="s">
        <v>50</v>
      </c>
      <c r="D31" t="s">
        <v>85</v>
      </c>
      <c r="E31" t="s">
        <v>122</v>
      </c>
      <c r="F31" t="s">
        <v>115</v>
      </c>
      <c r="G31">
        <f>HYPERLINK("http://clipc-services.ceda.ac.uk/dreq/u/edc3d019be9c383abbd82a4d5fad43ca.html","web")</f>
        <v>0</v>
      </c>
      <c r="J31" t="s">
        <v>123</v>
      </c>
      <c r="K31" t="s">
        <v>117</v>
      </c>
      <c r="M31" t="s">
        <v>115</v>
      </c>
    </row>
    <row r="32" spans="1:13">
      <c r="A32" t="s">
        <v>83</v>
      </c>
      <c r="B32" t="s">
        <v>124</v>
      </c>
      <c r="C32" t="s">
        <v>50</v>
      </c>
      <c r="D32" t="s">
        <v>85</v>
      </c>
      <c r="E32" t="s">
        <v>125</v>
      </c>
      <c r="F32" t="s">
        <v>87</v>
      </c>
      <c r="G32">
        <f>HYPERLINK("http://clipc-services.ceda.ac.uk/dreq/u/c9794182-c5f0-11e6-ac20-5404a60d96b5.html","web")</f>
        <v>0</v>
      </c>
      <c r="J32" t="s">
        <v>126</v>
      </c>
      <c r="K32" t="s">
        <v>117</v>
      </c>
      <c r="M32" t="s">
        <v>87</v>
      </c>
    </row>
    <row r="33" spans="1:13">
      <c r="A33" t="s">
        <v>83</v>
      </c>
      <c r="B33" t="s">
        <v>127</v>
      </c>
      <c r="C33" t="s">
        <v>50</v>
      </c>
      <c r="D33" t="s">
        <v>85</v>
      </c>
      <c r="E33" t="s">
        <v>128</v>
      </c>
      <c r="F33" t="s">
        <v>87</v>
      </c>
      <c r="G33">
        <f>HYPERLINK("http://clipc-services.ceda.ac.uk/dreq/u/c9793390-c5f0-11e6-ac20-5404a60d96b5.html","web")</f>
        <v>0</v>
      </c>
      <c r="J33" t="s">
        <v>129</v>
      </c>
      <c r="K33" t="s">
        <v>117</v>
      </c>
      <c r="M33" t="s">
        <v>87</v>
      </c>
    </row>
    <row r="34" spans="1:13">
      <c r="A34" t="s">
        <v>83</v>
      </c>
      <c r="B34" t="s">
        <v>130</v>
      </c>
      <c r="C34" t="s">
        <v>50</v>
      </c>
      <c r="D34" t="s">
        <v>85</v>
      </c>
      <c r="E34" t="s">
        <v>131</v>
      </c>
      <c r="F34" t="s">
        <v>87</v>
      </c>
      <c r="G34">
        <f>HYPERLINK("http://clipc-services.ceda.ac.uk/dreq/u/065edaa295c376f0e9bc1985bc3f491c.html","web")</f>
        <v>0</v>
      </c>
      <c r="J34" t="s">
        <v>132</v>
      </c>
      <c r="K34" t="s">
        <v>97</v>
      </c>
      <c r="M34" t="s">
        <v>87</v>
      </c>
    </row>
    <row r="35" spans="1:13">
      <c r="A35" t="s">
        <v>83</v>
      </c>
      <c r="B35" t="s">
        <v>133</v>
      </c>
      <c r="C35" t="s">
        <v>50</v>
      </c>
      <c r="D35" t="s">
        <v>85</v>
      </c>
      <c r="E35" t="s">
        <v>134</v>
      </c>
      <c r="F35" t="s">
        <v>95</v>
      </c>
      <c r="G35">
        <f>HYPERLINK("http://clipc-services.ceda.ac.uk/dreq/u/402d88cf81105fe603118df92bb9eecb.html","web")</f>
        <v>0</v>
      </c>
      <c r="J35" t="s">
        <v>135</v>
      </c>
      <c r="K35" t="s">
        <v>97</v>
      </c>
      <c r="M35" t="s">
        <v>95</v>
      </c>
    </row>
    <row r="36" spans="1:13">
      <c r="A36" t="s">
        <v>83</v>
      </c>
      <c r="B36" t="s">
        <v>136</v>
      </c>
      <c r="C36" t="s">
        <v>16</v>
      </c>
      <c r="D36" t="s">
        <v>85</v>
      </c>
      <c r="E36" t="s">
        <v>137</v>
      </c>
      <c r="F36" t="s">
        <v>138</v>
      </c>
      <c r="G36">
        <f>HYPERLINK("http://clipc-services.ceda.ac.uk/dreq/u/84115d24881654a3deceba63b22cba06.html","web")</f>
        <v>0</v>
      </c>
      <c r="J36" t="s">
        <v>139</v>
      </c>
      <c r="K36" t="s">
        <v>140</v>
      </c>
      <c r="M36" t="s">
        <v>138</v>
      </c>
    </row>
    <row r="37" spans="1:13">
      <c r="A37" t="s">
        <v>83</v>
      </c>
      <c r="B37" t="s">
        <v>141</v>
      </c>
      <c r="C37" t="s">
        <v>16</v>
      </c>
      <c r="D37" t="s">
        <v>85</v>
      </c>
      <c r="E37" t="s">
        <v>142</v>
      </c>
      <c r="F37" t="s">
        <v>143</v>
      </c>
      <c r="G37">
        <f>HYPERLINK("http://clipc-services.ceda.ac.uk/dreq/u/64c32fcf490e2e5e9918a5401fa48424.html","web")</f>
        <v>0</v>
      </c>
      <c r="J37" t="s">
        <v>144</v>
      </c>
      <c r="K37" t="s">
        <v>140</v>
      </c>
      <c r="M37" t="s">
        <v>143</v>
      </c>
    </row>
    <row r="38" spans="1:13">
      <c r="A38" t="s">
        <v>83</v>
      </c>
      <c r="B38" t="s">
        <v>145</v>
      </c>
      <c r="C38" t="s">
        <v>16</v>
      </c>
      <c r="D38" t="s">
        <v>85</v>
      </c>
      <c r="E38" t="s">
        <v>146</v>
      </c>
      <c r="F38" t="s">
        <v>143</v>
      </c>
      <c r="G38">
        <f>HYPERLINK("http://clipc-services.ceda.ac.uk/dreq/u/1cf6c7fa0adedf95b3eaad5fb3f96b1c.html","web")</f>
        <v>0</v>
      </c>
      <c r="J38" t="s">
        <v>147</v>
      </c>
      <c r="K38" t="s">
        <v>140</v>
      </c>
      <c r="M38" t="s">
        <v>143</v>
      </c>
    </row>
    <row r="39" spans="1:13">
      <c r="A39" t="s">
        <v>83</v>
      </c>
      <c r="B39" t="s">
        <v>148</v>
      </c>
      <c r="C39" t="s">
        <v>16</v>
      </c>
      <c r="D39" t="s">
        <v>85</v>
      </c>
      <c r="E39" t="s">
        <v>149</v>
      </c>
      <c r="F39" t="s">
        <v>143</v>
      </c>
      <c r="G39">
        <f>HYPERLINK("http://clipc-services.ceda.ac.uk/dreq/u/b02d071fff99f2632aa8ac5e83e92215.html","web")</f>
        <v>0</v>
      </c>
      <c r="J39" t="s">
        <v>150</v>
      </c>
      <c r="K39" t="s">
        <v>140</v>
      </c>
      <c r="M39" t="s">
        <v>143</v>
      </c>
    </row>
    <row r="40" spans="1:13">
      <c r="A40" t="s">
        <v>83</v>
      </c>
      <c r="B40" t="s">
        <v>151</v>
      </c>
      <c r="C40" t="s">
        <v>16</v>
      </c>
      <c r="D40" t="s">
        <v>152</v>
      </c>
      <c r="E40" t="s">
        <v>153</v>
      </c>
      <c r="F40" t="s">
        <v>74</v>
      </c>
      <c r="G40">
        <f>HYPERLINK("http://clipc-services.ceda.ac.uk/dreq/u/f56a3a44b60650b58309b1d8cf58b913.html","web")</f>
        <v>0</v>
      </c>
      <c r="J40" t="s">
        <v>154</v>
      </c>
      <c r="K40" t="s">
        <v>140</v>
      </c>
      <c r="M40" t="s">
        <v>74</v>
      </c>
    </row>
    <row r="41" spans="1:13">
      <c r="A41" t="s">
        <v>83</v>
      </c>
      <c r="B41" t="s">
        <v>155</v>
      </c>
      <c r="C41" t="s">
        <v>35</v>
      </c>
      <c r="D41" t="s">
        <v>85</v>
      </c>
      <c r="E41" t="s">
        <v>156</v>
      </c>
      <c r="F41" t="s">
        <v>87</v>
      </c>
      <c r="G41">
        <f>HYPERLINK("http://clipc-services.ceda.ac.uk/dreq/u/59175660-9e49-11e5-803c-0d0b866b59f3.html","web")</f>
        <v>0</v>
      </c>
      <c r="J41" t="s">
        <v>157</v>
      </c>
      <c r="K41" t="s">
        <v>117</v>
      </c>
      <c r="M41" t="s">
        <v>87</v>
      </c>
    </row>
    <row r="42" spans="1:13">
      <c r="A42" t="s">
        <v>83</v>
      </c>
      <c r="B42" t="s">
        <v>158</v>
      </c>
      <c r="C42" t="s">
        <v>35</v>
      </c>
      <c r="D42" t="s">
        <v>85</v>
      </c>
      <c r="E42" t="s">
        <v>159</v>
      </c>
      <c r="F42" t="s">
        <v>87</v>
      </c>
      <c r="G42">
        <f>HYPERLINK("http://clipc-services.ceda.ac.uk/dreq/u/1391b0d99790cec6597b02ce4d7c5a67.html","web")</f>
        <v>0</v>
      </c>
      <c r="J42" t="s">
        <v>160</v>
      </c>
      <c r="K42" t="s">
        <v>117</v>
      </c>
      <c r="M42" t="s">
        <v>87</v>
      </c>
    </row>
    <row r="43" spans="1:13">
      <c r="A43" t="s">
        <v>83</v>
      </c>
      <c r="B43" t="s">
        <v>161</v>
      </c>
      <c r="C43" t="s">
        <v>35</v>
      </c>
      <c r="D43" t="s">
        <v>85</v>
      </c>
      <c r="E43" t="s">
        <v>162</v>
      </c>
      <c r="F43" t="s">
        <v>87</v>
      </c>
      <c r="G43">
        <f>HYPERLINK("http://clipc-services.ceda.ac.uk/dreq/u/55febff83b78e06576947e1c0e5b7a7d.html","web")</f>
        <v>0</v>
      </c>
      <c r="J43" t="s">
        <v>163</v>
      </c>
      <c r="K43" t="s">
        <v>117</v>
      </c>
      <c r="M43" t="s">
        <v>87</v>
      </c>
    </row>
    <row r="44" spans="1:13">
      <c r="A44" t="s">
        <v>83</v>
      </c>
      <c r="B44" t="s">
        <v>164</v>
      </c>
      <c r="C44" t="s">
        <v>35</v>
      </c>
      <c r="D44" t="s">
        <v>85</v>
      </c>
      <c r="E44" t="s">
        <v>165</v>
      </c>
      <c r="F44" t="s">
        <v>87</v>
      </c>
      <c r="G44">
        <f>HYPERLINK("http://clipc-services.ceda.ac.uk/dreq/u/2fcdf51262cdbc4279810b7a487b149e.html","web")</f>
        <v>0</v>
      </c>
      <c r="J44" t="s">
        <v>166</v>
      </c>
      <c r="K44" t="s">
        <v>117</v>
      </c>
      <c r="M44" t="s">
        <v>87</v>
      </c>
    </row>
    <row r="45" spans="1:13">
      <c r="A45" t="s">
        <v>83</v>
      </c>
      <c r="B45" t="s">
        <v>167</v>
      </c>
      <c r="C45" t="s">
        <v>50</v>
      </c>
      <c r="D45" t="s">
        <v>85</v>
      </c>
      <c r="E45" t="s">
        <v>168</v>
      </c>
      <c r="F45" t="s">
        <v>87</v>
      </c>
      <c r="G45">
        <f>HYPERLINK("http://clipc-services.ceda.ac.uk/dreq/u/bdce9878-233e-11e6-a788-5404a60d96b5.html","web")</f>
        <v>0</v>
      </c>
      <c r="J45" t="s">
        <v>169</v>
      </c>
      <c r="K45" t="s">
        <v>97</v>
      </c>
      <c r="M45" t="s">
        <v>87</v>
      </c>
    </row>
    <row r="46" spans="1:13">
      <c r="A46" t="s">
        <v>83</v>
      </c>
      <c r="B46" t="s">
        <v>170</v>
      </c>
      <c r="C46" t="s">
        <v>50</v>
      </c>
      <c r="D46" t="s">
        <v>85</v>
      </c>
      <c r="E46" t="s">
        <v>171</v>
      </c>
      <c r="F46" t="s">
        <v>172</v>
      </c>
      <c r="G46">
        <f>HYPERLINK("http://clipc-services.ceda.ac.uk/dreq/u/684d3f3543045a89ecbb0ca81ba6705f.html","web")</f>
        <v>0</v>
      </c>
      <c r="J46" t="s">
        <v>173</v>
      </c>
      <c r="K46" t="s">
        <v>97</v>
      </c>
      <c r="M46" t="s">
        <v>172</v>
      </c>
    </row>
    <row r="47" spans="1:13">
      <c r="A47" t="s">
        <v>83</v>
      </c>
      <c r="B47" t="s">
        <v>174</v>
      </c>
      <c r="C47" t="s">
        <v>16</v>
      </c>
      <c r="D47" t="s">
        <v>85</v>
      </c>
      <c r="E47" t="s">
        <v>175</v>
      </c>
      <c r="F47" t="s">
        <v>95</v>
      </c>
      <c r="G47">
        <f>HYPERLINK("http://clipc-services.ceda.ac.uk/dreq/u/9af5cb75998bb01d32958af3aeb30083.html","web")</f>
        <v>0</v>
      </c>
      <c r="J47" t="s">
        <v>176</v>
      </c>
      <c r="K47" t="s">
        <v>117</v>
      </c>
      <c r="M47" t="s">
        <v>95</v>
      </c>
    </row>
    <row r="48" spans="1:13">
      <c r="A48" t="s">
        <v>83</v>
      </c>
      <c r="B48" t="s">
        <v>177</v>
      </c>
      <c r="C48" t="s">
        <v>16</v>
      </c>
      <c r="D48" t="s">
        <v>85</v>
      </c>
      <c r="E48" t="s">
        <v>178</v>
      </c>
      <c r="F48" t="s">
        <v>95</v>
      </c>
      <c r="G48">
        <f>HYPERLINK("http://clipc-services.ceda.ac.uk/dreq/u/9a9dda6b54b64f67bda703c77465cceb.html","web")</f>
        <v>0</v>
      </c>
      <c r="J48" t="s">
        <v>179</v>
      </c>
      <c r="K48" t="s">
        <v>97</v>
      </c>
      <c r="M48" t="s">
        <v>95</v>
      </c>
    </row>
    <row r="49" spans="1:13">
      <c r="A49" t="s">
        <v>83</v>
      </c>
      <c r="B49" t="s">
        <v>180</v>
      </c>
      <c r="C49" t="s">
        <v>35</v>
      </c>
      <c r="D49" t="s">
        <v>152</v>
      </c>
      <c r="E49" t="s">
        <v>181</v>
      </c>
      <c r="F49" t="s">
        <v>182</v>
      </c>
      <c r="G49">
        <f>HYPERLINK("http://clipc-services.ceda.ac.uk/dreq/u/590e5b82-9e49-11e5-803c-0d0b866b59f3.html","web")</f>
        <v>0</v>
      </c>
      <c r="J49" t="s">
        <v>183</v>
      </c>
      <c r="K49" t="s">
        <v>117</v>
      </c>
      <c r="M49" t="s">
        <v>182</v>
      </c>
    </row>
    <row r="50" spans="1:13">
      <c r="A50" t="s">
        <v>83</v>
      </c>
      <c r="B50" t="s">
        <v>184</v>
      </c>
      <c r="C50" t="s">
        <v>35</v>
      </c>
      <c r="D50" t="s">
        <v>152</v>
      </c>
      <c r="E50" t="s">
        <v>185</v>
      </c>
      <c r="F50" t="s">
        <v>182</v>
      </c>
      <c r="G50">
        <f>HYPERLINK("http://clipc-services.ceda.ac.uk/dreq/u/f36046ab9a8a24ce4d7431e2defd9cf6.html","web")</f>
        <v>0</v>
      </c>
      <c r="J50" t="s">
        <v>186</v>
      </c>
      <c r="K50" t="s">
        <v>117</v>
      </c>
      <c r="M50" t="s">
        <v>182</v>
      </c>
    </row>
    <row r="51" spans="1:13">
      <c r="A51" t="s">
        <v>83</v>
      </c>
      <c r="B51" t="s">
        <v>187</v>
      </c>
      <c r="C51" t="s">
        <v>35</v>
      </c>
      <c r="D51" t="s">
        <v>152</v>
      </c>
      <c r="E51" t="s">
        <v>188</v>
      </c>
      <c r="F51" t="s">
        <v>182</v>
      </c>
      <c r="G51">
        <f>HYPERLINK("http://clipc-services.ceda.ac.uk/dreq/u/042e575e61a271e122d317ca7b39dcb4.html","web")</f>
        <v>0</v>
      </c>
      <c r="J51" t="s">
        <v>189</v>
      </c>
      <c r="K51" t="s">
        <v>117</v>
      </c>
      <c r="M51" t="s">
        <v>182</v>
      </c>
    </row>
    <row r="52" spans="1:13">
      <c r="A52" t="s">
        <v>83</v>
      </c>
      <c r="B52" t="s">
        <v>190</v>
      </c>
      <c r="C52" t="s">
        <v>35</v>
      </c>
      <c r="D52" t="s">
        <v>152</v>
      </c>
      <c r="E52" t="s">
        <v>191</v>
      </c>
      <c r="F52" t="s">
        <v>182</v>
      </c>
      <c r="G52">
        <f>HYPERLINK("http://clipc-services.ceda.ac.uk/dreq/u/97c037c3357f24c4e06c07123224b400.html","web")</f>
        <v>0</v>
      </c>
      <c r="J52" t="s">
        <v>192</v>
      </c>
      <c r="K52" t="s">
        <v>117</v>
      </c>
      <c r="M52" t="s">
        <v>182</v>
      </c>
    </row>
    <row r="53" spans="1:13">
      <c r="A53" t="s">
        <v>83</v>
      </c>
      <c r="B53" t="s">
        <v>193</v>
      </c>
      <c r="C53" t="s">
        <v>50</v>
      </c>
      <c r="D53" t="s">
        <v>85</v>
      </c>
      <c r="E53" t="s">
        <v>194</v>
      </c>
      <c r="F53" t="s">
        <v>87</v>
      </c>
      <c r="G53">
        <f>HYPERLINK("http://clipc-services.ceda.ac.uk/dreq/u/e4e75ce1fe85a547cd0d39d4b64ec0e2.html","web")</f>
        <v>0</v>
      </c>
      <c r="J53" t="s">
        <v>195</v>
      </c>
      <c r="K53" t="s">
        <v>117</v>
      </c>
      <c r="M53" t="s">
        <v>87</v>
      </c>
    </row>
    <row r="54" spans="1:13">
      <c r="A54" t="s">
        <v>83</v>
      </c>
      <c r="B54" t="s">
        <v>196</v>
      </c>
      <c r="C54" t="s">
        <v>16</v>
      </c>
      <c r="D54" t="s">
        <v>152</v>
      </c>
      <c r="E54" t="s">
        <v>197</v>
      </c>
      <c r="F54" t="s">
        <v>198</v>
      </c>
      <c r="G54">
        <f>HYPERLINK("http://clipc-services.ceda.ac.uk/dreq/u/117c89cc-b574-11e6-9ed4-5404a60d96b5.html","web")</f>
        <v>0</v>
      </c>
      <c r="J54" t="s">
        <v>199</v>
      </c>
      <c r="K54" t="s">
        <v>117</v>
      </c>
      <c r="M54" t="s">
        <v>198</v>
      </c>
    </row>
    <row r="55" spans="1:13">
      <c r="A55" t="s">
        <v>83</v>
      </c>
      <c r="B55" t="s">
        <v>200</v>
      </c>
      <c r="C55" t="s">
        <v>16</v>
      </c>
      <c r="D55" t="s">
        <v>85</v>
      </c>
      <c r="E55" t="s">
        <v>201</v>
      </c>
      <c r="F55" t="s">
        <v>74</v>
      </c>
      <c r="G55">
        <f>HYPERLINK("http://clipc-services.ceda.ac.uk/dreq/u/1742f769c80d35356bf80ab91789eec6.html","web")</f>
        <v>0</v>
      </c>
      <c r="J55" t="s">
        <v>202</v>
      </c>
      <c r="K55" t="s">
        <v>140</v>
      </c>
      <c r="M55" t="s">
        <v>74</v>
      </c>
    </row>
    <row r="56" spans="1:13">
      <c r="A56" t="s">
        <v>83</v>
      </c>
      <c r="B56" t="s">
        <v>203</v>
      </c>
      <c r="C56" t="s">
        <v>16</v>
      </c>
      <c r="D56" t="s">
        <v>85</v>
      </c>
      <c r="E56" t="s">
        <v>204</v>
      </c>
      <c r="F56" t="s">
        <v>74</v>
      </c>
      <c r="G56">
        <f>HYPERLINK("http://clipc-services.ceda.ac.uk/dreq/u/2aa31f177542022b5d6ca809cf01eff5.html","web")</f>
        <v>0</v>
      </c>
      <c r="J56" t="s">
        <v>205</v>
      </c>
      <c r="K56" t="s">
        <v>140</v>
      </c>
      <c r="M56" t="s">
        <v>74</v>
      </c>
    </row>
    <row r="57" spans="1:13">
      <c r="A57" t="s">
        <v>83</v>
      </c>
      <c r="B57" t="s">
        <v>206</v>
      </c>
      <c r="C57" t="s">
        <v>16</v>
      </c>
      <c r="D57" t="s">
        <v>152</v>
      </c>
      <c r="E57" t="s">
        <v>207</v>
      </c>
      <c r="F57" t="s">
        <v>198</v>
      </c>
      <c r="G57">
        <f>HYPERLINK("http://clipc-services.ceda.ac.uk/dreq/u/59133ddc-9e49-11e5-803c-0d0b866b59f3.html","web")</f>
        <v>0</v>
      </c>
      <c r="J57" t="s">
        <v>208</v>
      </c>
      <c r="K57" t="s">
        <v>117</v>
      </c>
      <c r="M57" t="s">
        <v>198</v>
      </c>
    </row>
    <row r="58" spans="1:13">
      <c r="A58" t="s">
        <v>83</v>
      </c>
      <c r="B58" t="s">
        <v>209</v>
      </c>
      <c r="C58" t="s">
        <v>16</v>
      </c>
      <c r="D58" t="s">
        <v>85</v>
      </c>
      <c r="E58" t="s">
        <v>210</v>
      </c>
      <c r="F58" t="s">
        <v>74</v>
      </c>
      <c r="G58">
        <f>HYPERLINK("http://clipc-services.ceda.ac.uk/dreq/u/8530ec1d1281da71f660df7c61571e38.html","web")</f>
        <v>0</v>
      </c>
      <c r="J58" t="s">
        <v>211</v>
      </c>
      <c r="K58" t="s">
        <v>140</v>
      </c>
      <c r="M58" t="s">
        <v>74</v>
      </c>
    </row>
    <row r="59" spans="1:13">
      <c r="A59" t="s">
        <v>83</v>
      </c>
      <c r="B59" t="s">
        <v>212</v>
      </c>
      <c r="C59" t="s">
        <v>16</v>
      </c>
      <c r="D59" t="s">
        <v>85</v>
      </c>
      <c r="E59" t="s">
        <v>213</v>
      </c>
      <c r="F59" t="s">
        <v>74</v>
      </c>
      <c r="G59">
        <f>HYPERLINK("http://clipc-services.ceda.ac.uk/dreq/u/bf9968cc511b92e99f89e9856bd38fb6.html","web")</f>
        <v>0</v>
      </c>
      <c r="J59" t="s">
        <v>214</v>
      </c>
      <c r="K59" t="s">
        <v>140</v>
      </c>
      <c r="M59" t="s">
        <v>74</v>
      </c>
    </row>
    <row r="60" spans="1:13">
      <c r="A60" t="s">
        <v>83</v>
      </c>
      <c r="B60" t="s">
        <v>215</v>
      </c>
      <c r="C60" t="s">
        <v>16</v>
      </c>
      <c r="D60" t="s">
        <v>85</v>
      </c>
      <c r="E60" t="s">
        <v>216</v>
      </c>
      <c r="F60" t="s">
        <v>74</v>
      </c>
      <c r="G60">
        <f>HYPERLINK("http://clipc-services.ceda.ac.uk/dreq/u/64c745ab7c8597bb0afed2bafd12c20c.html","web")</f>
        <v>0</v>
      </c>
      <c r="J60" t="s">
        <v>217</v>
      </c>
      <c r="K60" t="s">
        <v>140</v>
      </c>
      <c r="M60" t="s">
        <v>74</v>
      </c>
    </row>
    <row r="61" spans="1:13">
      <c r="A61" t="s">
        <v>83</v>
      </c>
      <c r="B61" t="s">
        <v>218</v>
      </c>
      <c r="C61" t="s">
        <v>16</v>
      </c>
      <c r="D61" t="s">
        <v>85</v>
      </c>
      <c r="E61" t="s">
        <v>219</v>
      </c>
      <c r="F61" t="s">
        <v>74</v>
      </c>
      <c r="G61">
        <f>HYPERLINK("http://clipc-services.ceda.ac.uk/dreq/u/3cbe53c2-12cc-11e6-b2bc-ac72891c3257.html","web")</f>
        <v>0</v>
      </c>
      <c r="J61" t="s">
        <v>220</v>
      </c>
      <c r="K61" t="s">
        <v>140</v>
      </c>
      <c r="M61" t="s">
        <v>74</v>
      </c>
    </row>
    <row r="62" spans="1:13">
      <c r="A62" t="s">
        <v>83</v>
      </c>
      <c r="B62" t="s">
        <v>221</v>
      </c>
      <c r="C62" t="s">
        <v>16</v>
      </c>
      <c r="D62" t="s">
        <v>85</v>
      </c>
      <c r="E62" t="s">
        <v>222</v>
      </c>
      <c r="F62" t="s">
        <v>74</v>
      </c>
      <c r="G62">
        <f>HYPERLINK("http://clipc-services.ceda.ac.uk/dreq/u/d447c41b5f4e8c44f1fe64503cb4caa1.html","web")</f>
        <v>0</v>
      </c>
      <c r="J62" t="s">
        <v>223</v>
      </c>
      <c r="K62" t="s">
        <v>140</v>
      </c>
      <c r="M62" t="s">
        <v>74</v>
      </c>
    </row>
    <row r="63" spans="1:13">
      <c r="A63" t="s">
        <v>83</v>
      </c>
      <c r="B63" t="s">
        <v>224</v>
      </c>
      <c r="C63" t="s">
        <v>16</v>
      </c>
      <c r="D63" t="s">
        <v>85</v>
      </c>
      <c r="E63" t="s">
        <v>225</v>
      </c>
      <c r="F63" t="s">
        <v>182</v>
      </c>
      <c r="G63">
        <f>HYPERLINK("http://clipc-services.ceda.ac.uk/dreq/u/9259f1caedb47c287bc1c9dfc3c6f756.html","web")</f>
        <v>0</v>
      </c>
      <c r="J63" t="s">
        <v>226</v>
      </c>
      <c r="K63" t="s">
        <v>140</v>
      </c>
      <c r="M63" t="s">
        <v>182</v>
      </c>
    </row>
    <row r="64" spans="1:13">
      <c r="A64" t="s">
        <v>83</v>
      </c>
      <c r="B64" t="s">
        <v>227</v>
      </c>
      <c r="C64" t="s">
        <v>50</v>
      </c>
      <c r="D64" t="s">
        <v>85</v>
      </c>
      <c r="E64" t="s">
        <v>228</v>
      </c>
      <c r="F64" t="s">
        <v>95</v>
      </c>
      <c r="G64">
        <f>HYPERLINK("http://clipc-services.ceda.ac.uk/dreq/u/6aec29521de81a361630aac9ffc69f8f.html","web")</f>
        <v>0</v>
      </c>
      <c r="J64" t="s">
        <v>229</v>
      </c>
      <c r="K64" t="s">
        <v>97</v>
      </c>
      <c r="M64" t="s">
        <v>95</v>
      </c>
    </row>
    <row r="65" spans="1:13">
      <c r="A65" t="s">
        <v>83</v>
      </c>
      <c r="B65" t="s">
        <v>230</v>
      </c>
      <c r="C65" t="s">
        <v>35</v>
      </c>
      <c r="D65" t="s">
        <v>85</v>
      </c>
      <c r="E65" t="s">
        <v>231</v>
      </c>
      <c r="F65" t="s">
        <v>35</v>
      </c>
      <c r="G65">
        <f>HYPERLINK("http://clipc-services.ceda.ac.uk/dreq/u/c977c2da-c5f0-11e6-ac20-5404a60d96b5.html","web")</f>
        <v>0</v>
      </c>
      <c r="J65" t="s">
        <v>232</v>
      </c>
      <c r="K65" t="s">
        <v>117</v>
      </c>
      <c r="M65" t="s">
        <v>35</v>
      </c>
    </row>
    <row r="66" spans="1:13">
      <c r="A66" t="s">
        <v>83</v>
      </c>
      <c r="B66" t="s">
        <v>233</v>
      </c>
      <c r="C66" t="s">
        <v>35</v>
      </c>
      <c r="D66" t="s">
        <v>85</v>
      </c>
      <c r="E66" t="s">
        <v>234</v>
      </c>
      <c r="F66" t="s">
        <v>35</v>
      </c>
      <c r="G66">
        <f>HYPERLINK("http://clipc-services.ceda.ac.uk/dreq/u/c97004d2-c5f0-11e6-ac20-5404a60d96b5.html","web")</f>
        <v>0</v>
      </c>
      <c r="J66" t="s">
        <v>235</v>
      </c>
      <c r="K66" t="s">
        <v>117</v>
      </c>
      <c r="M66" t="s">
        <v>35</v>
      </c>
    </row>
    <row r="67" spans="1:13">
      <c r="A67" t="s">
        <v>83</v>
      </c>
      <c r="B67" t="s">
        <v>236</v>
      </c>
      <c r="C67" t="s">
        <v>16</v>
      </c>
      <c r="D67" t="s">
        <v>85</v>
      </c>
      <c r="E67" t="s">
        <v>237</v>
      </c>
      <c r="F67" t="s">
        <v>87</v>
      </c>
      <c r="G67">
        <f>HYPERLINK("http://clipc-services.ceda.ac.uk/dreq/u/38c7aa97ad0f74e33dfd3f115124d04f.html","web")</f>
        <v>0</v>
      </c>
      <c r="J67" t="s">
        <v>238</v>
      </c>
      <c r="K67" t="s">
        <v>89</v>
      </c>
      <c r="M67" t="s">
        <v>87</v>
      </c>
    </row>
    <row r="68" spans="1:13">
      <c r="A68" t="s">
        <v>83</v>
      </c>
      <c r="B68" t="s">
        <v>239</v>
      </c>
      <c r="C68" t="s">
        <v>16</v>
      </c>
      <c r="D68" t="s">
        <v>85</v>
      </c>
      <c r="E68" t="s">
        <v>240</v>
      </c>
      <c r="F68" t="s">
        <v>87</v>
      </c>
      <c r="G68">
        <f>HYPERLINK("http://clipc-services.ceda.ac.uk/dreq/u/ad7df7199759ad25164da83e37a6da17.html","web")</f>
        <v>0</v>
      </c>
      <c r="J68" t="s">
        <v>241</v>
      </c>
      <c r="K68" t="s">
        <v>89</v>
      </c>
      <c r="M68" t="s">
        <v>87</v>
      </c>
    </row>
    <row r="69" spans="1:13">
      <c r="A69" t="s">
        <v>83</v>
      </c>
      <c r="B69" t="s">
        <v>242</v>
      </c>
      <c r="C69" t="s">
        <v>50</v>
      </c>
      <c r="D69" t="s">
        <v>85</v>
      </c>
      <c r="E69" t="s">
        <v>243</v>
      </c>
      <c r="F69" t="s">
        <v>87</v>
      </c>
      <c r="G69">
        <f>HYPERLINK("http://clipc-services.ceda.ac.uk/dreq/u/80f337469efdd0d5392ad995a90fd15c.html","web")</f>
        <v>0</v>
      </c>
      <c r="J69" t="s">
        <v>244</v>
      </c>
      <c r="K69" t="s">
        <v>117</v>
      </c>
      <c r="M69" t="s">
        <v>87</v>
      </c>
    </row>
    <row r="70" spans="1:13">
      <c r="A70" t="s">
        <v>83</v>
      </c>
      <c r="B70" t="s">
        <v>245</v>
      </c>
      <c r="C70" t="s">
        <v>50</v>
      </c>
      <c r="D70" t="s">
        <v>85</v>
      </c>
      <c r="E70" t="s">
        <v>246</v>
      </c>
      <c r="F70" t="s">
        <v>87</v>
      </c>
      <c r="G70">
        <f>HYPERLINK("http://clipc-services.ceda.ac.uk/dreq/u/1ae710e405acc14b368f55d9205be258.html","web")</f>
        <v>0</v>
      </c>
      <c r="J70" t="s">
        <v>247</v>
      </c>
      <c r="K70" t="s">
        <v>117</v>
      </c>
      <c r="M70" t="s">
        <v>87</v>
      </c>
    </row>
    <row r="71" spans="1:13">
      <c r="A71" t="s">
        <v>83</v>
      </c>
      <c r="B71" t="s">
        <v>248</v>
      </c>
      <c r="C71" t="s">
        <v>16</v>
      </c>
      <c r="D71" t="s">
        <v>85</v>
      </c>
      <c r="E71" t="s">
        <v>249</v>
      </c>
      <c r="F71" t="s">
        <v>87</v>
      </c>
      <c r="G71">
        <f>HYPERLINK("http://clipc-services.ceda.ac.uk/dreq/u/3aa265a13ddf4caa82a8e1e3d4482f42.html","web")</f>
        <v>0</v>
      </c>
      <c r="J71" t="s">
        <v>250</v>
      </c>
      <c r="K71" t="s">
        <v>89</v>
      </c>
      <c r="M71" t="s">
        <v>87</v>
      </c>
    </row>
    <row r="72" spans="1:13">
      <c r="A72" t="s">
        <v>83</v>
      </c>
      <c r="B72" t="s">
        <v>251</v>
      </c>
      <c r="C72" t="s">
        <v>50</v>
      </c>
      <c r="D72" t="s">
        <v>85</v>
      </c>
      <c r="E72" t="s">
        <v>252</v>
      </c>
      <c r="F72" t="s">
        <v>87</v>
      </c>
      <c r="G72">
        <f>HYPERLINK("http://clipc-services.ceda.ac.uk/dreq/u/14e5a31ac93e26c50f8c01ed9a032168.html","web")</f>
        <v>0</v>
      </c>
      <c r="J72" t="s">
        <v>253</v>
      </c>
      <c r="K72" t="s">
        <v>117</v>
      </c>
      <c r="M72" t="s">
        <v>87</v>
      </c>
    </row>
    <row r="73" spans="1:13">
      <c r="A73" t="s">
        <v>83</v>
      </c>
      <c r="B73" t="s">
        <v>254</v>
      </c>
      <c r="C73" t="s">
        <v>50</v>
      </c>
      <c r="D73" t="s">
        <v>85</v>
      </c>
      <c r="E73" t="s">
        <v>255</v>
      </c>
      <c r="F73" t="s">
        <v>87</v>
      </c>
      <c r="G73">
        <f>HYPERLINK("http://clipc-services.ceda.ac.uk/dreq/u/562c99ff069851867df730ed9531c796.html","web")</f>
        <v>0</v>
      </c>
      <c r="J73" t="s">
        <v>256</v>
      </c>
      <c r="K73" t="s">
        <v>117</v>
      </c>
      <c r="M73" t="s">
        <v>87</v>
      </c>
    </row>
    <row r="74" spans="1:13">
      <c r="A74" t="s">
        <v>83</v>
      </c>
      <c r="B74" t="s">
        <v>257</v>
      </c>
      <c r="C74" t="s">
        <v>16</v>
      </c>
      <c r="D74" t="s">
        <v>85</v>
      </c>
      <c r="E74" t="s">
        <v>258</v>
      </c>
      <c r="F74" t="s">
        <v>95</v>
      </c>
      <c r="G74">
        <f>HYPERLINK("http://clipc-services.ceda.ac.uk/dreq/u/e526caea-dd83-11e5-9194-ac72891c3257.html","web")</f>
        <v>0</v>
      </c>
      <c r="J74" t="s">
        <v>259</v>
      </c>
      <c r="K74" t="s">
        <v>117</v>
      </c>
      <c r="M74" t="s">
        <v>95</v>
      </c>
    </row>
    <row r="75" spans="1:13">
      <c r="A75" t="s">
        <v>83</v>
      </c>
      <c r="B75" t="s">
        <v>260</v>
      </c>
      <c r="C75" t="s">
        <v>16</v>
      </c>
      <c r="D75" t="s">
        <v>85</v>
      </c>
      <c r="E75" t="s">
        <v>261</v>
      </c>
      <c r="F75" t="s">
        <v>95</v>
      </c>
      <c r="G75">
        <f>HYPERLINK("http://clipc-services.ceda.ac.uk/dreq/u/e52644bc-dd83-11e5-9194-ac72891c3257.html","web")</f>
        <v>0</v>
      </c>
      <c r="J75" t="s">
        <v>262</v>
      </c>
      <c r="K75" t="s">
        <v>117</v>
      </c>
      <c r="M75" t="s">
        <v>95</v>
      </c>
    </row>
    <row r="76" spans="1:13">
      <c r="A76" t="s">
        <v>83</v>
      </c>
      <c r="B76" t="s">
        <v>263</v>
      </c>
      <c r="C76" t="s">
        <v>16</v>
      </c>
      <c r="D76" t="s">
        <v>85</v>
      </c>
      <c r="E76" t="s">
        <v>264</v>
      </c>
      <c r="F76" t="s">
        <v>95</v>
      </c>
      <c r="G76">
        <f>HYPERLINK("http://clipc-services.ceda.ac.uk/dreq/u/e527532a-dd83-11e5-9194-ac72891c3257.html","web")</f>
        <v>0</v>
      </c>
      <c r="J76" t="s">
        <v>265</v>
      </c>
      <c r="K76" t="s">
        <v>117</v>
      </c>
      <c r="M76" t="s">
        <v>95</v>
      </c>
    </row>
    <row r="77" spans="1:13">
      <c r="A77" t="s">
        <v>83</v>
      </c>
      <c r="B77" t="s">
        <v>266</v>
      </c>
      <c r="C77" t="s">
        <v>16</v>
      </c>
      <c r="D77" t="s">
        <v>85</v>
      </c>
      <c r="E77" t="s">
        <v>267</v>
      </c>
      <c r="F77" t="s">
        <v>74</v>
      </c>
      <c r="G77">
        <f>HYPERLINK("http://clipc-services.ceda.ac.uk/dreq/u/b2f82090-fbed-11e5-8f03-5404a60d96b5.html","web")</f>
        <v>0</v>
      </c>
      <c r="J77" t="s">
        <v>268</v>
      </c>
      <c r="K77" t="s">
        <v>140</v>
      </c>
      <c r="M77" t="s">
        <v>74</v>
      </c>
    </row>
    <row r="78" spans="1:13">
      <c r="A78" t="s">
        <v>83</v>
      </c>
      <c r="B78" t="s">
        <v>269</v>
      </c>
      <c r="C78" t="s">
        <v>35</v>
      </c>
      <c r="D78" t="s">
        <v>85</v>
      </c>
      <c r="E78" t="s">
        <v>270</v>
      </c>
      <c r="F78" t="s">
        <v>87</v>
      </c>
      <c r="G78">
        <f>HYPERLINK("http://clipc-services.ceda.ac.uk/dreq/u/ba20ea537eb672813c5a364655855b38.html","web")</f>
        <v>0</v>
      </c>
      <c r="J78" t="s">
        <v>271</v>
      </c>
      <c r="K78" t="s">
        <v>117</v>
      </c>
      <c r="M78" t="s">
        <v>87</v>
      </c>
    </row>
    <row r="79" spans="1:13">
      <c r="A79" t="s">
        <v>83</v>
      </c>
      <c r="B79" t="s">
        <v>272</v>
      </c>
      <c r="C79" t="s">
        <v>16</v>
      </c>
      <c r="D79" t="s">
        <v>152</v>
      </c>
      <c r="E79" t="s">
        <v>273</v>
      </c>
      <c r="F79" t="s">
        <v>74</v>
      </c>
      <c r="G79">
        <f>HYPERLINK("http://clipc-services.ceda.ac.uk/dreq/u/bb27046ce21470dfbbecdd4f7eca546a.html","web")</f>
        <v>0</v>
      </c>
      <c r="J79" t="s">
        <v>274</v>
      </c>
      <c r="K79" t="s">
        <v>140</v>
      </c>
      <c r="M79" t="s">
        <v>74</v>
      </c>
    </row>
    <row r="80" spans="1:13">
      <c r="A80" t="s">
        <v>83</v>
      </c>
      <c r="B80" t="s">
        <v>275</v>
      </c>
      <c r="C80" t="s">
        <v>35</v>
      </c>
      <c r="D80" t="s">
        <v>85</v>
      </c>
      <c r="E80" t="s">
        <v>276</v>
      </c>
      <c r="F80" t="s">
        <v>277</v>
      </c>
      <c r="G80">
        <f>HYPERLINK("http://clipc-services.ceda.ac.uk/dreq/u/4c69515bfc84c5cb5624e94228f58351.html","web")</f>
        <v>0</v>
      </c>
      <c r="J80" t="s">
        <v>278</v>
      </c>
      <c r="K80" t="s">
        <v>117</v>
      </c>
      <c r="M80" t="s">
        <v>277</v>
      </c>
    </row>
    <row r="81" spans="1:13">
      <c r="A81" t="s">
        <v>83</v>
      </c>
      <c r="B81" t="s">
        <v>279</v>
      </c>
      <c r="C81" t="s">
        <v>16</v>
      </c>
      <c r="D81" t="s">
        <v>85</v>
      </c>
      <c r="E81" t="s">
        <v>280</v>
      </c>
      <c r="F81" t="s">
        <v>87</v>
      </c>
      <c r="G81">
        <f>HYPERLINK("http://clipc-services.ceda.ac.uk/dreq/u/c9776970-c5f0-11e6-ac20-5404a60d96b5.html","web")</f>
        <v>0</v>
      </c>
      <c r="J81" t="s">
        <v>281</v>
      </c>
      <c r="K81" t="s">
        <v>282</v>
      </c>
      <c r="M81" t="s">
        <v>87</v>
      </c>
    </row>
    <row r="83" spans="1:13">
      <c r="A83" t="s">
        <v>283</v>
      </c>
      <c r="B83" t="s">
        <v>284</v>
      </c>
      <c r="C83" t="s">
        <v>50</v>
      </c>
      <c r="D83" t="s">
        <v>285</v>
      </c>
      <c r="E83" t="s">
        <v>286</v>
      </c>
      <c r="F83" t="s">
        <v>182</v>
      </c>
      <c r="G83">
        <f>HYPERLINK("http://clipc-services.ceda.ac.uk/dreq/u/59147580-9e49-11e5-803c-0d0b866b59f3.html","web")</f>
        <v>0</v>
      </c>
      <c r="J83" t="s">
        <v>287</v>
      </c>
      <c r="K83" t="s">
        <v>76</v>
      </c>
      <c r="M83" t="s">
        <v>182</v>
      </c>
    </row>
    <row r="84" spans="1:13">
      <c r="A84" t="s">
        <v>283</v>
      </c>
      <c r="B84" t="s">
        <v>288</v>
      </c>
      <c r="C84" t="s">
        <v>16</v>
      </c>
      <c r="D84" t="s">
        <v>285</v>
      </c>
      <c r="E84" t="s">
        <v>289</v>
      </c>
      <c r="F84" t="s">
        <v>182</v>
      </c>
      <c r="G84">
        <f>HYPERLINK("http://clipc-services.ceda.ac.uk/dreq/u/590e1c1c-9e49-11e5-803c-0d0b866b59f3.html","web")</f>
        <v>0</v>
      </c>
      <c r="J84" t="s">
        <v>290</v>
      </c>
      <c r="K84" t="s">
        <v>76</v>
      </c>
      <c r="M84" t="s">
        <v>182</v>
      </c>
    </row>
    <row r="85" spans="1:13">
      <c r="A85" t="s">
        <v>283</v>
      </c>
      <c r="B85" t="s">
        <v>291</v>
      </c>
      <c r="C85" t="s">
        <v>50</v>
      </c>
      <c r="D85" t="s">
        <v>285</v>
      </c>
      <c r="E85" t="s">
        <v>292</v>
      </c>
      <c r="F85" t="s">
        <v>182</v>
      </c>
      <c r="G85">
        <f>HYPERLINK("http://clipc-services.ceda.ac.uk/dreq/u/41460524-4f40-11e6-a814-ac72891c3257.html","web")</f>
        <v>0</v>
      </c>
      <c r="J85" t="s">
        <v>293</v>
      </c>
      <c r="K85" t="s">
        <v>76</v>
      </c>
      <c r="M85" t="s">
        <v>182</v>
      </c>
    </row>
    <row r="86" spans="1:13">
      <c r="A86" t="s">
        <v>283</v>
      </c>
      <c r="B86" t="s">
        <v>294</v>
      </c>
      <c r="C86" t="s">
        <v>50</v>
      </c>
      <c r="D86" t="s">
        <v>285</v>
      </c>
      <c r="E86" t="s">
        <v>295</v>
      </c>
      <c r="F86" t="s">
        <v>182</v>
      </c>
      <c r="G86">
        <f>HYPERLINK("http://clipc-services.ceda.ac.uk/dreq/u/4145ad04-4f40-11e6-a814-ac72891c3257.html","web")</f>
        <v>0</v>
      </c>
      <c r="J86" t="s">
        <v>296</v>
      </c>
      <c r="K86" t="s">
        <v>76</v>
      </c>
      <c r="M86" t="s">
        <v>182</v>
      </c>
    </row>
    <row r="87" spans="1:13">
      <c r="A87" t="s">
        <v>283</v>
      </c>
      <c r="B87" t="s">
        <v>297</v>
      </c>
      <c r="C87" t="s">
        <v>16</v>
      </c>
      <c r="D87" t="s">
        <v>285</v>
      </c>
      <c r="E87" t="s">
        <v>298</v>
      </c>
      <c r="F87" t="s">
        <v>182</v>
      </c>
      <c r="G87">
        <f>HYPERLINK("http://clipc-services.ceda.ac.uk/dreq/u/590e4e58-9e49-11e5-803c-0d0b866b59f3.html","web")</f>
        <v>0</v>
      </c>
      <c r="J87" t="s">
        <v>299</v>
      </c>
      <c r="K87" t="s">
        <v>76</v>
      </c>
      <c r="M87" t="s">
        <v>182</v>
      </c>
    </row>
    <row r="88" spans="1:13">
      <c r="A88" t="s">
        <v>283</v>
      </c>
      <c r="B88" t="s">
        <v>300</v>
      </c>
      <c r="C88" t="s">
        <v>16</v>
      </c>
      <c r="D88" t="s">
        <v>285</v>
      </c>
      <c r="E88" t="s">
        <v>301</v>
      </c>
      <c r="F88" t="s">
        <v>182</v>
      </c>
      <c r="G88">
        <f>HYPERLINK("http://clipc-services.ceda.ac.uk/dreq/u/59130394-9e49-11e5-803c-0d0b866b59f3.html","web")</f>
        <v>0</v>
      </c>
      <c r="J88" t="s">
        <v>302</v>
      </c>
      <c r="K88" t="s">
        <v>76</v>
      </c>
      <c r="M88" t="s">
        <v>182</v>
      </c>
    </row>
    <row r="89" spans="1:13">
      <c r="A89" t="s">
        <v>283</v>
      </c>
      <c r="B89" t="s">
        <v>303</v>
      </c>
      <c r="C89" t="s">
        <v>50</v>
      </c>
      <c r="D89" t="s">
        <v>285</v>
      </c>
      <c r="E89" t="s">
        <v>304</v>
      </c>
      <c r="F89" t="s">
        <v>305</v>
      </c>
      <c r="G89">
        <f>HYPERLINK("http://clipc-services.ceda.ac.uk/dreq/u/4144f026-4f40-11e6-a814-ac72891c3257.html","web")</f>
        <v>0</v>
      </c>
      <c r="J89" t="s">
        <v>306</v>
      </c>
      <c r="K89" t="s">
        <v>76</v>
      </c>
      <c r="M89" t="s">
        <v>305</v>
      </c>
    </row>
    <row r="90" spans="1:13">
      <c r="A90" t="s">
        <v>283</v>
      </c>
      <c r="B90" t="s">
        <v>307</v>
      </c>
      <c r="C90" t="s">
        <v>50</v>
      </c>
      <c r="D90" t="s">
        <v>285</v>
      </c>
      <c r="E90" t="s">
        <v>308</v>
      </c>
      <c r="F90" t="s">
        <v>305</v>
      </c>
      <c r="G90">
        <f>HYPERLINK("http://clipc-services.ceda.ac.uk/dreq/u/4144a01c-4f40-11e6-a814-ac72891c3257.html","web")</f>
        <v>0</v>
      </c>
      <c r="J90" t="s">
        <v>309</v>
      </c>
      <c r="K90" t="s">
        <v>76</v>
      </c>
      <c r="M90" t="s">
        <v>305</v>
      </c>
    </row>
    <row r="91" spans="1:13">
      <c r="A91" t="s">
        <v>283</v>
      </c>
      <c r="B91" t="s">
        <v>310</v>
      </c>
      <c r="C91" t="s">
        <v>50</v>
      </c>
      <c r="D91" t="s">
        <v>285</v>
      </c>
      <c r="E91" t="s">
        <v>311</v>
      </c>
      <c r="F91" t="s">
        <v>305</v>
      </c>
      <c r="G91">
        <f>HYPERLINK("http://clipc-services.ceda.ac.uk/dreq/u/14277100-b574-11e6-9ed4-5404a60d96b5.html","web")</f>
        <v>0</v>
      </c>
      <c r="J91" t="s">
        <v>312</v>
      </c>
      <c r="K91" t="s">
        <v>76</v>
      </c>
      <c r="M91" t="s">
        <v>305</v>
      </c>
    </row>
    <row r="92" spans="1:13">
      <c r="A92" t="s">
        <v>283</v>
      </c>
      <c r="B92" t="s">
        <v>313</v>
      </c>
      <c r="C92" t="s">
        <v>35</v>
      </c>
      <c r="D92" t="s">
        <v>285</v>
      </c>
      <c r="E92" t="s">
        <v>314</v>
      </c>
      <c r="F92" t="s">
        <v>182</v>
      </c>
      <c r="G92">
        <f>HYPERLINK("http://clipc-services.ceda.ac.uk/dreq/u/41455e80-4f40-11e6-a814-ac72891c3257.html","web")</f>
        <v>0</v>
      </c>
      <c r="J92" t="s">
        <v>315</v>
      </c>
      <c r="K92" t="s">
        <v>76</v>
      </c>
      <c r="M92" t="s">
        <v>182</v>
      </c>
    </row>
    <row r="93" spans="1:13">
      <c r="A93" t="s">
        <v>283</v>
      </c>
      <c r="B93" t="s">
        <v>316</v>
      </c>
      <c r="C93" t="s">
        <v>50</v>
      </c>
      <c r="D93" t="s">
        <v>285</v>
      </c>
      <c r="E93" t="s">
        <v>317</v>
      </c>
      <c r="F93" t="s">
        <v>182</v>
      </c>
      <c r="G93">
        <f>HYPERLINK("http://clipc-services.ceda.ac.uk/dreq/u/59150216-9e49-11e5-803c-0d0b866b59f3.html","web")</f>
        <v>0</v>
      </c>
      <c r="J93" t="s">
        <v>318</v>
      </c>
      <c r="K93" t="s">
        <v>76</v>
      </c>
      <c r="M93" t="s">
        <v>182</v>
      </c>
    </row>
    <row r="94" spans="1:13">
      <c r="A94" t="s">
        <v>283</v>
      </c>
      <c r="B94" t="s">
        <v>319</v>
      </c>
      <c r="C94" t="s">
        <v>50</v>
      </c>
      <c r="D94" t="s">
        <v>285</v>
      </c>
      <c r="E94" t="s">
        <v>320</v>
      </c>
      <c r="F94" t="s">
        <v>182</v>
      </c>
      <c r="G94">
        <f>HYPERLINK("http://clipc-services.ceda.ac.uk/dreq/u/5912a516-9e49-11e5-803c-0d0b866b59f3.html","web")</f>
        <v>0</v>
      </c>
      <c r="J94" t="s">
        <v>321</v>
      </c>
      <c r="K94" t="s">
        <v>76</v>
      </c>
      <c r="M94" t="s">
        <v>182</v>
      </c>
    </row>
    <row r="96" spans="1:13">
      <c r="A96" t="s">
        <v>322</v>
      </c>
      <c r="B96" t="s">
        <v>323</v>
      </c>
      <c r="C96" t="s">
        <v>35</v>
      </c>
      <c r="D96" t="s">
        <v>152</v>
      </c>
      <c r="E96" t="s">
        <v>324</v>
      </c>
      <c r="F96" t="s">
        <v>325</v>
      </c>
      <c r="G96">
        <f>HYPERLINK("http://clipc-services.ceda.ac.uk/dreq/u/13484743dd3369c69df93379e6dafbb5.html","web")</f>
        <v>0</v>
      </c>
      <c r="J96" t="s">
        <v>326</v>
      </c>
      <c r="K96" t="s">
        <v>327</v>
      </c>
      <c r="M96" t="s">
        <v>325</v>
      </c>
    </row>
    <row r="97" spans="1:13">
      <c r="A97" t="s">
        <v>322</v>
      </c>
      <c r="B97" t="s">
        <v>328</v>
      </c>
      <c r="C97" t="s">
        <v>35</v>
      </c>
      <c r="D97" t="s">
        <v>152</v>
      </c>
      <c r="E97" t="s">
        <v>329</v>
      </c>
      <c r="F97" t="s">
        <v>325</v>
      </c>
      <c r="G97">
        <f>HYPERLINK("http://clipc-services.ceda.ac.uk/dreq/u/0062272a6a4176b8c32af87642b062c5.html","web")</f>
        <v>0</v>
      </c>
      <c r="J97" t="s">
        <v>330</v>
      </c>
      <c r="K97" t="s">
        <v>327</v>
      </c>
      <c r="M97" t="s">
        <v>325</v>
      </c>
    </row>
    <row r="98" spans="1:13">
      <c r="A98" t="s">
        <v>322</v>
      </c>
      <c r="B98" t="s">
        <v>331</v>
      </c>
      <c r="C98" t="s">
        <v>35</v>
      </c>
      <c r="D98" t="s">
        <v>332</v>
      </c>
      <c r="E98" t="s">
        <v>333</v>
      </c>
      <c r="F98" t="s">
        <v>38</v>
      </c>
      <c r="G98">
        <f>HYPERLINK("http://clipc-services.ceda.ac.uk/dreq/u/400e5707b65c01e31f2ec6a59dd3983b.html","web")</f>
        <v>0</v>
      </c>
      <c r="J98" t="s">
        <v>334</v>
      </c>
      <c r="K98" t="s">
        <v>327</v>
      </c>
      <c r="M98" t="s">
        <v>38</v>
      </c>
    </row>
    <row r="99" spans="1:13">
      <c r="A99" t="s">
        <v>322</v>
      </c>
      <c r="B99" t="s">
        <v>335</v>
      </c>
      <c r="C99" t="s">
        <v>35</v>
      </c>
      <c r="D99" t="s">
        <v>336</v>
      </c>
      <c r="E99" t="s">
        <v>337</v>
      </c>
      <c r="F99" t="s">
        <v>38</v>
      </c>
      <c r="G99">
        <f>HYPERLINK("http://clipc-services.ceda.ac.uk/dreq/u/fa7666d61b92de5bad1ad76561b8b850.html","web")</f>
        <v>0</v>
      </c>
      <c r="J99" t="s">
        <v>338</v>
      </c>
      <c r="K99" t="s">
        <v>327</v>
      </c>
      <c r="M99" t="s">
        <v>38</v>
      </c>
    </row>
    <row r="100" spans="1:13">
      <c r="A100" t="s">
        <v>322</v>
      </c>
      <c r="B100" t="s">
        <v>339</v>
      </c>
      <c r="C100" t="s">
        <v>35</v>
      </c>
      <c r="D100" t="s">
        <v>340</v>
      </c>
      <c r="E100" t="s">
        <v>341</v>
      </c>
      <c r="F100" t="s">
        <v>182</v>
      </c>
      <c r="G100">
        <f>HYPERLINK("http://clipc-services.ceda.ac.uk/dreq/u/6d790fe4caa7feff46a41ae7b3811e52.html","web")</f>
        <v>0</v>
      </c>
      <c r="J100" t="s">
        <v>342</v>
      </c>
      <c r="K100" t="s">
        <v>327</v>
      </c>
      <c r="M100" t="s">
        <v>182</v>
      </c>
    </row>
    <row r="102" spans="1:13">
      <c r="A102" t="s">
        <v>343</v>
      </c>
      <c r="B102" t="s">
        <v>344</v>
      </c>
      <c r="C102" t="s">
        <v>35</v>
      </c>
      <c r="D102" t="s">
        <v>85</v>
      </c>
      <c r="E102" t="s">
        <v>345</v>
      </c>
      <c r="F102" t="s">
        <v>57</v>
      </c>
      <c r="G102">
        <f>HYPERLINK("http://clipc-services.ceda.ac.uk/dreq/u/44471dd9799293cef70ac63fcdd2476e.html","web")</f>
        <v>0</v>
      </c>
      <c r="J102" t="s">
        <v>346</v>
      </c>
      <c r="K102" t="s">
        <v>347</v>
      </c>
      <c r="M102" t="s">
        <v>57</v>
      </c>
    </row>
    <row r="104" spans="1:13">
      <c r="A104" t="s">
        <v>348</v>
      </c>
      <c r="B104" t="s">
        <v>349</v>
      </c>
      <c r="C104" t="s">
        <v>35</v>
      </c>
      <c r="D104" t="s">
        <v>350</v>
      </c>
      <c r="E104" t="s">
        <v>351</v>
      </c>
      <c r="F104" t="s">
        <v>352</v>
      </c>
      <c r="G104">
        <f>HYPERLINK("http://clipc-services.ceda.ac.uk/dreq/u/9522ca96d0b066ebe8defd5541de0582.html","web")</f>
        <v>0</v>
      </c>
      <c r="J104" t="s">
        <v>353</v>
      </c>
      <c r="K104" t="s">
        <v>354</v>
      </c>
      <c r="M104" t="s">
        <v>352</v>
      </c>
    </row>
    <row r="105" spans="1:13">
      <c r="A105" t="s">
        <v>348</v>
      </c>
      <c r="B105" t="s">
        <v>355</v>
      </c>
      <c r="C105" t="s">
        <v>35</v>
      </c>
      <c r="D105" t="s">
        <v>350</v>
      </c>
      <c r="E105" t="s">
        <v>356</v>
      </c>
      <c r="F105" t="s">
        <v>352</v>
      </c>
      <c r="G105">
        <f>HYPERLINK("http://clipc-services.ceda.ac.uk/dreq/u/85631e0f7a8fdcb10737a525f4134181.html","web")</f>
        <v>0</v>
      </c>
      <c r="J105" t="s">
        <v>357</v>
      </c>
      <c r="K105" t="s">
        <v>354</v>
      </c>
      <c r="M105" t="s">
        <v>352</v>
      </c>
    </row>
    <row r="106" spans="1:13">
      <c r="A106" t="s">
        <v>348</v>
      </c>
      <c r="B106" t="s">
        <v>358</v>
      </c>
      <c r="C106" t="s">
        <v>35</v>
      </c>
      <c r="D106" t="s">
        <v>350</v>
      </c>
      <c r="E106" t="s">
        <v>359</v>
      </c>
      <c r="F106" t="s">
        <v>360</v>
      </c>
      <c r="G106">
        <f>HYPERLINK("http://clipc-services.ceda.ac.uk/dreq/u/59137716-9e49-11e5-803c-0d0b866b59f3.html","web")</f>
        <v>0</v>
      </c>
      <c r="J106" t="s">
        <v>361</v>
      </c>
      <c r="K106" t="s">
        <v>354</v>
      </c>
      <c r="M106" t="s">
        <v>360</v>
      </c>
    </row>
    <row r="107" spans="1:13">
      <c r="A107" t="s">
        <v>348</v>
      </c>
      <c r="B107" t="s">
        <v>362</v>
      </c>
      <c r="C107" t="s">
        <v>35</v>
      </c>
      <c r="D107" t="s">
        <v>350</v>
      </c>
      <c r="E107" t="s">
        <v>363</v>
      </c>
      <c r="F107" t="s">
        <v>24</v>
      </c>
      <c r="G107">
        <f>HYPERLINK("http://clipc-services.ceda.ac.uk/dreq/u/590fa2bc-9e49-11e5-803c-0d0b866b59f3.html","web")</f>
        <v>0</v>
      </c>
      <c r="J107" t="s">
        <v>364</v>
      </c>
      <c r="K107" t="s">
        <v>354</v>
      </c>
      <c r="M107" t="s">
        <v>24</v>
      </c>
    </row>
    <row r="108" spans="1:13">
      <c r="A108" t="s">
        <v>348</v>
      </c>
      <c r="B108" t="s">
        <v>365</v>
      </c>
      <c r="C108" t="s">
        <v>35</v>
      </c>
      <c r="D108" t="s">
        <v>350</v>
      </c>
      <c r="E108" t="s">
        <v>366</v>
      </c>
      <c r="F108" t="s">
        <v>367</v>
      </c>
      <c r="G108">
        <f>HYPERLINK("http://clipc-services.ceda.ac.uk/dreq/u/590e48f4-9e49-11e5-803c-0d0b866b59f3.html","web")</f>
        <v>0</v>
      </c>
      <c r="J108" t="s">
        <v>368</v>
      </c>
      <c r="K108" t="s">
        <v>354</v>
      </c>
      <c r="M108" t="s">
        <v>367</v>
      </c>
    </row>
    <row r="109" spans="1:13">
      <c r="A109" t="s">
        <v>348</v>
      </c>
      <c r="B109" t="s">
        <v>369</v>
      </c>
      <c r="C109" t="s">
        <v>35</v>
      </c>
      <c r="D109" t="s">
        <v>350</v>
      </c>
      <c r="E109" t="s">
        <v>370</v>
      </c>
      <c r="F109" t="s">
        <v>367</v>
      </c>
      <c r="G109">
        <f>HYPERLINK("http://clipc-services.ceda.ac.uk/dreq/u/590e883c-9e49-11e5-803c-0d0b866b59f3.html","web")</f>
        <v>0</v>
      </c>
      <c r="J109" t="s">
        <v>371</v>
      </c>
      <c r="K109" t="s">
        <v>354</v>
      </c>
      <c r="M109" t="s">
        <v>367</v>
      </c>
    </row>
    <row r="110" spans="1:13">
      <c r="A110" t="s">
        <v>348</v>
      </c>
      <c r="B110" t="s">
        <v>372</v>
      </c>
      <c r="C110" t="s">
        <v>35</v>
      </c>
      <c r="D110" t="s">
        <v>350</v>
      </c>
      <c r="E110" t="s">
        <v>373</v>
      </c>
      <c r="F110" t="s">
        <v>374</v>
      </c>
      <c r="G110">
        <f>HYPERLINK("http://clipc-services.ceda.ac.uk/dreq/u/ba7be4134a9cf4838434bf204d80b903.html","web")</f>
        <v>0</v>
      </c>
      <c r="J110" t="s">
        <v>375</v>
      </c>
      <c r="K110" t="s">
        <v>354</v>
      </c>
      <c r="M110" t="s">
        <v>374</v>
      </c>
    </row>
    <row r="111" spans="1:13">
      <c r="A111" t="s">
        <v>348</v>
      </c>
      <c r="B111" t="s">
        <v>376</v>
      </c>
      <c r="C111" t="s">
        <v>35</v>
      </c>
      <c r="D111" t="s">
        <v>350</v>
      </c>
      <c r="E111" t="s">
        <v>377</v>
      </c>
      <c r="F111" t="s">
        <v>374</v>
      </c>
      <c r="G111">
        <f>HYPERLINK("http://clipc-services.ceda.ac.uk/dreq/u/c64364df884a3cebaa7aebb664260776.html","web")</f>
        <v>0</v>
      </c>
      <c r="J111" t="s">
        <v>378</v>
      </c>
      <c r="K111" t="s">
        <v>354</v>
      </c>
      <c r="M111" t="s">
        <v>374</v>
      </c>
    </row>
    <row r="113" spans="1:13">
      <c r="A113" t="s">
        <v>379</v>
      </c>
      <c r="B113" t="s">
        <v>380</v>
      </c>
      <c r="C113" t="s">
        <v>50</v>
      </c>
      <c r="D113" t="s">
        <v>152</v>
      </c>
      <c r="E113" t="s">
        <v>381</v>
      </c>
      <c r="F113" t="s">
        <v>182</v>
      </c>
      <c r="G113">
        <f>HYPERLINK("http://clipc-services.ceda.ac.uk/dreq/u/53824c12-bf01-11e6-a554-ac72891c3257.html","web")</f>
        <v>0</v>
      </c>
      <c r="J113" t="s">
        <v>287</v>
      </c>
      <c r="K113" t="s">
        <v>76</v>
      </c>
      <c r="M113" t="s">
        <v>182</v>
      </c>
    </row>
    <row r="114" spans="1:13">
      <c r="A114" t="s">
        <v>379</v>
      </c>
      <c r="B114" t="s">
        <v>382</v>
      </c>
      <c r="C114" t="s">
        <v>35</v>
      </c>
      <c r="D114" t="s">
        <v>152</v>
      </c>
      <c r="E114" t="s">
        <v>383</v>
      </c>
      <c r="F114" t="s">
        <v>384</v>
      </c>
      <c r="G114">
        <f>HYPERLINK("http://clipc-services.ceda.ac.uk/dreq/u/51e0588121783d77407236e0d2eb5d14.html","web")</f>
        <v>0</v>
      </c>
      <c r="J114" t="s">
        <v>385</v>
      </c>
      <c r="K114" t="s">
        <v>386</v>
      </c>
      <c r="M114" t="s">
        <v>384</v>
      </c>
    </row>
    <row r="115" spans="1:13">
      <c r="A115" t="s">
        <v>379</v>
      </c>
      <c r="B115" t="s">
        <v>387</v>
      </c>
      <c r="C115" t="s">
        <v>16</v>
      </c>
      <c r="D115" t="s">
        <v>152</v>
      </c>
      <c r="E115" t="s">
        <v>388</v>
      </c>
      <c r="F115" t="s">
        <v>182</v>
      </c>
      <c r="G115">
        <f>HYPERLINK("http://clipc-services.ceda.ac.uk/dreq/u/53826102-bf01-11e6-a554-ac72891c3257.html","web")</f>
        <v>0</v>
      </c>
      <c r="J115" t="s">
        <v>290</v>
      </c>
      <c r="K115" t="s">
        <v>76</v>
      </c>
      <c r="M115" t="s">
        <v>182</v>
      </c>
    </row>
    <row r="116" spans="1:13">
      <c r="A116" t="s">
        <v>379</v>
      </c>
      <c r="B116" t="s">
        <v>389</v>
      </c>
      <c r="C116" t="s">
        <v>50</v>
      </c>
      <c r="D116" t="s">
        <v>152</v>
      </c>
      <c r="E116" t="s">
        <v>390</v>
      </c>
      <c r="F116" t="s">
        <v>305</v>
      </c>
      <c r="G116">
        <f>HYPERLINK("http://clipc-services.ceda.ac.uk/dreq/u/538248ca-bf01-11e6-a554-ac72891c3257.html","web")</f>
        <v>0</v>
      </c>
      <c r="J116" t="s">
        <v>312</v>
      </c>
      <c r="K116" t="s">
        <v>76</v>
      </c>
      <c r="M116" t="s">
        <v>305</v>
      </c>
    </row>
    <row r="117" spans="1:13">
      <c r="A117" t="s">
        <v>379</v>
      </c>
      <c r="B117" t="s">
        <v>391</v>
      </c>
      <c r="C117" t="s">
        <v>16</v>
      </c>
      <c r="D117" t="s">
        <v>152</v>
      </c>
      <c r="E117" t="s">
        <v>392</v>
      </c>
      <c r="F117" t="s">
        <v>47</v>
      </c>
      <c r="G117">
        <f>HYPERLINK("http://clipc-services.ceda.ac.uk/dreq/u/67adc30ae1278d2ef6d696ba0e2c92e8.html","web")</f>
        <v>0</v>
      </c>
      <c r="J117" t="s">
        <v>393</v>
      </c>
      <c r="K117" t="s">
        <v>394</v>
      </c>
      <c r="M117" t="s">
        <v>47</v>
      </c>
    </row>
    <row r="118" spans="1:13">
      <c r="A118" t="s">
        <v>379</v>
      </c>
      <c r="B118" t="s">
        <v>49</v>
      </c>
      <c r="C118" t="s">
        <v>50</v>
      </c>
      <c r="D118" t="s">
        <v>152</v>
      </c>
      <c r="E118" t="s">
        <v>52</v>
      </c>
      <c r="F118" t="s">
        <v>38</v>
      </c>
      <c r="G118">
        <f>HYPERLINK("http://clipc-services.ceda.ac.uk/dreq/u/590dbe0c-9e49-11e5-803c-0d0b866b59f3.html","web")</f>
        <v>0</v>
      </c>
      <c r="J118" t="s">
        <v>53</v>
      </c>
      <c r="K118" t="s">
        <v>54</v>
      </c>
      <c r="M118" t="s">
        <v>38</v>
      </c>
    </row>
    <row r="119" spans="1:13">
      <c r="A119" t="s">
        <v>379</v>
      </c>
      <c r="B119" t="s">
        <v>395</v>
      </c>
      <c r="C119" t="s">
        <v>35</v>
      </c>
      <c r="D119" t="s">
        <v>152</v>
      </c>
      <c r="E119" t="s">
        <v>396</v>
      </c>
      <c r="F119" t="s">
        <v>38</v>
      </c>
      <c r="G119">
        <f>HYPERLINK("http://clipc-services.ceda.ac.uk/dreq/u/53826ae4-bf01-11e6-a554-ac72891c3257.html","web")</f>
        <v>0</v>
      </c>
      <c r="J119" t="s">
        <v>397</v>
      </c>
      <c r="K119" t="s">
        <v>76</v>
      </c>
      <c r="M119" t="s">
        <v>38</v>
      </c>
    </row>
    <row r="120" spans="1:13">
      <c r="A120" t="s">
        <v>379</v>
      </c>
      <c r="B120" t="s">
        <v>398</v>
      </c>
      <c r="C120" t="s">
        <v>50</v>
      </c>
      <c r="D120" t="s">
        <v>152</v>
      </c>
      <c r="E120" t="s">
        <v>399</v>
      </c>
      <c r="F120" t="s">
        <v>182</v>
      </c>
      <c r="G120">
        <f>HYPERLINK("http://clipc-services.ceda.ac.uk/dreq/u/53826404-bf01-11e6-a554-ac72891c3257.html","web")</f>
        <v>0</v>
      </c>
      <c r="J120" t="s">
        <v>318</v>
      </c>
      <c r="K120" t="s">
        <v>76</v>
      </c>
      <c r="M120" t="s">
        <v>182</v>
      </c>
    </row>
    <row r="121" spans="1:13">
      <c r="A121" t="s">
        <v>379</v>
      </c>
      <c r="B121" t="s">
        <v>400</v>
      </c>
      <c r="C121" t="s">
        <v>50</v>
      </c>
      <c r="D121" t="s">
        <v>152</v>
      </c>
      <c r="E121" t="s">
        <v>401</v>
      </c>
      <c r="F121" t="s">
        <v>182</v>
      </c>
      <c r="G121">
        <f>HYPERLINK("http://clipc-services.ceda.ac.uk/dreq/u/53825b08-bf01-11e6-a554-ac72891c3257.html","web")</f>
        <v>0</v>
      </c>
      <c r="J121" t="s">
        <v>321</v>
      </c>
      <c r="K121" t="s">
        <v>76</v>
      </c>
      <c r="M121" t="s">
        <v>182</v>
      </c>
    </row>
    <row r="122" spans="1:13">
      <c r="A122" t="s">
        <v>379</v>
      </c>
      <c r="B122" t="s">
        <v>402</v>
      </c>
      <c r="C122" t="s">
        <v>50</v>
      </c>
      <c r="D122" t="s">
        <v>152</v>
      </c>
      <c r="E122" t="s">
        <v>403</v>
      </c>
      <c r="F122" t="s">
        <v>47</v>
      </c>
      <c r="G122">
        <f>HYPERLINK("http://clipc-services.ceda.ac.uk/dreq/u/d421b6923b396998106a8c1c66ea07f1.html","web")</f>
        <v>0</v>
      </c>
      <c r="J122" t="s">
        <v>404</v>
      </c>
      <c r="K122" t="s">
        <v>394</v>
      </c>
      <c r="M122" t="s">
        <v>47</v>
      </c>
    </row>
    <row r="123" spans="1:13">
      <c r="A123" t="s">
        <v>379</v>
      </c>
      <c r="B123" t="s">
        <v>405</v>
      </c>
      <c r="C123" t="s">
        <v>16</v>
      </c>
      <c r="D123" t="s">
        <v>152</v>
      </c>
      <c r="E123" t="s">
        <v>406</v>
      </c>
      <c r="F123" t="s">
        <v>57</v>
      </c>
      <c r="G123">
        <f>HYPERLINK("http://clipc-services.ceda.ac.uk/dreq/u/3e437daab5bc69123a859ad361babc59.html","web")</f>
        <v>0</v>
      </c>
      <c r="J123" t="s">
        <v>407</v>
      </c>
      <c r="K123" t="s">
        <v>408</v>
      </c>
      <c r="M123" t="s">
        <v>57</v>
      </c>
    </row>
    <row r="125" spans="1:13">
      <c r="A125" t="s">
        <v>409</v>
      </c>
      <c r="B125" t="s">
        <v>323</v>
      </c>
      <c r="C125" t="s">
        <v>35</v>
      </c>
      <c r="D125" t="s">
        <v>410</v>
      </c>
      <c r="E125" t="s">
        <v>324</v>
      </c>
      <c r="F125" t="s">
        <v>325</v>
      </c>
      <c r="G125">
        <f>HYPERLINK("http://clipc-services.ceda.ac.uk/dreq/u/13484743dd3369c69df93379e6dafbb5.html","web")</f>
        <v>0</v>
      </c>
      <c r="J125" t="s">
        <v>326</v>
      </c>
      <c r="K125" t="s">
        <v>411</v>
      </c>
      <c r="M125" t="s">
        <v>325</v>
      </c>
    </row>
    <row r="126" spans="1:13">
      <c r="A126" t="s">
        <v>409</v>
      </c>
      <c r="B126" t="s">
        <v>328</v>
      </c>
      <c r="C126" t="s">
        <v>35</v>
      </c>
      <c r="D126" t="s">
        <v>410</v>
      </c>
      <c r="E126" t="s">
        <v>329</v>
      </c>
      <c r="F126" t="s">
        <v>325</v>
      </c>
      <c r="G126">
        <f>HYPERLINK("http://clipc-services.ceda.ac.uk/dreq/u/0062272a6a4176b8c32af87642b062c5.html","web")</f>
        <v>0</v>
      </c>
      <c r="J126" t="s">
        <v>330</v>
      </c>
      <c r="K126" t="s">
        <v>411</v>
      </c>
      <c r="M126" t="s">
        <v>325</v>
      </c>
    </row>
    <row r="127" spans="1:13">
      <c r="A127" t="s">
        <v>409</v>
      </c>
      <c r="B127" t="s">
        <v>412</v>
      </c>
      <c r="C127" t="s">
        <v>35</v>
      </c>
      <c r="D127" t="s">
        <v>410</v>
      </c>
      <c r="E127" t="s">
        <v>413</v>
      </c>
      <c r="F127" t="s">
        <v>35</v>
      </c>
      <c r="G127">
        <f>HYPERLINK("http://clipc-services.ceda.ac.uk/dreq/u/29fae9ea0f236a3eb144026e1bafde28.html","web")</f>
        <v>0</v>
      </c>
      <c r="J127" t="s">
        <v>414</v>
      </c>
      <c r="K127" t="s">
        <v>411</v>
      </c>
      <c r="M127" t="s">
        <v>35</v>
      </c>
    </row>
    <row r="128" spans="1:13">
      <c r="A128" t="s">
        <v>409</v>
      </c>
      <c r="B128" t="s">
        <v>415</v>
      </c>
      <c r="C128" t="s">
        <v>35</v>
      </c>
      <c r="D128" t="s">
        <v>416</v>
      </c>
      <c r="E128" t="s">
        <v>417</v>
      </c>
      <c r="F128" t="s">
        <v>143</v>
      </c>
      <c r="G128">
        <f>HYPERLINK("http://clipc-services.ceda.ac.uk/dreq/u/c373986159daf18eee63ca731d52b6f7.html","web")</f>
        <v>0</v>
      </c>
      <c r="J128" t="s">
        <v>418</v>
      </c>
      <c r="K128" t="s">
        <v>411</v>
      </c>
      <c r="M128" t="s">
        <v>143</v>
      </c>
    </row>
    <row r="129" spans="1:13">
      <c r="A129" t="s">
        <v>409</v>
      </c>
      <c r="B129" t="s">
        <v>419</v>
      </c>
      <c r="C129" t="s">
        <v>35</v>
      </c>
      <c r="D129" t="s">
        <v>416</v>
      </c>
      <c r="E129" t="s">
        <v>420</v>
      </c>
      <c r="F129" t="s">
        <v>143</v>
      </c>
      <c r="G129">
        <f>HYPERLINK("http://clipc-services.ceda.ac.uk/dreq/u/52c137a21845ae294b27ad40eaca096d.html","web")</f>
        <v>0</v>
      </c>
      <c r="J129" t="s">
        <v>421</v>
      </c>
      <c r="K129" t="s">
        <v>411</v>
      </c>
      <c r="M129" t="s">
        <v>143</v>
      </c>
    </row>
    <row r="130" spans="1:13">
      <c r="A130" t="s">
        <v>409</v>
      </c>
      <c r="B130" t="s">
        <v>422</v>
      </c>
      <c r="C130" t="s">
        <v>35</v>
      </c>
      <c r="D130" t="s">
        <v>410</v>
      </c>
      <c r="E130" t="s">
        <v>423</v>
      </c>
      <c r="F130" t="s">
        <v>182</v>
      </c>
      <c r="G130">
        <f>HYPERLINK("http://clipc-services.ceda.ac.uk/dreq/u/5e49c0b73ac161d5e5dd05173416c400.html","web")</f>
        <v>0</v>
      </c>
      <c r="J130" t="s">
        <v>424</v>
      </c>
      <c r="K130" t="s">
        <v>411</v>
      </c>
      <c r="M130" t="s">
        <v>182</v>
      </c>
    </row>
    <row r="131" spans="1:13">
      <c r="A131" t="s">
        <v>409</v>
      </c>
      <c r="B131" t="s">
        <v>425</v>
      </c>
      <c r="C131" t="s">
        <v>35</v>
      </c>
      <c r="D131" t="s">
        <v>426</v>
      </c>
      <c r="E131" t="s">
        <v>427</v>
      </c>
      <c r="F131" t="s">
        <v>428</v>
      </c>
      <c r="G131">
        <f>HYPERLINK("http://clipc-services.ceda.ac.uk/dreq/u/2260e24c-b894-11e6-a189-5404a60d96b5.html","web")</f>
        <v>0</v>
      </c>
      <c r="J131" t="s">
        <v>429</v>
      </c>
      <c r="K131" t="s">
        <v>411</v>
      </c>
      <c r="M131" t="s">
        <v>428</v>
      </c>
    </row>
    <row r="132" spans="1:13">
      <c r="A132" t="s">
        <v>409</v>
      </c>
      <c r="B132" t="s">
        <v>430</v>
      </c>
      <c r="C132" t="s">
        <v>35</v>
      </c>
      <c r="D132" t="s">
        <v>426</v>
      </c>
      <c r="E132" t="s">
        <v>431</v>
      </c>
      <c r="F132" t="s">
        <v>432</v>
      </c>
      <c r="G132">
        <f>HYPERLINK("http://clipc-services.ceda.ac.uk/dreq/u/21ef5e4c-b894-11e6-a189-5404a60d96b5.html","web")</f>
        <v>0</v>
      </c>
      <c r="J132" t="s">
        <v>433</v>
      </c>
      <c r="K132" t="s">
        <v>411</v>
      </c>
      <c r="M132" t="s">
        <v>432</v>
      </c>
    </row>
    <row r="133" spans="1:13">
      <c r="A133" t="s">
        <v>409</v>
      </c>
      <c r="B133" t="s">
        <v>339</v>
      </c>
      <c r="C133" t="s">
        <v>35</v>
      </c>
      <c r="D133" t="s">
        <v>434</v>
      </c>
      <c r="E133" t="s">
        <v>341</v>
      </c>
      <c r="F133" t="s">
        <v>182</v>
      </c>
      <c r="G133">
        <f>HYPERLINK("http://clipc-services.ceda.ac.uk/dreq/u/6d790fe4caa7feff46a41ae7b3811e52.html","web")</f>
        <v>0</v>
      </c>
      <c r="J133" t="s">
        <v>342</v>
      </c>
      <c r="K133" t="s">
        <v>411</v>
      </c>
      <c r="M133" t="s">
        <v>182</v>
      </c>
    </row>
    <row r="134" spans="1:13">
      <c r="A134" t="s">
        <v>409</v>
      </c>
      <c r="B134" t="s">
        <v>435</v>
      </c>
      <c r="C134" t="s">
        <v>35</v>
      </c>
      <c r="D134" t="s">
        <v>434</v>
      </c>
      <c r="E134" t="s">
        <v>436</v>
      </c>
      <c r="F134" t="s">
        <v>74</v>
      </c>
      <c r="G134">
        <f>HYPERLINK("http://clipc-services.ceda.ac.uk/dreq/u/c432bfbfc0e7f4403f91af39736ff61c.html","web")</f>
        <v>0</v>
      </c>
      <c r="J134" t="s">
        <v>437</v>
      </c>
      <c r="K134" t="s">
        <v>411</v>
      </c>
      <c r="M134" t="s">
        <v>74</v>
      </c>
    </row>
    <row r="135" spans="1:13">
      <c r="A135" t="s">
        <v>409</v>
      </c>
      <c r="B135" t="s">
        <v>438</v>
      </c>
      <c r="C135" t="s">
        <v>35</v>
      </c>
      <c r="D135" t="s">
        <v>434</v>
      </c>
      <c r="E135" t="s">
        <v>439</v>
      </c>
      <c r="F135" t="s">
        <v>74</v>
      </c>
      <c r="G135">
        <f>HYPERLINK("http://clipc-services.ceda.ac.uk/dreq/u/e79eb59d74038643b2201bb0556e720a.html","web")</f>
        <v>0</v>
      </c>
      <c r="J135" t="s">
        <v>440</v>
      </c>
      <c r="K135" t="s">
        <v>411</v>
      </c>
      <c r="M135" t="s">
        <v>74</v>
      </c>
    </row>
    <row r="136" spans="1:13">
      <c r="A136" t="s">
        <v>409</v>
      </c>
      <c r="B136" t="s">
        <v>441</v>
      </c>
      <c r="C136" t="s">
        <v>35</v>
      </c>
      <c r="D136" t="s">
        <v>434</v>
      </c>
      <c r="E136" t="s">
        <v>442</v>
      </c>
      <c r="F136" t="s">
        <v>74</v>
      </c>
      <c r="G136">
        <f>HYPERLINK("http://clipc-services.ceda.ac.uk/dreq/u/bcfeacf77d49ef51a6ee66a1ab0ebcb4.html","web")</f>
        <v>0</v>
      </c>
      <c r="J136" t="s">
        <v>443</v>
      </c>
      <c r="K136" t="s">
        <v>411</v>
      </c>
      <c r="M136" t="s">
        <v>74</v>
      </c>
    </row>
    <row r="137" spans="1:13">
      <c r="A137" t="s">
        <v>409</v>
      </c>
      <c r="B137" t="s">
        <v>444</v>
      </c>
      <c r="C137" t="s">
        <v>35</v>
      </c>
      <c r="D137" t="s">
        <v>434</v>
      </c>
      <c r="E137" t="s">
        <v>445</v>
      </c>
      <c r="F137" t="s">
        <v>74</v>
      </c>
      <c r="G137">
        <f>HYPERLINK("http://clipc-services.ceda.ac.uk/dreq/u/a8607fe15cb4f2997228523340233d91.html","web")</f>
        <v>0</v>
      </c>
      <c r="J137" t="s">
        <v>446</v>
      </c>
      <c r="K137" t="s">
        <v>411</v>
      </c>
      <c r="M137" t="s">
        <v>74</v>
      </c>
    </row>
    <row r="138" spans="1:13">
      <c r="A138" t="s">
        <v>409</v>
      </c>
      <c r="B138" t="s">
        <v>447</v>
      </c>
      <c r="C138" t="s">
        <v>35</v>
      </c>
      <c r="D138" t="s">
        <v>434</v>
      </c>
      <c r="E138" t="s">
        <v>448</v>
      </c>
      <c r="F138" t="s">
        <v>74</v>
      </c>
      <c r="G138">
        <f>HYPERLINK("http://clipc-services.ceda.ac.uk/dreq/u/eb9ac643cd9c73cae960d6d2db7b901d.html","web")</f>
        <v>0</v>
      </c>
      <c r="J138" t="s">
        <v>449</v>
      </c>
      <c r="K138" t="s">
        <v>411</v>
      </c>
      <c r="M138" t="s">
        <v>74</v>
      </c>
    </row>
    <row r="139" spans="1:13">
      <c r="A139" t="s">
        <v>409</v>
      </c>
      <c r="B139" t="s">
        <v>450</v>
      </c>
      <c r="C139" t="s">
        <v>35</v>
      </c>
      <c r="D139" t="s">
        <v>434</v>
      </c>
      <c r="E139" t="s">
        <v>451</v>
      </c>
      <c r="F139" t="s">
        <v>74</v>
      </c>
      <c r="G139">
        <f>HYPERLINK("http://clipc-services.ceda.ac.uk/dreq/u/38806cec3ba894d7745fada80c9f6fe6.html","web")</f>
        <v>0</v>
      </c>
      <c r="J139" t="s">
        <v>452</v>
      </c>
      <c r="K139" t="s">
        <v>411</v>
      </c>
      <c r="M139" t="s">
        <v>74</v>
      </c>
    </row>
    <row r="140" spans="1:13">
      <c r="A140" t="s">
        <v>409</v>
      </c>
      <c r="B140" t="s">
        <v>453</v>
      </c>
      <c r="C140" t="s">
        <v>35</v>
      </c>
      <c r="D140" t="s">
        <v>434</v>
      </c>
      <c r="E140" t="s">
        <v>454</v>
      </c>
      <c r="F140" t="s">
        <v>74</v>
      </c>
      <c r="G140">
        <f>HYPERLINK("http://clipc-services.ceda.ac.uk/dreq/u/c323f38340e4846931ad4891232d839d.html","web")</f>
        <v>0</v>
      </c>
      <c r="J140" t="s">
        <v>455</v>
      </c>
      <c r="K140" t="s">
        <v>411</v>
      </c>
      <c r="M140" t="s">
        <v>74</v>
      </c>
    </row>
    <row r="141" spans="1:13">
      <c r="A141" t="s">
        <v>409</v>
      </c>
      <c r="B141" t="s">
        <v>456</v>
      </c>
      <c r="C141" t="s">
        <v>35</v>
      </c>
      <c r="D141" t="s">
        <v>434</v>
      </c>
      <c r="E141" t="s">
        <v>457</v>
      </c>
      <c r="F141" t="s">
        <v>74</v>
      </c>
      <c r="G141">
        <f>HYPERLINK("http://clipc-services.ceda.ac.uk/dreq/u/eb72b66b6365daed79aefeda9d3d30b5.html","web")</f>
        <v>0</v>
      </c>
      <c r="J141" t="s">
        <v>458</v>
      </c>
      <c r="K141" t="s">
        <v>411</v>
      </c>
      <c r="M141" t="s">
        <v>74</v>
      </c>
    </row>
    <row r="142" spans="1:13">
      <c r="A142" t="s">
        <v>409</v>
      </c>
      <c r="B142" t="s">
        <v>459</v>
      </c>
      <c r="C142" t="s">
        <v>35</v>
      </c>
      <c r="D142" t="s">
        <v>410</v>
      </c>
      <c r="E142" t="s">
        <v>460</v>
      </c>
      <c r="F142" t="s">
        <v>35</v>
      </c>
      <c r="G142">
        <f>HYPERLINK("http://clipc-services.ceda.ac.uk/dreq/u/8de0f30b91b15720398fc10fd712a182.html","web")</f>
        <v>0</v>
      </c>
      <c r="J142" t="s">
        <v>461</v>
      </c>
      <c r="K142" t="s">
        <v>411</v>
      </c>
      <c r="M142" t="s">
        <v>35</v>
      </c>
    </row>
    <row r="143" spans="1:13">
      <c r="A143" t="s">
        <v>409</v>
      </c>
      <c r="B143" t="s">
        <v>462</v>
      </c>
      <c r="C143" t="s">
        <v>35</v>
      </c>
      <c r="D143" t="s">
        <v>416</v>
      </c>
      <c r="E143" t="s">
        <v>463</v>
      </c>
      <c r="F143" t="s">
        <v>464</v>
      </c>
      <c r="G143">
        <f>HYPERLINK("http://clipc-services.ceda.ac.uk/dreq/u/150d0829eec06aeaf75d22d08d328ffa.html","web")</f>
        <v>0</v>
      </c>
      <c r="J143" t="s">
        <v>465</v>
      </c>
      <c r="K143" t="s">
        <v>411</v>
      </c>
      <c r="M143" t="s">
        <v>464</v>
      </c>
    </row>
    <row r="144" spans="1:13">
      <c r="A144" t="s">
        <v>409</v>
      </c>
      <c r="B144" t="s">
        <v>466</v>
      </c>
      <c r="C144" t="s">
        <v>35</v>
      </c>
      <c r="D144" t="s">
        <v>416</v>
      </c>
      <c r="E144" t="s">
        <v>467</v>
      </c>
      <c r="F144" t="s">
        <v>464</v>
      </c>
      <c r="G144">
        <f>HYPERLINK("http://clipc-services.ceda.ac.uk/dreq/u/2c8cb564bae033f641135194947da163.html","web")</f>
        <v>0</v>
      </c>
      <c r="J144" t="s">
        <v>468</v>
      </c>
      <c r="K144" t="s">
        <v>411</v>
      </c>
      <c r="M144" t="s">
        <v>464</v>
      </c>
    </row>
    <row r="145" spans="1:13">
      <c r="A145" t="s">
        <v>409</v>
      </c>
      <c r="B145" t="s">
        <v>469</v>
      </c>
      <c r="C145" t="s">
        <v>35</v>
      </c>
      <c r="D145" t="s">
        <v>416</v>
      </c>
      <c r="E145" t="s">
        <v>470</v>
      </c>
      <c r="F145" t="s">
        <v>464</v>
      </c>
      <c r="G145">
        <f>HYPERLINK("http://clipc-services.ceda.ac.uk/dreq/u/9e9e7476986ece18ce380652eaabe342.html","web")</f>
        <v>0</v>
      </c>
      <c r="J145" t="s">
        <v>471</v>
      </c>
      <c r="K145" t="s">
        <v>411</v>
      </c>
      <c r="M145" t="s">
        <v>464</v>
      </c>
    </row>
    <row r="146" spans="1:13">
      <c r="A146" t="s">
        <v>409</v>
      </c>
      <c r="B146" t="s">
        <v>472</v>
      </c>
      <c r="C146" t="s">
        <v>35</v>
      </c>
      <c r="D146" t="s">
        <v>416</v>
      </c>
      <c r="E146" t="s">
        <v>473</v>
      </c>
      <c r="F146" t="s">
        <v>19</v>
      </c>
      <c r="G146">
        <f>HYPERLINK("http://clipc-services.ceda.ac.uk/dreq/u/c8b1814845661bcad37910e70a59b285.html","web")</f>
        <v>0</v>
      </c>
      <c r="J146" t="s">
        <v>473</v>
      </c>
      <c r="K146" t="s">
        <v>411</v>
      </c>
      <c r="M146" t="s">
        <v>19</v>
      </c>
    </row>
    <row r="147" spans="1:13">
      <c r="A147" t="s">
        <v>409</v>
      </c>
      <c r="B147" t="s">
        <v>474</v>
      </c>
      <c r="C147" t="s">
        <v>35</v>
      </c>
      <c r="D147" t="s">
        <v>416</v>
      </c>
      <c r="E147" t="s">
        <v>475</v>
      </c>
      <c r="F147" t="s">
        <v>19</v>
      </c>
      <c r="G147">
        <f>HYPERLINK("http://clipc-services.ceda.ac.uk/dreq/u/ea55d8afe6bacbfa1029c0048717eaaa.html","web")</f>
        <v>0</v>
      </c>
      <c r="J147" t="s">
        <v>476</v>
      </c>
      <c r="K147" t="s">
        <v>411</v>
      </c>
      <c r="M147" t="s">
        <v>19</v>
      </c>
    </row>
    <row r="148" spans="1:13">
      <c r="A148" t="s">
        <v>409</v>
      </c>
      <c r="B148" t="s">
        <v>477</v>
      </c>
      <c r="C148" t="s">
        <v>35</v>
      </c>
      <c r="D148" t="s">
        <v>416</v>
      </c>
      <c r="E148" t="s">
        <v>478</v>
      </c>
      <c r="F148" t="s">
        <v>19</v>
      </c>
      <c r="G148">
        <f>HYPERLINK("http://clipc-services.ceda.ac.uk/dreq/u/475dc209e9f9cd51eedee4d26caf9f67.html","web")</f>
        <v>0</v>
      </c>
      <c r="J148" t="s">
        <v>479</v>
      </c>
      <c r="K148" t="s">
        <v>411</v>
      </c>
      <c r="M148" t="s">
        <v>19</v>
      </c>
    </row>
    <row r="150" spans="1:13">
      <c r="A150" t="s">
        <v>480</v>
      </c>
      <c r="B150" t="s">
        <v>481</v>
      </c>
      <c r="C150" t="s">
        <v>35</v>
      </c>
      <c r="D150" t="s">
        <v>152</v>
      </c>
      <c r="E150" t="s">
        <v>482</v>
      </c>
      <c r="F150" t="s">
        <v>74</v>
      </c>
      <c r="G150">
        <f>HYPERLINK("http://clipc-services.ceda.ac.uk/dreq/u/f27656eeae247192e82aa1032c911399.html","web")</f>
        <v>0</v>
      </c>
      <c r="J150" t="s">
        <v>483</v>
      </c>
      <c r="K150" t="s">
        <v>484</v>
      </c>
      <c r="M150" t="s">
        <v>74</v>
      </c>
    </row>
    <row r="152" spans="1:13">
      <c r="A152" t="s">
        <v>485</v>
      </c>
      <c r="B152" t="s">
        <v>486</v>
      </c>
      <c r="C152" t="s">
        <v>50</v>
      </c>
      <c r="D152" t="s">
        <v>152</v>
      </c>
      <c r="E152" t="s">
        <v>487</v>
      </c>
      <c r="F152" t="s">
        <v>182</v>
      </c>
      <c r="G152">
        <f>HYPERLINK("http://clipc-services.ceda.ac.uk/dreq/u/590ea5c4-9e49-11e5-803c-0d0b866b59f3.html","web")</f>
        <v>0</v>
      </c>
      <c r="J152" t="s">
        <v>488</v>
      </c>
      <c r="K152" t="s">
        <v>489</v>
      </c>
      <c r="M152" t="s">
        <v>182</v>
      </c>
    </row>
    <row r="153" spans="1:13">
      <c r="A153" t="s">
        <v>485</v>
      </c>
      <c r="B153" t="s">
        <v>490</v>
      </c>
      <c r="C153" t="s">
        <v>16</v>
      </c>
      <c r="D153" t="s">
        <v>152</v>
      </c>
      <c r="E153" t="s">
        <v>491</v>
      </c>
      <c r="F153" t="s">
        <v>35</v>
      </c>
      <c r="G153">
        <f>HYPERLINK("http://clipc-services.ceda.ac.uk/dreq/u/590e9070-9e49-11e5-803c-0d0b866b59f3.html","web")</f>
        <v>0</v>
      </c>
      <c r="J153" t="s">
        <v>492</v>
      </c>
      <c r="K153" t="s">
        <v>489</v>
      </c>
      <c r="M153" t="s">
        <v>35</v>
      </c>
    </row>
    <row r="154" spans="1:13">
      <c r="A154" t="s">
        <v>485</v>
      </c>
      <c r="B154" t="s">
        <v>493</v>
      </c>
      <c r="C154" t="s">
        <v>16</v>
      </c>
      <c r="D154" t="s">
        <v>152</v>
      </c>
      <c r="E154" t="s">
        <v>494</v>
      </c>
      <c r="F154" t="s">
        <v>35</v>
      </c>
      <c r="G154">
        <f>HYPERLINK("http://clipc-services.ceda.ac.uk/dreq/u/5914e0ba-9e49-11e5-803c-0d0b866b59f3.html","web")</f>
        <v>0</v>
      </c>
      <c r="J154" t="s">
        <v>495</v>
      </c>
      <c r="K154" t="s">
        <v>489</v>
      </c>
      <c r="M154" t="s">
        <v>35</v>
      </c>
    </row>
    <row r="155" spans="1:13">
      <c r="A155" t="s">
        <v>485</v>
      </c>
      <c r="B155" t="s">
        <v>496</v>
      </c>
      <c r="C155" t="s">
        <v>50</v>
      </c>
      <c r="D155" t="s">
        <v>152</v>
      </c>
      <c r="E155" t="s">
        <v>497</v>
      </c>
      <c r="F155" t="s">
        <v>74</v>
      </c>
      <c r="G155">
        <f>HYPERLINK("http://clipc-services.ceda.ac.uk/dreq/u/59131140-9e49-11e5-803c-0d0b866b59f3.html","web")</f>
        <v>0</v>
      </c>
      <c r="J155" t="s">
        <v>498</v>
      </c>
      <c r="K155" t="s">
        <v>499</v>
      </c>
      <c r="M155" t="s">
        <v>74</v>
      </c>
    </row>
    <row r="156" spans="1:13">
      <c r="A156" t="s">
        <v>485</v>
      </c>
      <c r="B156" t="s">
        <v>500</v>
      </c>
      <c r="C156" t="s">
        <v>50</v>
      </c>
      <c r="D156" t="s">
        <v>152</v>
      </c>
      <c r="E156" t="s">
        <v>501</v>
      </c>
      <c r="F156" t="s">
        <v>74</v>
      </c>
      <c r="G156">
        <f>HYPERLINK("http://clipc-services.ceda.ac.uk/dreq/u/590e9656-9e49-11e5-803c-0d0b866b59f3.html","web")</f>
        <v>0</v>
      </c>
      <c r="J156" t="s">
        <v>502</v>
      </c>
      <c r="K156" t="s">
        <v>503</v>
      </c>
      <c r="M156" t="s">
        <v>74</v>
      </c>
    </row>
    <row r="157" spans="1:13">
      <c r="A157" t="s">
        <v>485</v>
      </c>
      <c r="B157" t="s">
        <v>504</v>
      </c>
      <c r="C157" t="s">
        <v>50</v>
      </c>
      <c r="D157" t="s">
        <v>152</v>
      </c>
      <c r="E157" t="s">
        <v>505</v>
      </c>
      <c r="F157" t="s">
        <v>74</v>
      </c>
      <c r="G157">
        <f>HYPERLINK("http://clipc-services.ceda.ac.uk/dreq/u/591733d8-9e49-11e5-803c-0d0b866b59f3.html","web")</f>
        <v>0</v>
      </c>
      <c r="J157" t="s">
        <v>506</v>
      </c>
      <c r="K157" t="s">
        <v>503</v>
      </c>
      <c r="M157" t="s">
        <v>74</v>
      </c>
    </row>
    <row r="158" spans="1:13">
      <c r="A158" t="s">
        <v>485</v>
      </c>
      <c r="B158" t="s">
        <v>507</v>
      </c>
      <c r="C158" t="s">
        <v>50</v>
      </c>
      <c r="D158" t="s">
        <v>152</v>
      </c>
      <c r="E158" t="s">
        <v>508</v>
      </c>
      <c r="F158" t="s">
        <v>74</v>
      </c>
      <c r="G158">
        <f>HYPERLINK("http://clipc-services.ceda.ac.uk/dreq/u/590dbb78-9e49-11e5-803c-0d0b866b59f3.html","web")</f>
        <v>0</v>
      </c>
      <c r="J158" t="s">
        <v>509</v>
      </c>
      <c r="K158" t="s">
        <v>499</v>
      </c>
      <c r="M158" t="s">
        <v>74</v>
      </c>
    </row>
    <row r="159" spans="1:13">
      <c r="A159" t="s">
        <v>485</v>
      </c>
      <c r="B159" t="s">
        <v>510</v>
      </c>
      <c r="C159" t="s">
        <v>50</v>
      </c>
      <c r="D159" t="s">
        <v>152</v>
      </c>
      <c r="E159" t="s">
        <v>511</v>
      </c>
      <c r="F159" t="s">
        <v>74</v>
      </c>
      <c r="G159">
        <f>HYPERLINK("http://clipc-services.ceda.ac.uk/dreq/u/590f5672-9e49-11e5-803c-0d0b866b59f3.html","web")</f>
        <v>0</v>
      </c>
      <c r="J159" t="s">
        <v>512</v>
      </c>
      <c r="K159" t="s">
        <v>489</v>
      </c>
      <c r="M159" t="s">
        <v>74</v>
      </c>
    </row>
    <row r="160" spans="1:13">
      <c r="A160" t="s">
        <v>485</v>
      </c>
      <c r="B160" t="s">
        <v>513</v>
      </c>
      <c r="C160" t="s">
        <v>50</v>
      </c>
      <c r="D160" t="s">
        <v>152</v>
      </c>
      <c r="E160" t="s">
        <v>514</v>
      </c>
      <c r="F160" t="s">
        <v>74</v>
      </c>
      <c r="G160">
        <f>HYPERLINK("http://clipc-services.ceda.ac.uk/dreq/u/5917e51c-9e49-11e5-803c-0d0b866b59f3.html","web")</f>
        <v>0</v>
      </c>
      <c r="J160" t="s">
        <v>515</v>
      </c>
      <c r="K160" t="s">
        <v>503</v>
      </c>
      <c r="M160" t="s">
        <v>74</v>
      </c>
    </row>
    <row r="161" spans="1:13">
      <c r="A161" t="s">
        <v>485</v>
      </c>
      <c r="B161" t="s">
        <v>516</v>
      </c>
      <c r="C161" t="s">
        <v>16</v>
      </c>
      <c r="D161" t="s">
        <v>517</v>
      </c>
      <c r="E161" t="s">
        <v>518</v>
      </c>
      <c r="F161" t="s">
        <v>38</v>
      </c>
      <c r="G161">
        <f>HYPERLINK("http://clipc-services.ceda.ac.uk/dreq/u/590f0442-9e49-11e5-803c-0d0b866b59f3.html","web")</f>
        <v>0</v>
      </c>
      <c r="J161" t="s">
        <v>519</v>
      </c>
      <c r="K161" t="s">
        <v>489</v>
      </c>
      <c r="M161" t="s">
        <v>38</v>
      </c>
    </row>
    <row r="162" spans="1:13">
      <c r="A162" t="s">
        <v>485</v>
      </c>
      <c r="B162" t="s">
        <v>520</v>
      </c>
      <c r="C162" t="s">
        <v>16</v>
      </c>
      <c r="D162" t="s">
        <v>521</v>
      </c>
      <c r="E162" t="s">
        <v>522</v>
      </c>
      <c r="F162" t="s">
        <v>38</v>
      </c>
      <c r="G162">
        <f>HYPERLINK("http://clipc-services.ceda.ac.uk/dreq/u/590eb1ea-9e49-11e5-803c-0d0b866b59f3.html","web")</f>
        <v>0</v>
      </c>
      <c r="J162" t="s">
        <v>523</v>
      </c>
      <c r="K162" t="s">
        <v>489</v>
      </c>
      <c r="M162" t="s">
        <v>38</v>
      </c>
    </row>
    <row r="163" spans="1:13">
      <c r="A163" t="s">
        <v>485</v>
      </c>
      <c r="B163" t="s">
        <v>524</v>
      </c>
      <c r="C163" t="s">
        <v>16</v>
      </c>
      <c r="D163" t="s">
        <v>152</v>
      </c>
      <c r="E163" t="s">
        <v>525</v>
      </c>
      <c r="F163" t="s">
        <v>57</v>
      </c>
      <c r="G163">
        <f>HYPERLINK("http://clipc-services.ceda.ac.uk/dreq/u/aa9073c2-1b36-11e6-a696-35cd2d8034df.html","web")</f>
        <v>0</v>
      </c>
      <c r="J163" t="s">
        <v>526</v>
      </c>
      <c r="K163" t="s">
        <v>489</v>
      </c>
      <c r="M163" t="s">
        <v>57</v>
      </c>
    </row>
    <row r="164" spans="1:13">
      <c r="A164" t="s">
        <v>485</v>
      </c>
      <c r="B164" t="s">
        <v>527</v>
      </c>
      <c r="C164" t="s">
        <v>16</v>
      </c>
      <c r="D164" t="s">
        <v>152</v>
      </c>
      <c r="E164" t="s">
        <v>528</v>
      </c>
      <c r="F164" t="s">
        <v>57</v>
      </c>
      <c r="G164">
        <f>HYPERLINK("http://clipc-services.ceda.ac.uk/dreq/u/591523cc-9e49-11e5-803c-0d0b866b59f3.html","web")</f>
        <v>0</v>
      </c>
      <c r="J164" t="s">
        <v>529</v>
      </c>
      <c r="K164" t="s">
        <v>489</v>
      </c>
      <c r="M164" t="s">
        <v>57</v>
      </c>
    </row>
    <row r="165" spans="1:13">
      <c r="A165" t="s">
        <v>485</v>
      </c>
      <c r="B165" t="s">
        <v>530</v>
      </c>
      <c r="C165" t="s">
        <v>50</v>
      </c>
      <c r="D165" t="s">
        <v>152</v>
      </c>
      <c r="E165" t="s">
        <v>531</v>
      </c>
      <c r="F165" t="s">
        <v>182</v>
      </c>
      <c r="G165">
        <f>HYPERLINK("http://clipc-services.ceda.ac.uk/dreq/u/59138238-9e49-11e5-803c-0d0b866b59f3.html","web")</f>
        <v>0</v>
      </c>
      <c r="J165" t="s">
        <v>532</v>
      </c>
      <c r="K165" t="s">
        <v>533</v>
      </c>
      <c r="M165" t="s">
        <v>182</v>
      </c>
    </row>
    <row r="166" spans="1:13">
      <c r="A166" t="s">
        <v>485</v>
      </c>
      <c r="B166" t="s">
        <v>534</v>
      </c>
      <c r="C166" t="s">
        <v>16</v>
      </c>
      <c r="D166" t="s">
        <v>535</v>
      </c>
      <c r="E166" t="s">
        <v>536</v>
      </c>
      <c r="F166" t="s">
        <v>35</v>
      </c>
      <c r="G166">
        <f>HYPERLINK("http://clipc-services.ceda.ac.uk/dreq/u/590dfb2e-9e49-11e5-803c-0d0b866b59f3.html","web")</f>
        <v>0</v>
      </c>
      <c r="J166" t="s">
        <v>537</v>
      </c>
      <c r="K166" t="s">
        <v>489</v>
      </c>
      <c r="M166" t="s">
        <v>35</v>
      </c>
    </row>
    <row r="167" spans="1:13">
      <c r="A167" t="s">
        <v>485</v>
      </c>
      <c r="B167" t="s">
        <v>538</v>
      </c>
      <c r="C167" t="s">
        <v>16</v>
      </c>
      <c r="D167" t="s">
        <v>152</v>
      </c>
      <c r="E167" t="s">
        <v>539</v>
      </c>
      <c r="F167" t="s">
        <v>57</v>
      </c>
      <c r="G167">
        <f>HYPERLINK("http://clipc-services.ceda.ac.uk/dreq/u/5914eb78-9e49-11e5-803c-0d0b866b59f3.html","web")</f>
        <v>0</v>
      </c>
      <c r="J167" t="s">
        <v>540</v>
      </c>
      <c r="K167" t="s">
        <v>489</v>
      </c>
      <c r="M167" t="s">
        <v>57</v>
      </c>
    </row>
    <row r="168" spans="1:13">
      <c r="A168" t="s">
        <v>485</v>
      </c>
      <c r="B168" t="s">
        <v>541</v>
      </c>
      <c r="C168" t="s">
        <v>35</v>
      </c>
      <c r="D168" t="s">
        <v>152</v>
      </c>
      <c r="E168" t="s">
        <v>542</v>
      </c>
      <c r="F168" t="s">
        <v>38</v>
      </c>
      <c r="G168">
        <f>HYPERLINK("http://clipc-services.ceda.ac.uk/dreq/u/590d38b0-9e49-11e5-803c-0d0b866b59f3.html","web")</f>
        <v>0</v>
      </c>
      <c r="J168" t="s">
        <v>543</v>
      </c>
      <c r="K168" t="s">
        <v>544</v>
      </c>
      <c r="M168" t="s">
        <v>38</v>
      </c>
    </row>
    <row r="169" spans="1:13">
      <c r="A169" t="s">
        <v>485</v>
      </c>
      <c r="B169" t="s">
        <v>545</v>
      </c>
      <c r="C169" t="s">
        <v>50</v>
      </c>
      <c r="D169" t="s">
        <v>152</v>
      </c>
      <c r="E169" t="s">
        <v>546</v>
      </c>
      <c r="F169" t="s">
        <v>182</v>
      </c>
      <c r="G169">
        <f>HYPERLINK("http://clipc-services.ceda.ac.uk/dreq/u/590d7370-9e49-11e5-803c-0d0b866b59f3.html","web")</f>
        <v>0</v>
      </c>
      <c r="J169" t="s">
        <v>547</v>
      </c>
      <c r="K169" t="s">
        <v>489</v>
      </c>
      <c r="M169" t="s">
        <v>182</v>
      </c>
    </row>
    <row r="171" spans="1:13">
      <c r="A171" t="s">
        <v>548</v>
      </c>
      <c r="B171" t="s">
        <v>549</v>
      </c>
      <c r="C171" t="s">
        <v>50</v>
      </c>
      <c r="D171" t="s">
        <v>550</v>
      </c>
      <c r="E171" t="s">
        <v>551</v>
      </c>
      <c r="F171" t="s">
        <v>38</v>
      </c>
      <c r="G171">
        <f>HYPERLINK("http://clipc-services.ceda.ac.uk/dreq/u/1aefc13bd27020244fe1cfd706ce1041.html","web")</f>
        <v>0</v>
      </c>
      <c r="J171" t="s">
        <v>552</v>
      </c>
      <c r="K171" t="s">
        <v>553</v>
      </c>
      <c r="M171" t="s">
        <v>38</v>
      </c>
    </row>
    <row r="172" spans="1:13">
      <c r="A172" t="s">
        <v>548</v>
      </c>
      <c r="B172" t="s">
        <v>331</v>
      </c>
      <c r="C172" t="s">
        <v>35</v>
      </c>
      <c r="D172" t="s">
        <v>332</v>
      </c>
      <c r="E172" t="s">
        <v>333</v>
      </c>
      <c r="F172" t="s">
        <v>38</v>
      </c>
      <c r="G172">
        <f>HYPERLINK("http://clipc-services.ceda.ac.uk/dreq/u/400e5707b65c01e31f2ec6a59dd3983b.html","web")</f>
        <v>0</v>
      </c>
      <c r="J172" t="s">
        <v>334</v>
      </c>
      <c r="K172" t="s">
        <v>554</v>
      </c>
      <c r="M172" t="s">
        <v>38</v>
      </c>
    </row>
    <row r="173" spans="1:13">
      <c r="A173" t="s">
        <v>548</v>
      </c>
      <c r="B173" t="s">
        <v>555</v>
      </c>
      <c r="C173" t="s">
        <v>50</v>
      </c>
      <c r="D173" t="s">
        <v>550</v>
      </c>
      <c r="E173" t="s">
        <v>556</v>
      </c>
      <c r="F173" t="s">
        <v>35</v>
      </c>
      <c r="G173">
        <f>HYPERLINK("http://clipc-services.ceda.ac.uk/dreq/u/76f247229d5b524d94dfaedd577eeb84.html","web")</f>
        <v>0</v>
      </c>
      <c r="J173" t="s">
        <v>557</v>
      </c>
      <c r="K173" t="s">
        <v>558</v>
      </c>
      <c r="M173" t="s">
        <v>35</v>
      </c>
    </row>
    <row r="174" spans="1:13">
      <c r="A174" t="s">
        <v>548</v>
      </c>
      <c r="B174" t="s">
        <v>559</v>
      </c>
      <c r="C174" t="s">
        <v>50</v>
      </c>
      <c r="D174" t="s">
        <v>550</v>
      </c>
      <c r="E174" t="s">
        <v>560</v>
      </c>
      <c r="F174" t="s">
        <v>35</v>
      </c>
      <c r="G174">
        <f>HYPERLINK("http://clipc-services.ceda.ac.uk/dreq/u/4dbe7bd9b38439125b341edba15aa66a.html","web")</f>
        <v>0</v>
      </c>
      <c r="J174" t="s">
        <v>561</v>
      </c>
      <c r="K174" t="s">
        <v>558</v>
      </c>
      <c r="M174" t="s">
        <v>35</v>
      </c>
    </row>
    <row r="175" spans="1:13">
      <c r="A175" t="s">
        <v>548</v>
      </c>
      <c r="B175" t="s">
        <v>335</v>
      </c>
      <c r="C175" t="s">
        <v>35</v>
      </c>
      <c r="D175" t="s">
        <v>336</v>
      </c>
      <c r="E175" t="s">
        <v>337</v>
      </c>
      <c r="F175" t="s">
        <v>38</v>
      </c>
      <c r="G175">
        <f>HYPERLINK("http://clipc-services.ceda.ac.uk/dreq/u/fa7666d61b92de5bad1ad76561b8b850.html","web")</f>
        <v>0</v>
      </c>
      <c r="J175" t="s">
        <v>338</v>
      </c>
      <c r="K175" t="s">
        <v>562</v>
      </c>
      <c r="M175" t="s">
        <v>38</v>
      </c>
    </row>
    <row r="176" spans="1:13">
      <c r="A176" t="s">
        <v>548</v>
      </c>
      <c r="B176" t="s">
        <v>563</v>
      </c>
      <c r="C176" t="s">
        <v>50</v>
      </c>
      <c r="D176" t="s">
        <v>550</v>
      </c>
      <c r="E176" t="s">
        <v>564</v>
      </c>
      <c r="F176" t="s">
        <v>38</v>
      </c>
      <c r="G176">
        <f>HYPERLINK("http://clipc-services.ceda.ac.uk/dreq/u/2cd1940e7201d5adb02ba157a74fc33e.html","web")</f>
        <v>0</v>
      </c>
      <c r="J176" t="s">
        <v>565</v>
      </c>
      <c r="K176" t="s">
        <v>566</v>
      </c>
      <c r="M176" t="s">
        <v>38</v>
      </c>
    </row>
    <row r="177" spans="1:13">
      <c r="A177" t="s">
        <v>548</v>
      </c>
      <c r="B177" t="s">
        <v>567</v>
      </c>
      <c r="C177" t="s">
        <v>50</v>
      </c>
      <c r="D177" t="s">
        <v>550</v>
      </c>
      <c r="E177" t="s">
        <v>568</v>
      </c>
      <c r="F177" t="s">
        <v>35</v>
      </c>
      <c r="G177">
        <f>HYPERLINK("http://clipc-services.ceda.ac.uk/dreq/u/9b75db3b829a01b02dfe952824150a33.html","web")</f>
        <v>0</v>
      </c>
      <c r="J177" t="s">
        <v>569</v>
      </c>
      <c r="K177" t="s">
        <v>558</v>
      </c>
      <c r="M177" t="s">
        <v>35</v>
      </c>
    </row>
    <row r="178" spans="1:13">
      <c r="A178" t="s">
        <v>548</v>
      </c>
      <c r="B178" t="s">
        <v>570</v>
      </c>
      <c r="C178" t="s">
        <v>50</v>
      </c>
      <c r="D178" t="s">
        <v>550</v>
      </c>
      <c r="E178" t="s">
        <v>571</v>
      </c>
      <c r="F178" t="s">
        <v>35</v>
      </c>
      <c r="G178">
        <f>HYPERLINK("http://clipc-services.ceda.ac.uk/dreq/u/e4dc8fb121d8dc2cbc44f1f28eea183b.html","web")</f>
        <v>0</v>
      </c>
      <c r="J178" t="s">
        <v>572</v>
      </c>
      <c r="K178" t="s">
        <v>558</v>
      </c>
      <c r="M178" t="s">
        <v>35</v>
      </c>
    </row>
    <row r="179" spans="1:13">
      <c r="A179" t="s">
        <v>548</v>
      </c>
      <c r="B179" t="s">
        <v>573</v>
      </c>
      <c r="C179" t="s">
        <v>50</v>
      </c>
      <c r="D179" t="s">
        <v>340</v>
      </c>
      <c r="E179" t="s">
        <v>574</v>
      </c>
      <c r="F179" t="s">
        <v>182</v>
      </c>
      <c r="G179">
        <f>HYPERLINK("http://clipc-services.ceda.ac.uk/dreq/u/517f72b8577df7e97ce2dea8f1143e94.html","web")</f>
        <v>0</v>
      </c>
      <c r="J179" t="s">
        <v>575</v>
      </c>
      <c r="K179" t="s">
        <v>558</v>
      </c>
      <c r="M179" t="s">
        <v>182</v>
      </c>
    </row>
    <row r="180" spans="1:13">
      <c r="A180" t="s">
        <v>548</v>
      </c>
      <c r="B180" t="s">
        <v>415</v>
      </c>
      <c r="C180" t="s">
        <v>35</v>
      </c>
      <c r="D180" t="s">
        <v>550</v>
      </c>
      <c r="E180" t="s">
        <v>417</v>
      </c>
      <c r="F180" t="s">
        <v>143</v>
      </c>
      <c r="G180">
        <f>HYPERLINK("http://clipc-services.ceda.ac.uk/dreq/u/c373986159daf18eee63ca731d52b6f7.html","web")</f>
        <v>0</v>
      </c>
      <c r="J180" t="s">
        <v>418</v>
      </c>
      <c r="K180" t="s">
        <v>576</v>
      </c>
      <c r="M180" t="s">
        <v>143</v>
      </c>
    </row>
    <row r="181" spans="1:13">
      <c r="A181" t="s">
        <v>548</v>
      </c>
      <c r="B181" t="s">
        <v>419</v>
      </c>
      <c r="C181" t="s">
        <v>35</v>
      </c>
      <c r="D181" t="s">
        <v>550</v>
      </c>
      <c r="E181" t="s">
        <v>420</v>
      </c>
      <c r="F181" t="s">
        <v>143</v>
      </c>
      <c r="G181">
        <f>HYPERLINK("http://clipc-services.ceda.ac.uk/dreq/u/52c137a21845ae294b27ad40eaca096d.html","web")</f>
        <v>0</v>
      </c>
      <c r="J181" t="s">
        <v>421</v>
      </c>
      <c r="K181" t="s">
        <v>576</v>
      </c>
      <c r="M181" t="s">
        <v>143</v>
      </c>
    </row>
    <row r="182" spans="1:13">
      <c r="A182" t="s">
        <v>548</v>
      </c>
      <c r="B182" t="s">
        <v>577</v>
      </c>
      <c r="C182" t="s">
        <v>50</v>
      </c>
      <c r="D182" t="s">
        <v>340</v>
      </c>
      <c r="E182" t="s">
        <v>578</v>
      </c>
      <c r="F182" t="s">
        <v>182</v>
      </c>
      <c r="G182">
        <f>HYPERLINK("http://clipc-services.ceda.ac.uk/dreq/u/e889a99259ce24104c8b21894ace22da.html","web")</f>
        <v>0</v>
      </c>
      <c r="J182" t="s">
        <v>579</v>
      </c>
      <c r="K182" t="s">
        <v>558</v>
      </c>
      <c r="M182" t="s">
        <v>182</v>
      </c>
    </row>
    <row r="183" spans="1:13">
      <c r="A183" t="s">
        <v>548</v>
      </c>
      <c r="B183" t="s">
        <v>580</v>
      </c>
      <c r="C183" t="s">
        <v>50</v>
      </c>
      <c r="D183" t="s">
        <v>340</v>
      </c>
      <c r="E183" t="s">
        <v>581</v>
      </c>
      <c r="F183" t="s">
        <v>182</v>
      </c>
      <c r="G183">
        <f>HYPERLINK("http://clipc-services.ceda.ac.uk/dreq/u/62aa098b13f86fa22de1a874536a64ae.html","web")</f>
        <v>0</v>
      </c>
      <c r="J183" t="s">
        <v>582</v>
      </c>
      <c r="K183" t="s">
        <v>576</v>
      </c>
      <c r="M183" t="s">
        <v>182</v>
      </c>
    </row>
    <row r="184" spans="1:13">
      <c r="A184" t="s">
        <v>548</v>
      </c>
      <c r="B184" t="s">
        <v>435</v>
      </c>
      <c r="C184" t="s">
        <v>35</v>
      </c>
      <c r="D184" t="s">
        <v>340</v>
      </c>
      <c r="E184" t="s">
        <v>436</v>
      </c>
      <c r="F184" t="s">
        <v>74</v>
      </c>
      <c r="G184">
        <f>HYPERLINK("http://clipc-services.ceda.ac.uk/dreq/u/c432bfbfc0e7f4403f91af39736ff61c.html","web")</f>
        <v>0</v>
      </c>
      <c r="J184" t="s">
        <v>437</v>
      </c>
      <c r="K184" t="s">
        <v>583</v>
      </c>
      <c r="M184" t="s">
        <v>74</v>
      </c>
    </row>
    <row r="185" spans="1:13">
      <c r="A185" t="s">
        <v>548</v>
      </c>
      <c r="B185" t="s">
        <v>584</v>
      </c>
      <c r="C185" t="s">
        <v>35</v>
      </c>
      <c r="D185" t="s">
        <v>340</v>
      </c>
      <c r="E185" t="s">
        <v>585</v>
      </c>
      <c r="F185" t="s">
        <v>74</v>
      </c>
      <c r="G185">
        <f>HYPERLINK("http://clipc-services.ceda.ac.uk/dreq/u/e0279cf7335a5b9292a1a3c8f70a32a2.html","web")</f>
        <v>0</v>
      </c>
      <c r="J185" t="s">
        <v>586</v>
      </c>
      <c r="K185" t="s">
        <v>587</v>
      </c>
      <c r="M185" t="s">
        <v>74</v>
      </c>
    </row>
    <row r="186" spans="1:13">
      <c r="A186" t="s">
        <v>548</v>
      </c>
      <c r="B186" t="s">
        <v>438</v>
      </c>
      <c r="C186" t="s">
        <v>35</v>
      </c>
      <c r="D186" t="s">
        <v>340</v>
      </c>
      <c r="E186" t="s">
        <v>439</v>
      </c>
      <c r="F186" t="s">
        <v>74</v>
      </c>
      <c r="G186">
        <f>HYPERLINK("http://clipc-services.ceda.ac.uk/dreq/u/e79eb59d74038643b2201bb0556e720a.html","web")</f>
        <v>0</v>
      </c>
      <c r="J186" t="s">
        <v>440</v>
      </c>
      <c r="K186" t="s">
        <v>583</v>
      </c>
      <c r="M186" t="s">
        <v>74</v>
      </c>
    </row>
    <row r="187" spans="1:13">
      <c r="A187" t="s">
        <v>548</v>
      </c>
      <c r="B187" t="s">
        <v>588</v>
      </c>
      <c r="C187" t="s">
        <v>35</v>
      </c>
      <c r="D187" t="s">
        <v>340</v>
      </c>
      <c r="E187" t="s">
        <v>589</v>
      </c>
      <c r="F187" t="s">
        <v>74</v>
      </c>
      <c r="G187">
        <f>HYPERLINK("http://clipc-services.ceda.ac.uk/dreq/u/bc0982cd4cc45a7ad96524f549a468c4.html","web")</f>
        <v>0</v>
      </c>
      <c r="J187" t="s">
        <v>590</v>
      </c>
      <c r="K187" t="s">
        <v>587</v>
      </c>
      <c r="M187" t="s">
        <v>74</v>
      </c>
    </row>
    <row r="188" spans="1:13">
      <c r="A188" t="s">
        <v>548</v>
      </c>
      <c r="B188" t="s">
        <v>441</v>
      </c>
      <c r="C188" t="s">
        <v>35</v>
      </c>
      <c r="D188" t="s">
        <v>340</v>
      </c>
      <c r="E188" t="s">
        <v>442</v>
      </c>
      <c r="F188" t="s">
        <v>74</v>
      </c>
      <c r="G188">
        <f>HYPERLINK("http://clipc-services.ceda.ac.uk/dreq/u/bcfeacf77d49ef51a6ee66a1ab0ebcb4.html","web")</f>
        <v>0</v>
      </c>
      <c r="J188" t="s">
        <v>443</v>
      </c>
      <c r="K188" t="s">
        <v>583</v>
      </c>
      <c r="M188" t="s">
        <v>74</v>
      </c>
    </row>
    <row r="189" spans="1:13">
      <c r="A189" t="s">
        <v>548</v>
      </c>
      <c r="B189" t="s">
        <v>591</v>
      </c>
      <c r="C189" t="s">
        <v>35</v>
      </c>
      <c r="D189" t="s">
        <v>340</v>
      </c>
      <c r="E189" t="s">
        <v>592</v>
      </c>
      <c r="F189" t="s">
        <v>74</v>
      </c>
      <c r="G189">
        <f>HYPERLINK("http://clipc-services.ceda.ac.uk/dreq/u/01918a16b5ac9dbbe932d83357c06a21.html","web")</f>
        <v>0</v>
      </c>
      <c r="J189" t="s">
        <v>593</v>
      </c>
      <c r="K189" t="s">
        <v>587</v>
      </c>
      <c r="M189" t="s">
        <v>74</v>
      </c>
    </row>
    <row r="190" spans="1:13">
      <c r="A190" t="s">
        <v>548</v>
      </c>
      <c r="B190" t="s">
        <v>444</v>
      </c>
      <c r="C190" t="s">
        <v>35</v>
      </c>
      <c r="D190" t="s">
        <v>340</v>
      </c>
      <c r="E190" t="s">
        <v>445</v>
      </c>
      <c r="F190" t="s">
        <v>74</v>
      </c>
      <c r="G190">
        <f>HYPERLINK("http://clipc-services.ceda.ac.uk/dreq/u/a8607fe15cb4f2997228523340233d91.html","web")</f>
        <v>0</v>
      </c>
      <c r="J190" t="s">
        <v>446</v>
      </c>
      <c r="K190" t="s">
        <v>583</v>
      </c>
      <c r="M190" t="s">
        <v>74</v>
      </c>
    </row>
    <row r="191" spans="1:13">
      <c r="A191" t="s">
        <v>548</v>
      </c>
      <c r="B191" t="s">
        <v>594</v>
      </c>
      <c r="C191" t="s">
        <v>35</v>
      </c>
      <c r="D191" t="s">
        <v>340</v>
      </c>
      <c r="E191" t="s">
        <v>595</v>
      </c>
      <c r="F191" t="s">
        <v>74</v>
      </c>
      <c r="G191">
        <f>HYPERLINK("http://clipc-services.ceda.ac.uk/dreq/u/5951b6df2bd5a02e11213ea42620fa89.html","web")</f>
        <v>0</v>
      </c>
      <c r="J191" t="s">
        <v>596</v>
      </c>
      <c r="K191" t="s">
        <v>587</v>
      </c>
      <c r="M191" t="s">
        <v>74</v>
      </c>
    </row>
    <row r="192" spans="1:13">
      <c r="A192" t="s">
        <v>548</v>
      </c>
      <c r="B192" t="s">
        <v>597</v>
      </c>
      <c r="C192" t="s">
        <v>35</v>
      </c>
      <c r="D192" t="s">
        <v>152</v>
      </c>
      <c r="E192" t="s">
        <v>598</v>
      </c>
      <c r="F192" t="s">
        <v>74</v>
      </c>
      <c r="G192">
        <f>HYPERLINK("http://clipc-services.ceda.ac.uk/dreq/u/0888eef64215cf18affe93ca142c95ad.html","web")</f>
        <v>0</v>
      </c>
      <c r="J192" t="s">
        <v>599</v>
      </c>
      <c r="K192" t="s">
        <v>600</v>
      </c>
      <c r="M192" t="s">
        <v>74</v>
      </c>
    </row>
    <row r="193" spans="1:13">
      <c r="A193" t="s">
        <v>548</v>
      </c>
      <c r="B193" t="s">
        <v>601</v>
      </c>
      <c r="C193" t="s">
        <v>35</v>
      </c>
      <c r="D193" t="s">
        <v>152</v>
      </c>
      <c r="E193" t="s">
        <v>602</v>
      </c>
      <c r="F193" t="s">
        <v>74</v>
      </c>
      <c r="G193">
        <f>HYPERLINK("http://clipc-services.ceda.ac.uk/dreq/u/71a3667c9d9a8b9af56e22757461b7d0.html","web")</f>
        <v>0</v>
      </c>
      <c r="J193" t="s">
        <v>603</v>
      </c>
      <c r="K193" t="s">
        <v>600</v>
      </c>
      <c r="M193" t="s">
        <v>74</v>
      </c>
    </row>
    <row r="194" spans="1:13">
      <c r="A194" t="s">
        <v>548</v>
      </c>
      <c r="B194" t="s">
        <v>447</v>
      </c>
      <c r="C194" t="s">
        <v>35</v>
      </c>
      <c r="D194" t="s">
        <v>340</v>
      </c>
      <c r="E194" t="s">
        <v>448</v>
      </c>
      <c r="F194" t="s">
        <v>74</v>
      </c>
      <c r="G194">
        <f>HYPERLINK("http://clipc-services.ceda.ac.uk/dreq/u/eb9ac643cd9c73cae960d6d2db7b901d.html","web")</f>
        <v>0</v>
      </c>
      <c r="J194" t="s">
        <v>449</v>
      </c>
      <c r="K194" t="s">
        <v>583</v>
      </c>
      <c r="M194" t="s">
        <v>74</v>
      </c>
    </row>
    <row r="195" spans="1:13">
      <c r="A195" t="s">
        <v>548</v>
      </c>
      <c r="B195" t="s">
        <v>604</v>
      </c>
      <c r="C195" t="s">
        <v>35</v>
      </c>
      <c r="D195" t="s">
        <v>340</v>
      </c>
      <c r="E195" t="s">
        <v>605</v>
      </c>
      <c r="F195" t="s">
        <v>74</v>
      </c>
      <c r="G195">
        <f>HYPERLINK("http://clipc-services.ceda.ac.uk/dreq/u/6248574ebce5bf9fde3841735c9108bc.html","web")</f>
        <v>0</v>
      </c>
      <c r="J195" t="s">
        <v>606</v>
      </c>
      <c r="K195" t="s">
        <v>587</v>
      </c>
      <c r="M195" t="s">
        <v>74</v>
      </c>
    </row>
    <row r="196" spans="1:13">
      <c r="A196" t="s">
        <v>548</v>
      </c>
      <c r="B196" t="s">
        <v>450</v>
      </c>
      <c r="C196" t="s">
        <v>35</v>
      </c>
      <c r="D196" t="s">
        <v>340</v>
      </c>
      <c r="E196" t="s">
        <v>451</v>
      </c>
      <c r="F196" t="s">
        <v>74</v>
      </c>
      <c r="G196">
        <f>HYPERLINK("http://clipc-services.ceda.ac.uk/dreq/u/38806cec3ba894d7745fada80c9f6fe6.html","web")</f>
        <v>0</v>
      </c>
      <c r="J196" t="s">
        <v>452</v>
      </c>
      <c r="K196" t="s">
        <v>583</v>
      </c>
      <c r="M196" t="s">
        <v>74</v>
      </c>
    </row>
    <row r="197" spans="1:13">
      <c r="A197" t="s">
        <v>548</v>
      </c>
      <c r="B197" t="s">
        <v>607</v>
      </c>
      <c r="C197" t="s">
        <v>35</v>
      </c>
      <c r="D197" t="s">
        <v>340</v>
      </c>
      <c r="E197" t="s">
        <v>608</v>
      </c>
      <c r="F197" t="s">
        <v>74</v>
      </c>
      <c r="G197">
        <f>HYPERLINK("http://clipc-services.ceda.ac.uk/dreq/u/b8acc50c52fa48b40a4512d06d2d6435.html","web")</f>
        <v>0</v>
      </c>
      <c r="J197" t="s">
        <v>609</v>
      </c>
      <c r="K197" t="s">
        <v>587</v>
      </c>
      <c r="M197" t="s">
        <v>74</v>
      </c>
    </row>
    <row r="198" spans="1:13">
      <c r="A198" t="s">
        <v>548</v>
      </c>
      <c r="B198" t="s">
        <v>453</v>
      </c>
      <c r="C198" t="s">
        <v>35</v>
      </c>
      <c r="D198" t="s">
        <v>340</v>
      </c>
      <c r="E198" t="s">
        <v>454</v>
      </c>
      <c r="F198" t="s">
        <v>74</v>
      </c>
      <c r="G198">
        <f>HYPERLINK("http://clipc-services.ceda.ac.uk/dreq/u/c323f38340e4846931ad4891232d839d.html","web")</f>
        <v>0</v>
      </c>
      <c r="J198" t="s">
        <v>455</v>
      </c>
      <c r="K198" t="s">
        <v>583</v>
      </c>
      <c r="M198" t="s">
        <v>74</v>
      </c>
    </row>
    <row r="199" spans="1:13">
      <c r="A199" t="s">
        <v>548</v>
      </c>
      <c r="B199" t="s">
        <v>610</v>
      </c>
      <c r="C199" t="s">
        <v>35</v>
      </c>
      <c r="D199" t="s">
        <v>340</v>
      </c>
      <c r="E199" t="s">
        <v>611</v>
      </c>
      <c r="F199" t="s">
        <v>74</v>
      </c>
      <c r="G199">
        <f>HYPERLINK("http://clipc-services.ceda.ac.uk/dreq/u/8e5acd3e73d41006a677b5e77fe383f7.html","web")</f>
        <v>0</v>
      </c>
      <c r="J199" t="s">
        <v>612</v>
      </c>
      <c r="K199" t="s">
        <v>587</v>
      </c>
      <c r="M199" t="s">
        <v>74</v>
      </c>
    </row>
    <row r="200" spans="1:13">
      <c r="A200" t="s">
        <v>548</v>
      </c>
      <c r="B200" t="s">
        <v>456</v>
      </c>
      <c r="C200" t="s">
        <v>35</v>
      </c>
      <c r="D200" t="s">
        <v>340</v>
      </c>
      <c r="E200" t="s">
        <v>457</v>
      </c>
      <c r="F200" t="s">
        <v>74</v>
      </c>
      <c r="G200">
        <f>HYPERLINK("http://clipc-services.ceda.ac.uk/dreq/u/eb72b66b6365daed79aefeda9d3d30b5.html","web")</f>
        <v>0</v>
      </c>
      <c r="J200" t="s">
        <v>458</v>
      </c>
      <c r="K200" t="s">
        <v>583</v>
      </c>
      <c r="M200" t="s">
        <v>74</v>
      </c>
    </row>
    <row r="201" spans="1:13">
      <c r="A201" t="s">
        <v>548</v>
      </c>
      <c r="B201" t="s">
        <v>613</v>
      </c>
      <c r="C201" t="s">
        <v>35</v>
      </c>
      <c r="D201" t="s">
        <v>340</v>
      </c>
      <c r="E201" t="s">
        <v>614</v>
      </c>
      <c r="F201" t="s">
        <v>74</v>
      </c>
      <c r="G201">
        <f>HYPERLINK("http://clipc-services.ceda.ac.uk/dreq/u/bef5e52ab3ef55640ab0133c34c9dec2.html","web")</f>
        <v>0</v>
      </c>
      <c r="J201" t="s">
        <v>615</v>
      </c>
      <c r="K201" t="s">
        <v>587</v>
      </c>
      <c r="M201" t="s">
        <v>74</v>
      </c>
    </row>
    <row r="202" spans="1:13">
      <c r="A202" t="s">
        <v>548</v>
      </c>
      <c r="B202" t="s">
        <v>616</v>
      </c>
      <c r="C202" t="s">
        <v>35</v>
      </c>
      <c r="D202" t="s">
        <v>152</v>
      </c>
      <c r="E202" t="s">
        <v>617</v>
      </c>
      <c r="F202" t="s">
        <v>74</v>
      </c>
      <c r="G202">
        <f>HYPERLINK("http://clipc-services.ceda.ac.uk/dreq/u/58bbe37eb1035d22ab051fcfa10c67d9.html","web")</f>
        <v>0</v>
      </c>
      <c r="J202" t="s">
        <v>618</v>
      </c>
      <c r="K202" t="s">
        <v>600</v>
      </c>
      <c r="M202" t="s">
        <v>74</v>
      </c>
    </row>
    <row r="203" spans="1:13">
      <c r="A203" t="s">
        <v>548</v>
      </c>
      <c r="B203" t="s">
        <v>619</v>
      </c>
      <c r="C203" t="s">
        <v>35</v>
      </c>
      <c r="D203" t="s">
        <v>152</v>
      </c>
      <c r="E203" t="s">
        <v>620</v>
      </c>
      <c r="F203" t="s">
        <v>74</v>
      </c>
      <c r="G203">
        <f>HYPERLINK("http://clipc-services.ceda.ac.uk/dreq/u/827d0f8093c7858a784e5fda140a6e12.html","web")</f>
        <v>0</v>
      </c>
      <c r="J203" t="s">
        <v>621</v>
      </c>
      <c r="K203" t="s">
        <v>600</v>
      </c>
      <c r="M203" t="s">
        <v>74</v>
      </c>
    </row>
    <row r="204" spans="1:13">
      <c r="A204" t="s">
        <v>548</v>
      </c>
      <c r="B204" t="s">
        <v>622</v>
      </c>
      <c r="C204" t="s">
        <v>50</v>
      </c>
      <c r="D204" t="s">
        <v>340</v>
      </c>
      <c r="E204" t="s">
        <v>623</v>
      </c>
      <c r="F204" t="s">
        <v>182</v>
      </c>
      <c r="G204">
        <f>HYPERLINK("http://clipc-services.ceda.ac.uk/dreq/u/706324a93b4c3976da22db8a6e9d78b0.html","web")</f>
        <v>0</v>
      </c>
      <c r="J204" t="s">
        <v>624</v>
      </c>
      <c r="K204" t="s">
        <v>558</v>
      </c>
      <c r="M204" t="s">
        <v>182</v>
      </c>
    </row>
    <row r="205" spans="1:13">
      <c r="A205" t="s">
        <v>548</v>
      </c>
      <c r="B205" t="s">
        <v>462</v>
      </c>
      <c r="C205" t="s">
        <v>35</v>
      </c>
      <c r="D205" t="s">
        <v>550</v>
      </c>
      <c r="E205" t="s">
        <v>463</v>
      </c>
      <c r="F205" t="s">
        <v>464</v>
      </c>
      <c r="G205">
        <f>HYPERLINK("http://clipc-services.ceda.ac.uk/dreq/u/150d0829eec06aeaf75d22d08d328ffa.html","web")</f>
        <v>0</v>
      </c>
      <c r="J205" t="s">
        <v>465</v>
      </c>
      <c r="K205" t="s">
        <v>553</v>
      </c>
      <c r="M205" t="s">
        <v>464</v>
      </c>
    </row>
    <row r="206" spans="1:13">
      <c r="A206" t="s">
        <v>548</v>
      </c>
      <c r="B206" t="s">
        <v>466</v>
      </c>
      <c r="C206" t="s">
        <v>35</v>
      </c>
      <c r="D206" t="s">
        <v>550</v>
      </c>
      <c r="E206" t="s">
        <v>467</v>
      </c>
      <c r="F206" t="s">
        <v>464</v>
      </c>
      <c r="G206">
        <f>HYPERLINK("http://clipc-services.ceda.ac.uk/dreq/u/2c8cb564bae033f641135194947da163.html","web")</f>
        <v>0</v>
      </c>
      <c r="J206" t="s">
        <v>468</v>
      </c>
      <c r="K206" t="s">
        <v>553</v>
      </c>
      <c r="M206" t="s">
        <v>464</v>
      </c>
    </row>
    <row r="207" spans="1:13">
      <c r="A207" t="s">
        <v>548</v>
      </c>
      <c r="B207" t="s">
        <v>469</v>
      </c>
      <c r="C207" t="s">
        <v>35</v>
      </c>
      <c r="D207" t="s">
        <v>550</v>
      </c>
      <c r="E207" t="s">
        <v>470</v>
      </c>
      <c r="F207" t="s">
        <v>464</v>
      </c>
      <c r="G207">
        <f>HYPERLINK("http://clipc-services.ceda.ac.uk/dreq/u/9e9e7476986ece18ce380652eaabe342.html","web")</f>
        <v>0</v>
      </c>
      <c r="J207" t="s">
        <v>471</v>
      </c>
      <c r="K207" t="s">
        <v>553</v>
      </c>
      <c r="M207" t="s">
        <v>464</v>
      </c>
    </row>
    <row r="208" spans="1:13">
      <c r="A208" t="s">
        <v>548</v>
      </c>
      <c r="B208" t="s">
        <v>472</v>
      </c>
      <c r="C208" t="s">
        <v>35</v>
      </c>
      <c r="D208" t="s">
        <v>550</v>
      </c>
      <c r="E208" t="s">
        <v>473</v>
      </c>
      <c r="F208" t="s">
        <v>19</v>
      </c>
      <c r="G208">
        <f>HYPERLINK("http://clipc-services.ceda.ac.uk/dreq/u/c8b1814845661bcad37910e70a59b285.html","web")</f>
        <v>0</v>
      </c>
      <c r="J208" t="s">
        <v>473</v>
      </c>
      <c r="K208" t="s">
        <v>553</v>
      </c>
      <c r="M208" t="s">
        <v>19</v>
      </c>
    </row>
    <row r="209" spans="1:13">
      <c r="A209" t="s">
        <v>548</v>
      </c>
      <c r="B209" t="s">
        <v>474</v>
      </c>
      <c r="C209" t="s">
        <v>35</v>
      </c>
      <c r="D209" t="s">
        <v>550</v>
      </c>
      <c r="E209" t="s">
        <v>475</v>
      </c>
      <c r="F209" t="s">
        <v>19</v>
      </c>
      <c r="G209">
        <f>HYPERLINK("http://clipc-services.ceda.ac.uk/dreq/u/ea55d8afe6bacbfa1029c0048717eaaa.html","web")</f>
        <v>0</v>
      </c>
      <c r="J209" t="s">
        <v>476</v>
      </c>
      <c r="K209" t="s">
        <v>553</v>
      </c>
      <c r="M209" t="s">
        <v>19</v>
      </c>
    </row>
    <row r="210" spans="1:13">
      <c r="A210" t="s">
        <v>548</v>
      </c>
      <c r="B210" t="s">
        <v>477</v>
      </c>
      <c r="C210" t="s">
        <v>35</v>
      </c>
      <c r="D210" t="s">
        <v>550</v>
      </c>
      <c r="E210" t="s">
        <v>478</v>
      </c>
      <c r="F210" t="s">
        <v>19</v>
      </c>
      <c r="G210">
        <f>HYPERLINK("http://clipc-services.ceda.ac.uk/dreq/u/475dc209e9f9cd51eedee4d26caf9f67.html","web")</f>
        <v>0</v>
      </c>
      <c r="J210" t="s">
        <v>479</v>
      </c>
      <c r="K210" t="s">
        <v>553</v>
      </c>
      <c r="M210" t="s">
        <v>19</v>
      </c>
    </row>
    <row r="212" spans="1:13">
      <c r="A212" t="s">
        <v>625</v>
      </c>
      <c r="B212" t="s">
        <v>84</v>
      </c>
      <c r="C212" t="s">
        <v>50</v>
      </c>
      <c r="D212" t="s">
        <v>85</v>
      </c>
      <c r="E212" t="s">
        <v>86</v>
      </c>
      <c r="F212" t="s">
        <v>87</v>
      </c>
      <c r="G212">
        <f>HYPERLINK("http://clipc-services.ceda.ac.uk/dreq/u/a72a0bcf271db9db3a7fb9b7f3e7b93a.html","web")</f>
        <v>0</v>
      </c>
      <c r="J212" t="s">
        <v>88</v>
      </c>
      <c r="K212" t="s">
        <v>626</v>
      </c>
      <c r="M212" t="s">
        <v>87</v>
      </c>
    </row>
    <row r="213" spans="1:13">
      <c r="A213" t="s">
        <v>625</v>
      </c>
      <c r="B213" t="s">
        <v>627</v>
      </c>
      <c r="C213" t="s">
        <v>50</v>
      </c>
      <c r="D213" t="s">
        <v>152</v>
      </c>
      <c r="E213" t="s">
        <v>628</v>
      </c>
      <c r="F213" t="s">
        <v>87</v>
      </c>
      <c r="G213">
        <f>HYPERLINK("http://clipc-services.ceda.ac.uk/dreq/u/c96cd366-c5f0-11e6-ac20-5404a60d96b5.html","web")</f>
        <v>0</v>
      </c>
      <c r="J213" t="s">
        <v>629</v>
      </c>
      <c r="K213" t="s">
        <v>626</v>
      </c>
      <c r="M213" t="s">
        <v>87</v>
      </c>
    </row>
    <row r="214" spans="1:13">
      <c r="A214" t="s">
        <v>625</v>
      </c>
      <c r="B214" t="s">
        <v>90</v>
      </c>
      <c r="C214" t="s">
        <v>50</v>
      </c>
      <c r="D214" t="s">
        <v>85</v>
      </c>
      <c r="E214" t="s">
        <v>91</v>
      </c>
      <c r="F214" t="s">
        <v>87</v>
      </c>
      <c r="G214">
        <f>HYPERLINK("http://clipc-services.ceda.ac.uk/dreq/u/27ad2512525b0c42b7edd88f1dad5955.html","web")</f>
        <v>0</v>
      </c>
      <c r="J214" t="s">
        <v>92</v>
      </c>
      <c r="K214" t="s">
        <v>626</v>
      </c>
      <c r="M214" t="s">
        <v>87</v>
      </c>
    </row>
    <row r="215" spans="1:13">
      <c r="A215" t="s">
        <v>625</v>
      </c>
      <c r="B215" t="s">
        <v>630</v>
      </c>
      <c r="C215" t="s">
        <v>16</v>
      </c>
      <c r="D215" t="s">
        <v>152</v>
      </c>
      <c r="E215" t="s">
        <v>631</v>
      </c>
      <c r="F215" t="s">
        <v>87</v>
      </c>
      <c r="G215">
        <f>HYPERLINK("http://clipc-services.ceda.ac.uk/dreq/u/c96caa26-c5f0-11e6-ac20-5404a60d96b5.html","web")</f>
        <v>0</v>
      </c>
      <c r="J215" t="s">
        <v>92</v>
      </c>
      <c r="K215" t="s">
        <v>626</v>
      </c>
      <c r="M215" t="s">
        <v>87</v>
      </c>
    </row>
    <row r="216" spans="1:13">
      <c r="A216" t="s">
        <v>625</v>
      </c>
      <c r="B216" t="s">
        <v>113</v>
      </c>
      <c r="C216" t="s">
        <v>16</v>
      </c>
      <c r="D216" t="s">
        <v>85</v>
      </c>
      <c r="E216" t="s">
        <v>114</v>
      </c>
      <c r="F216" t="s">
        <v>115</v>
      </c>
      <c r="G216">
        <f>HYPERLINK("http://clipc-services.ceda.ac.uk/dreq/u/df96c61c07957da1c4e8212f0553fa98.html","web")</f>
        <v>0</v>
      </c>
      <c r="J216" t="s">
        <v>116</v>
      </c>
      <c r="K216" t="s">
        <v>632</v>
      </c>
      <c r="M216" t="s">
        <v>115</v>
      </c>
    </row>
    <row r="217" spans="1:13">
      <c r="A217" t="s">
        <v>625</v>
      </c>
      <c r="B217" t="s">
        <v>633</v>
      </c>
      <c r="C217" t="s">
        <v>50</v>
      </c>
      <c r="D217" t="s">
        <v>152</v>
      </c>
      <c r="E217" t="s">
        <v>634</v>
      </c>
      <c r="F217" t="s">
        <v>115</v>
      </c>
      <c r="G217">
        <f>HYPERLINK("http://clipc-services.ceda.ac.uk/dreq/u/c96e2752-c5f0-11e6-ac20-5404a60d96b5.html","web")</f>
        <v>0</v>
      </c>
      <c r="J217" t="s">
        <v>116</v>
      </c>
      <c r="K217" t="s">
        <v>635</v>
      </c>
      <c r="M217" t="s">
        <v>115</v>
      </c>
    </row>
    <row r="218" spans="1:13">
      <c r="A218" t="s">
        <v>625</v>
      </c>
      <c r="B218" t="s">
        <v>118</v>
      </c>
      <c r="C218" t="s">
        <v>16</v>
      </c>
      <c r="D218" t="s">
        <v>85</v>
      </c>
      <c r="E218" t="s">
        <v>119</v>
      </c>
      <c r="F218" t="s">
        <v>115</v>
      </c>
      <c r="G218">
        <f>HYPERLINK("http://clipc-services.ceda.ac.uk/dreq/u/171d617ceca8a4351f53d090c0ead89c.html","web")</f>
        <v>0</v>
      </c>
      <c r="J218" t="s">
        <v>120</v>
      </c>
      <c r="K218" t="s">
        <v>632</v>
      </c>
      <c r="M218" t="s">
        <v>115</v>
      </c>
    </row>
    <row r="219" spans="1:13">
      <c r="A219" t="s">
        <v>625</v>
      </c>
      <c r="B219" t="s">
        <v>636</v>
      </c>
      <c r="C219" t="s">
        <v>50</v>
      </c>
      <c r="D219" t="s">
        <v>152</v>
      </c>
      <c r="E219" t="s">
        <v>637</v>
      </c>
      <c r="F219" t="s">
        <v>115</v>
      </c>
      <c r="G219">
        <f>HYPERLINK("http://clipc-services.ceda.ac.uk/dreq/u/c96e19b0-c5f0-11e6-ac20-5404a60d96b5.html","web")</f>
        <v>0</v>
      </c>
      <c r="J219" t="s">
        <v>638</v>
      </c>
      <c r="K219" t="s">
        <v>635</v>
      </c>
      <c r="M219" t="s">
        <v>115</v>
      </c>
    </row>
    <row r="220" spans="1:13">
      <c r="A220" t="s">
        <v>625</v>
      </c>
      <c r="B220" t="s">
        <v>121</v>
      </c>
      <c r="C220" t="s">
        <v>16</v>
      </c>
      <c r="D220" t="s">
        <v>85</v>
      </c>
      <c r="E220" t="s">
        <v>122</v>
      </c>
      <c r="F220" t="s">
        <v>115</v>
      </c>
      <c r="G220">
        <f>HYPERLINK("http://clipc-services.ceda.ac.uk/dreq/u/edc3d019be9c383abbd82a4d5fad43ca.html","web")</f>
        <v>0</v>
      </c>
      <c r="J220" t="s">
        <v>123</v>
      </c>
      <c r="K220" t="s">
        <v>632</v>
      </c>
      <c r="M220" t="s">
        <v>115</v>
      </c>
    </row>
    <row r="221" spans="1:13">
      <c r="A221" t="s">
        <v>625</v>
      </c>
      <c r="B221" t="s">
        <v>639</v>
      </c>
      <c r="C221" t="s">
        <v>50</v>
      </c>
      <c r="D221" t="s">
        <v>152</v>
      </c>
      <c r="E221" t="s">
        <v>640</v>
      </c>
      <c r="F221" t="s">
        <v>115</v>
      </c>
      <c r="G221">
        <f>HYPERLINK("http://clipc-services.ceda.ac.uk/dreq/u/c96e35a8-c5f0-11e6-ac20-5404a60d96b5.html","web")</f>
        <v>0</v>
      </c>
      <c r="J221" t="s">
        <v>123</v>
      </c>
      <c r="K221" t="s">
        <v>635</v>
      </c>
      <c r="M221" t="s">
        <v>115</v>
      </c>
    </row>
    <row r="222" spans="1:13">
      <c r="A222" t="s">
        <v>625</v>
      </c>
      <c r="B222" t="s">
        <v>124</v>
      </c>
      <c r="C222" t="s">
        <v>50</v>
      </c>
      <c r="D222" t="s">
        <v>85</v>
      </c>
      <c r="E222" t="s">
        <v>125</v>
      </c>
      <c r="F222" t="s">
        <v>87</v>
      </c>
      <c r="G222">
        <f>HYPERLINK("http://clipc-services.ceda.ac.uk/dreq/u/c9794182-c5f0-11e6-ac20-5404a60d96b5.html","web")</f>
        <v>0</v>
      </c>
      <c r="J222" t="s">
        <v>126</v>
      </c>
      <c r="K222" t="s">
        <v>626</v>
      </c>
      <c r="M222" t="s">
        <v>87</v>
      </c>
    </row>
    <row r="223" spans="1:13">
      <c r="A223" t="s">
        <v>625</v>
      </c>
      <c r="B223" t="s">
        <v>641</v>
      </c>
      <c r="C223" t="s">
        <v>50</v>
      </c>
      <c r="D223" t="s">
        <v>152</v>
      </c>
      <c r="E223" t="s">
        <v>642</v>
      </c>
      <c r="F223" t="s">
        <v>87</v>
      </c>
      <c r="G223">
        <f>HYPERLINK("http://clipc-services.ceda.ac.uk/dreq/u/c96eec14-c5f0-11e6-ac20-5404a60d96b5.html","web")</f>
        <v>0</v>
      </c>
      <c r="J223" t="s">
        <v>643</v>
      </c>
      <c r="K223" t="s">
        <v>626</v>
      </c>
      <c r="M223" t="s">
        <v>87</v>
      </c>
    </row>
    <row r="224" spans="1:13">
      <c r="A224" t="s">
        <v>625</v>
      </c>
      <c r="B224" t="s">
        <v>127</v>
      </c>
      <c r="C224" t="s">
        <v>50</v>
      </c>
      <c r="D224" t="s">
        <v>85</v>
      </c>
      <c r="E224" t="s">
        <v>128</v>
      </c>
      <c r="F224" t="s">
        <v>87</v>
      </c>
      <c r="G224">
        <f>HYPERLINK("http://clipc-services.ceda.ac.uk/dreq/u/c9793390-c5f0-11e6-ac20-5404a60d96b5.html","web")</f>
        <v>0</v>
      </c>
      <c r="J224" t="s">
        <v>129</v>
      </c>
      <c r="K224" t="s">
        <v>626</v>
      </c>
      <c r="M224" t="s">
        <v>87</v>
      </c>
    </row>
    <row r="225" spans="1:13">
      <c r="A225" t="s">
        <v>625</v>
      </c>
      <c r="B225" t="s">
        <v>644</v>
      </c>
      <c r="C225" t="s">
        <v>50</v>
      </c>
      <c r="D225" t="s">
        <v>152</v>
      </c>
      <c r="E225" t="s">
        <v>645</v>
      </c>
      <c r="F225" t="s">
        <v>87</v>
      </c>
      <c r="G225">
        <f>HYPERLINK("http://clipc-services.ceda.ac.uk/dreq/u/c96eddd2-c5f0-11e6-ac20-5404a60d96b5.html","web")</f>
        <v>0</v>
      </c>
      <c r="J225" t="s">
        <v>646</v>
      </c>
      <c r="K225" t="s">
        <v>626</v>
      </c>
      <c r="M225" t="s">
        <v>87</v>
      </c>
    </row>
    <row r="226" spans="1:13">
      <c r="A226" t="s">
        <v>625</v>
      </c>
      <c r="B226" t="s">
        <v>130</v>
      </c>
      <c r="C226" t="s">
        <v>50</v>
      </c>
      <c r="D226" t="s">
        <v>85</v>
      </c>
      <c r="E226" t="s">
        <v>131</v>
      </c>
      <c r="F226" t="s">
        <v>87</v>
      </c>
      <c r="G226">
        <f>HYPERLINK("http://clipc-services.ceda.ac.uk/dreq/u/065edaa295c376f0e9bc1985bc3f491c.html","web")</f>
        <v>0</v>
      </c>
      <c r="J226" t="s">
        <v>132</v>
      </c>
      <c r="K226" t="s">
        <v>626</v>
      </c>
      <c r="M226" t="s">
        <v>87</v>
      </c>
    </row>
    <row r="227" spans="1:13">
      <c r="A227" t="s">
        <v>625</v>
      </c>
      <c r="B227" t="s">
        <v>647</v>
      </c>
      <c r="C227" t="s">
        <v>50</v>
      </c>
      <c r="D227" t="s">
        <v>152</v>
      </c>
      <c r="E227" t="s">
        <v>648</v>
      </c>
      <c r="F227" t="s">
        <v>87</v>
      </c>
      <c r="G227">
        <f>HYPERLINK("http://clipc-services.ceda.ac.uk/dreq/u/c96f0758-c5f0-11e6-ac20-5404a60d96b5.html","web")</f>
        <v>0</v>
      </c>
      <c r="J227" t="s">
        <v>649</v>
      </c>
      <c r="K227" t="s">
        <v>626</v>
      </c>
      <c r="M227" t="s">
        <v>87</v>
      </c>
    </row>
    <row r="228" spans="1:13">
      <c r="A228" t="s">
        <v>625</v>
      </c>
      <c r="B228" t="s">
        <v>155</v>
      </c>
      <c r="C228" t="s">
        <v>16</v>
      </c>
      <c r="D228" t="s">
        <v>85</v>
      </c>
      <c r="E228" t="s">
        <v>156</v>
      </c>
      <c r="F228" t="s">
        <v>87</v>
      </c>
      <c r="G228">
        <f>HYPERLINK("http://clipc-services.ceda.ac.uk/dreq/u/59175660-9e49-11e5-803c-0d0b866b59f3.html","web")</f>
        <v>0</v>
      </c>
      <c r="J228" t="s">
        <v>157</v>
      </c>
      <c r="K228" t="s">
        <v>650</v>
      </c>
      <c r="M228" t="s">
        <v>87</v>
      </c>
    </row>
    <row r="229" spans="1:13">
      <c r="A229" t="s">
        <v>625</v>
      </c>
      <c r="B229" t="s">
        <v>651</v>
      </c>
      <c r="C229" t="s">
        <v>50</v>
      </c>
      <c r="D229" t="s">
        <v>152</v>
      </c>
      <c r="E229" t="s">
        <v>652</v>
      </c>
      <c r="F229" t="s">
        <v>87</v>
      </c>
      <c r="G229">
        <f>HYPERLINK("http://clipc-services.ceda.ac.uk/dreq/u/c96c720e-c5f0-11e6-ac20-5404a60d96b5.html","web")</f>
        <v>0</v>
      </c>
      <c r="J229" t="s">
        <v>653</v>
      </c>
      <c r="K229" t="s">
        <v>654</v>
      </c>
      <c r="M229" t="s">
        <v>87</v>
      </c>
    </row>
    <row r="230" spans="1:13">
      <c r="A230" t="s">
        <v>625</v>
      </c>
      <c r="B230" t="s">
        <v>158</v>
      </c>
      <c r="C230" t="s">
        <v>16</v>
      </c>
      <c r="D230" t="s">
        <v>85</v>
      </c>
      <c r="E230" t="s">
        <v>159</v>
      </c>
      <c r="F230" t="s">
        <v>87</v>
      </c>
      <c r="G230">
        <f>HYPERLINK("http://clipc-services.ceda.ac.uk/dreq/u/1391b0d99790cec6597b02ce4d7c5a67.html","web")</f>
        <v>0</v>
      </c>
      <c r="J230" t="s">
        <v>160</v>
      </c>
      <c r="K230" t="s">
        <v>655</v>
      </c>
      <c r="M230" t="s">
        <v>87</v>
      </c>
    </row>
    <row r="231" spans="1:13">
      <c r="A231" t="s">
        <v>625</v>
      </c>
      <c r="B231" t="s">
        <v>656</v>
      </c>
      <c r="C231" t="s">
        <v>50</v>
      </c>
      <c r="D231" t="s">
        <v>152</v>
      </c>
      <c r="E231" t="s">
        <v>657</v>
      </c>
      <c r="F231" t="s">
        <v>87</v>
      </c>
      <c r="G231">
        <f>HYPERLINK("http://clipc-services.ceda.ac.uk/dreq/u/c96c6390-c5f0-11e6-ac20-5404a60d96b5.html","web")</f>
        <v>0</v>
      </c>
      <c r="J231" t="s">
        <v>160</v>
      </c>
      <c r="K231" t="s">
        <v>626</v>
      </c>
      <c r="M231" t="s">
        <v>87</v>
      </c>
    </row>
    <row r="232" spans="1:13">
      <c r="A232" t="s">
        <v>625</v>
      </c>
      <c r="B232" t="s">
        <v>161</v>
      </c>
      <c r="C232" t="s">
        <v>16</v>
      </c>
      <c r="D232" t="s">
        <v>85</v>
      </c>
      <c r="E232" t="s">
        <v>162</v>
      </c>
      <c r="F232" t="s">
        <v>87</v>
      </c>
      <c r="G232">
        <f>HYPERLINK("http://clipc-services.ceda.ac.uk/dreq/u/55febff83b78e06576947e1c0e5b7a7d.html","web")</f>
        <v>0</v>
      </c>
      <c r="J232" t="s">
        <v>163</v>
      </c>
      <c r="K232" t="s">
        <v>658</v>
      </c>
      <c r="M232" t="s">
        <v>87</v>
      </c>
    </row>
    <row r="233" spans="1:13">
      <c r="A233" t="s">
        <v>625</v>
      </c>
      <c r="B233" t="s">
        <v>659</v>
      </c>
      <c r="C233" t="s">
        <v>50</v>
      </c>
      <c r="D233" t="s">
        <v>152</v>
      </c>
      <c r="E233" t="s">
        <v>660</v>
      </c>
      <c r="F233" t="s">
        <v>87</v>
      </c>
      <c r="G233">
        <f>HYPERLINK("http://clipc-services.ceda.ac.uk/dreq/u/c96c5576-c5f0-11e6-ac20-5404a60d96b5.html","web")</f>
        <v>0</v>
      </c>
      <c r="J233" t="s">
        <v>163</v>
      </c>
      <c r="K233" t="s">
        <v>626</v>
      </c>
      <c r="M233" t="s">
        <v>87</v>
      </c>
    </row>
    <row r="234" spans="1:13">
      <c r="A234" t="s">
        <v>625</v>
      </c>
      <c r="B234" t="s">
        <v>164</v>
      </c>
      <c r="C234" t="s">
        <v>16</v>
      </c>
      <c r="D234" t="s">
        <v>85</v>
      </c>
      <c r="E234" t="s">
        <v>165</v>
      </c>
      <c r="F234" t="s">
        <v>87</v>
      </c>
      <c r="G234">
        <f>HYPERLINK("http://clipc-services.ceda.ac.uk/dreq/u/2fcdf51262cdbc4279810b7a487b149e.html","web")</f>
        <v>0</v>
      </c>
      <c r="J234" t="s">
        <v>166</v>
      </c>
      <c r="K234" t="s">
        <v>655</v>
      </c>
      <c r="M234" t="s">
        <v>87</v>
      </c>
    </row>
    <row r="235" spans="1:13">
      <c r="A235" t="s">
        <v>625</v>
      </c>
      <c r="B235" t="s">
        <v>167</v>
      </c>
      <c r="C235" t="s">
        <v>16</v>
      </c>
      <c r="D235" t="s">
        <v>85</v>
      </c>
      <c r="E235" t="s">
        <v>168</v>
      </c>
      <c r="F235" t="s">
        <v>87</v>
      </c>
      <c r="G235">
        <f>HYPERLINK("http://clipc-services.ceda.ac.uk/dreq/u/bdce9878-233e-11e6-a788-5404a60d96b5.html","web")</f>
        <v>0</v>
      </c>
      <c r="J235" t="s">
        <v>169</v>
      </c>
      <c r="K235" t="s">
        <v>661</v>
      </c>
      <c r="M235" t="s">
        <v>87</v>
      </c>
    </row>
    <row r="236" spans="1:13">
      <c r="A236" t="s">
        <v>625</v>
      </c>
      <c r="B236" t="s">
        <v>662</v>
      </c>
      <c r="C236" t="s">
        <v>16</v>
      </c>
      <c r="D236" t="s">
        <v>152</v>
      </c>
      <c r="E236" t="s">
        <v>663</v>
      </c>
      <c r="F236" t="s">
        <v>87</v>
      </c>
      <c r="G236">
        <f>HYPERLINK("http://clipc-services.ceda.ac.uk/dreq/u/c96ec19e-c5f0-11e6-ac20-5404a60d96b5.html","web")</f>
        <v>0</v>
      </c>
      <c r="J236" t="s">
        <v>664</v>
      </c>
      <c r="K236" t="s">
        <v>626</v>
      </c>
      <c r="M236" t="s">
        <v>87</v>
      </c>
    </row>
    <row r="237" spans="1:13">
      <c r="A237" t="s">
        <v>625</v>
      </c>
      <c r="B237" t="s">
        <v>665</v>
      </c>
      <c r="C237" t="s">
        <v>16</v>
      </c>
      <c r="D237" t="s">
        <v>666</v>
      </c>
      <c r="E237" t="s">
        <v>667</v>
      </c>
      <c r="F237" t="s">
        <v>325</v>
      </c>
      <c r="G237">
        <f>HYPERLINK("http://clipc-services.ceda.ac.uk/dreq/u/c97324c8-c5f0-11e6-ac20-5404a60d96b5.html","web")</f>
        <v>0</v>
      </c>
      <c r="J237" t="s">
        <v>668</v>
      </c>
      <c r="K237" t="s">
        <v>626</v>
      </c>
      <c r="M237" t="s">
        <v>325</v>
      </c>
    </row>
    <row r="238" spans="1:13">
      <c r="A238" t="s">
        <v>625</v>
      </c>
      <c r="B238" t="s">
        <v>669</v>
      </c>
      <c r="C238" t="s">
        <v>16</v>
      </c>
      <c r="D238" t="s">
        <v>666</v>
      </c>
      <c r="E238" t="s">
        <v>670</v>
      </c>
      <c r="F238" t="s">
        <v>325</v>
      </c>
      <c r="G238">
        <f>HYPERLINK("http://clipc-services.ceda.ac.uk/dreq/u/c97316d6-c5f0-11e6-ac20-5404a60d96b5.html","web")</f>
        <v>0</v>
      </c>
      <c r="J238" t="s">
        <v>671</v>
      </c>
      <c r="K238" t="s">
        <v>626</v>
      </c>
      <c r="M238" t="s">
        <v>325</v>
      </c>
    </row>
    <row r="239" spans="1:13">
      <c r="A239" t="s">
        <v>625</v>
      </c>
      <c r="B239" t="s">
        <v>672</v>
      </c>
      <c r="C239" t="s">
        <v>35</v>
      </c>
      <c r="D239" t="s">
        <v>673</v>
      </c>
      <c r="E239" t="s">
        <v>171</v>
      </c>
      <c r="F239" t="s">
        <v>172</v>
      </c>
      <c r="G239">
        <f>HYPERLINK("http://clipc-services.ceda.ac.uk/dreq/u/f43d7527cd48c992f075339b2bbbf9ef.html","web")</f>
        <v>0</v>
      </c>
      <c r="J239" t="s">
        <v>674</v>
      </c>
      <c r="K239" t="s">
        <v>675</v>
      </c>
      <c r="M239" t="s">
        <v>172</v>
      </c>
    </row>
    <row r="240" spans="1:13">
      <c r="A240" t="s">
        <v>625</v>
      </c>
      <c r="B240" t="s">
        <v>676</v>
      </c>
      <c r="C240" t="s">
        <v>16</v>
      </c>
      <c r="D240" t="s">
        <v>673</v>
      </c>
      <c r="E240" t="s">
        <v>677</v>
      </c>
      <c r="F240" t="s">
        <v>172</v>
      </c>
      <c r="G240">
        <f>HYPERLINK("http://clipc-services.ceda.ac.uk/dreq/u/5a17eb002c56c129c27f6e2b8e0c06d7.html","web")</f>
        <v>0</v>
      </c>
      <c r="J240" t="s">
        <v>678</v>
      </c>
      <c r="K240" t="s">
        <v>626</v>
      </c>
      <c r="M240" t="s">
        <v>172</v>
      </c>
    </row>
    <row r="241" spans="1:13">
      <c r="A241" t="s">
        <v>625</v>
      </c>
      <c r="B241" t="s">
        <v>679</v>
      </c>
      <c r="C241" t="s">
        <v>16</v>
      </c>
      <c r="D241" t="s">
        <v>673</v>
      </c>
      <c r="E241" t="s">
        <v>680</v>
      </c>
      <c r="F241" t="s">
        <v>172</v>
      </c>
      <c r="G241">
        <f>HYPERLINK("http://clipc-services.ceda.ac.uk/dreq/u/600c9692a7eaef4037565fa8846ae6ba.html","web")</f>
        <v>0</v>
      </c>
      <c r="J241" t="s">
        <v>678</v>
      </c>
      <c r="K241" t="s">
        <v>626</v>
      </c>
      <c r="M241" t="s">
        <v>172</v>
      </c>
    </row>
    <row r="242" spans="1:13">
      <c r="A242" t="s">
        <v>625</v>
      </c>
      <c r="B242" t="s">
        <v>681</v>
      </c>
      <c r="C242" t="s">
        <v>16</v>
      </c>
      <c r="D242" t="s">
        <v>682</v>
      </c>
      <c r="E242" t="s">
        <v>683</v>
      </c>
      <c r="F242" t="s">
        <v>172</v>
      </c>
      <c r="G242">
        <f>HYPERLINK("http://clipc-services.ceda.ac.uk/dreq/u/3e0c9853afc682db9a950cc5bc3c1c3a.html","web")</f>
        <v>0</v>
      </c>
      <c r="J242" t="s">
        <v>684</v>
      </c>
      <c r="K242" t="s">
        <v>635</v>
      </c>
      <c r="M242" t="s">
        <v>172</v>
      </c>
    </row>
    <row r="243" spans="1:13">
      <c r="A243" t="s">
        <v>625</v>
      </c>
      <c r="B243" t="s">
        <v>685</v>
      </c>
      <c r="C243" t="s">
        <v>16</v>
      </c>
      <c r="D243" t="s">
        <v>682</v>
      </c>
      <c r="E243" t="s">
        <v>686</v>
      </c>
      <c r="F243" t="s">
        <v>172</v>
      </c>
      <c r="G243">
        <f>HYPERLINK("http://clipc-services.ceda.ac.uk/dreq/u/1333394a296e7f8af6c9bad15cb9778d.html","web")</f>
        <v>0</v>
      </c>
      <c r="J243" t="s">
        <v>687</v>
      </c>
      <c r="K243" t="s">
        <v>635</v>
      </c>
      <c r="M243" t="s">
        <v>172</v>
      </c>
    </row>
    <row r="244" spans="1:13">
      <c r="A244" t="s">
        <v>625</v>
      </c>
      <c r="B244" t="s">
        <v>688</v>
      </c>
      <c r="C244" t="s">
        <v>16</v>
      </c>
      <c r="D244" t="s">
        <v>682</v>
      </c>
      <c r="E244" t="s">
        <v>689</v>
      </c>
      <c r="F244" t="s">
        <v>172</v>
      </c>
      <c r="G244">
        <f>HYPERLINK("http://clipc-services.ceda.ac.uk/dreq/u/df087f7801b9ca8b671eba159de9b6e7.html","web")</f>
        <v>0</v>
      </c>
      <c r="J244" t="s">
        <v>690</v>
      </c>
      <c r="K244" t="s">
        <v>626</v>
      </c>
      <c r="M244" t="s">
        <v>172</v>
      </c>
    </row>
    <row r="245" spans="1:13">
      <c r="A245" t="s">
        <v>625</v>
      </c>
      <c r="B245" t="s">
        <v>691</v>
      </c>
      <c r="C245" t="s">
        <v>16</v>
      </c>
      <c r="D245" t="s">
        <v>682</v>
      </c>
      <c r="E245" t="s">
        <v>692</v>
      </c>
      <c r="F245" t="s">
        <v>172</v>
      </c>
      <c r="G245">
        <f>HYPERLINK("http://clipc-services.ceda.ac.uk/dreq/u/d3e6e20c91db32a83bcf3d8d8d9dafd3.html","web")</f>
        <v>0</v>
      </c>
      <c r="J245" t="s">
        <v>693</v>
      </c>
      <c r="K245" t="s">
        <v>626</v>
      </c>
      <c r="M245" t="s">
        <v>172</v>
      </c>
    </row>
    <row r="246" spans="1:13">
      <c r="A246" t="s">
        <v>625</v>
      </c>
      <c r="B246" t="s">
        <v>694</v>
      </c>
      <c r="C246" t="s">
        <v>16</v>
      </c>
      <c r="D246" t="s">
        <v>682</v>
      </c>
      <c r="E246" t="s">
        <v>695</v>
      </c>
      <c r="F246" t="s">
        <v>172</v>
      </c>
      <c r="G246">
        <f>HYPERLINK("http://clipc-services.ceda.ac.uk/dreq/u/80a2832b0619764647393e3815ff399b.html","web")</f>
        <v>0</v>
      </c>
      <c r="J246" t="s">
        <v>696</v>
      </c>
      <c r="K246" t="s">
        <v>626</v>
      </c>
      <c r="M246" t="s">
        <v>172</v>
      </c>
    </row>
    <row r="247" spans="1:13">
      <c r="A247" t="s">
        <v>625</v>
      </c>
      <c r="B247" t="s">
        <v>697</v>
      </c>
      <c r="C247" t="s">
        <v>16</v>
      </c>
      <c r="D247" t="s">
        <v>682</v>
      </c>
      <c r="E247" t="s">
        <v>698</v>
      </c>
      <c r="F247" t="s">
        <v>172</v>
      </c>
      <c r="G247">
        <f>HYPERLINK("http://clipc-services.ceda.ac.uk/dreq/u/ee10c562c1164acf3bf03955dd6fc00d.html","web")</f>
        <v>0</v>
      </c>
      <c r="J247" t="s">
        <v>699</v>
      </c>
      <c r="K247" t="s">
        <v>626</v>
      </c>
      <c r="M247" t="s">
        <v>172</v>
      </c>
    </row>
    <row r="248" spans="1:13">
      <c r="A248" t="s">
        <v>625</v>
      </c>
      <c r="B248" t="s">
        <v>180</v>
      </c>
      <c r="C248" t="s">
        <v>35</v>
      </c>
      <c r="D248" t="s">
        <v>666</v>
      </c>
      <c r="E248" t="s">
        <v>181</v>
      </c>
      <c r="F248" t="s">
        <v>182</v>
      </c>
      <c r="G248">
        <f>HYPERLINK("http://clipc-services.ceda.ac.uk/dreq/u/590e5b82-9e49-11e5-803c-0d0b866b59f3.html","web")</f>
        <v>0</v>
      </c>
      <c r="J248" t="s">
        <v>183</v>
      </c>
      <c r="K248" t="s">
        <v>700</v>
      </c>
      <c r="M248" t="s">
        <v>182</v>
      </c>
    </row>
    <row r="249" spans="1:13">
      <c r="A249" t="s">
        <v>625</v>
      </c>
      <c r="B249" t="s">
        <v>184</v>
      </c>
      <c r="C249" t="s">
        <v>35</v>
      </c>
      <c r="D249" t="s">
        <v>666</v>
      </c>
      <c r="E249" t="s">
        <v>185</v>
      </c>
      <c r="F249" t="s">
        <v>182</v>
      </c>
      <c r="G249">
        <f>HYPERLINK("http://clipc-services.ceda.ac.uk/dreq/u/f36046ab9a8a24ce4d7431e2defd9cf6.html","web")</f>
        <v>0</v>
      </c>
      <c r="J249" t="s">
        <v>186</v>
      </c>
      <c r="K249" t="s">
        <v>626</v>
      </c>
      <c r="M249" t="s">
        <v>182</v>
      </c>
    </row>
    <row r="250" spans="1:13">
      <c r="A250" t="s">
        <v>625</v>
      </c>
      <c r="B250" t="s">
        <v>187</v>
      </c>
      <c r="C250" t="s">
        <v>35</v>
      </c>
      <c r="D250" t="s">
        <v>666</v>
      </c>
      <c r="E250" t="s">
        <v>188</v>
      </c>
      <c r="F250" t="s">
        <v>182</v>
      </c>
      <c r="G250">
        <f>HYPERLINK("http://clipc-services.ceda.ac.uk/dreq/u/042e575e61a271e122d317ca7b39dcb4.html","web")</f>
        <v>0</v>
      </c>
      <c r="J250" t="s">
        <v>189</v>
      </c>
      <c r="K250" t="s">
        <v>626</v>
      </c>
      <c r="M250" t="s">
        <v>182</v>
      </c>
    </row>
    <row r="251" spans="1:13">
      <c r="A251" t="s">
        <v>625</v>
      </c>
      <c r="B251" t="s">
        <v>190</v>
      </c>
      <c r="C251" t="s">
        <v>35</v>
      </c>
      <c r="D251" t="s">
        <v>666</v>
      </c>
      <c r="E251" t="s">
        <v>191</v>
      </c>
      <c r="F251" t="s">
        <v>182</v>
      </c>
      <c r="G251">
        <f>HYPERLINK("http://clipc-services.ceda.ac.uk/dreq/u/97c037c3357f24c4e06c07123224b400.html","web")</f>
        <v>0</v>
      </c>
      <c r="J251" t="s">
        <v>192</v>
      </c>
      <c r="K251" t="s">
        <v>626</v>
      </c>
      <c r="M251" t="s">
        <v>182</v>
      </c>
    </row>
    <row r="252" spans="1:13">
      <c r="A252" t="s">
        <v>625</v>
      </c>
      <c r="B252" t="s">
        <v>701</v>
      </c>
      <c r="C252" t="s">
        <v>16</v>
      </c>
      <c r="D252" t="s">
        <v>666</v>
      </c>
      <c r="E252" t="s">
        <v>702</v>
      </c>
      <c r="F252" t="s">
        <v>172</v>
      </c>
      <c r="G252">
        <f>HYPERLINK("http://clipc-services.ceda.ac.uk/dreq/u/190f38cb06f9a1f3133c3dcf66e0421e.html","web")</f>
        <v>0</v>
      </c>
      <c r="J252" t="s">
        <v>703</v>
      </c>
      <c r="K252" t="s">
        <v>635</v>
      </c>
      <c r="M252" t="s">
        <v>172</v>
      </c>
    </row>
    <row r="253" spans="1:13">
      <c r="A253" t="s">
        <v>625</v>
      </c>
      <c r="B253" t="s">
        <v>704</v>
      </c>
      <c r="C253" t="s">
        <v>50</v>
      </c>
      <c r="D253" t="s">
        <v>85</v>
      </c>
      <c r="E253" t="s">
        <v>705</v>
      </c>
      <c r="F253" t="s">
        <v>182</v>
      </c>
      <c r="G253">
        <f>HYPERLINK("http://clipc-services.ceda.ac.uk/dreq/u/0638f32ebcc32d63faad121d5a83e3be.html","web")</f>
        <v>0</v>
      </c>
      <c r="J253" t="s">
        <v>706</v>
      </c>
      <c r="K253" t="s">
        <v>707</v>
      </c>
      <c r="M253" t="s">
        <v>182</v>
      </c>
    </row>
    <row r="254" spans="1:13">
      <c r="A254" t="s">
        <v>625</v>
      </c>
      <c r="B254" t="s">
        <v>708</v>
      </c>
      <c r="C254" t="s">
        <v>16</v>
      </c>
      <c r="D254" t="s">
        <v>152</v>
      </c>
      <c r="E254" t="s">
        <v>709</v>
      </c>
      <c r="F254" t="s">
        <v>172</v>
      </c>
      <c r="G254">
        <f>HYPERLINK("http://clipc-services.ceda.ac.uk/dreq/u/ae3a674b4f541f95d2b05da4a84507e7.html","web")</f>
        <v>0</v>
      </c>
      <c r="J254" t="s">
        <v>710</v>
      </c>
      <c r="K254" t="s">
        <v>635</v>
      </c>
      <c r="M254" t="s">
        <v>172</v>
      </c>
    </row>
    <row r="255" spans="1:13">
      <c r="A255" t="s">
        <v>625</v>
      </c>
      <c r="B255" t="s">
        <v>711</v>
      </c>
      <c r="C255" t="s">
        <v>35</v>
      </c>
      <c r="D255" t="s">
        <v>712</v>
      </c>
      <c r="E255" t="s">
        <v>713</v>
      </c>
      <c r="F255" t="s">
        <v>714</v>
      </c>
      <c r="G255">
        <f>HYPERLINK("http://clipc-services.ceda.ac.uk/dreq/u/2e3e882a650986c1fdc5df05f5f10263.html","web")</f>
        <v>0</v>
      </c>
      <c r="J255" t="s">
        <v>715</v>
      </c>
      <c r="K255" t="s">
        <v>716</v>
      </c>
      <c r="M255" t="s">
        <v>714</v>
      </c>
    </row>
    <row r="256" spans="1:13">
      <c r="A256" t="s">
        <v>625</v>
      </c>
      <c r="B256" t="s">
        <v>717</v>
      </c>
      <c r="C256" t="s">
        <v>35</v>
      </c>
      <c r="D256" t="s">
        <v>712</v>
      </c>
      <c r="E256" t="s">
        <v>718</v>
      </c>
      <c r="F256" t="s">
        <v>714</v>
      </c>
      <c r="G256">
        <f>HYPERLINK("http://clipc-services.ceda.ac.uk/dreq/u/88f1496a06008de969d5913384e6cb17.html","web")</f>
        <v>0</v>
      </c>
      <c r="J256" t="s">
        <v>719</v>
      </c>
      <c r="K256" t="s">
        <v>716</v>
      </c>
      <c r="M256" t="s">
        <v>714</v>
      </c>
    </row>
    <row r="257" spans="1:13">
      <c r="A257" t="s">
        <v>625</v>
      </c>
      <c r="B257" t="s">
        <v>720</v>
      </c>
      <c r="C257" t="s">
        <v>35</v>
      </c>
      <c r="D257" t="s">
        <v>712</v>
      </c>
      <c r="E257" t="s">
        <v>721</v>
      </c>
      <c r="F257" t="s">
        <v>714</v>
      </c>
      <c r="G257">
        <f>HYPERLINK("http://clipc-services.ceda.ac.uk/dreq/u/cfc72744e73c1f6116661e251316c04f.html","web")</f>
        <v>0</v>
      </c>
      <c r="J257" t="s">
        <v>722</v>
      </c>
      <c r="K257" t="s">
        <v>716</v>
      </c>
      <c r="M257" t="s">
        <v>714</v>
      </c>
    </row>
    <row r="258" spans="1:13">
      <c r="A258" t="s">
        <v>625</v>
      </c>
      <c r="B258" t="s">
        <v>723</v>
      </c>
      <c r="C258" t="s">
        <v>50</v>
      </c>
      <c r="D258" t="s">
        <v>85</v>
      </c>
      <c r="E258" t="s">
        <v>724</v>
      </c>
      <c r="F258" t="s">
        <v>74</v>
      </c>
      <c r="G258">
        <f>HYPERLINK("http://clipc-services.ceda.ac.uk/dreq/u/bd938fec017c18d3eee106db55f924c5.html","web")</f>
        <v>0</v>
      </c>
      <c r="J258" t="s">
        <v>725</v>
      </c>
      <c r="K258" t="s">
        <v>726</v>
      </c>
      <c r="M258" t="s">
        <v>74</v>
      </c>
    </row>
    <row r="259" spans="1:13">
      <c r="A259" t="s">
        <v>625</v>
      </c>
      <c r="B259" t="s">
        <v>727</v>
      </c>
      <c r="C259" t="s">
        <v>50</v>
      </c>
      <c r="D259" t="s">
        <v>85</v>
      </c>
      <c r="E259" t="s">
        <v>728</v>
      </c>
      <c r="F259" t="s">
        <v>74</v>
      </c>
      <c r="G259">
        <f>HYPERLINK("http://clipc-services.ceda.ac.uk/dreq/u/155ede0bff2578a736e6379552483f4e.html","web")</f>
        <v>0</v>
      </c>
      <c r="J259" t="s">
        <v>729</v>
      </c>
      <c r="K259" t="s">
        <v>726</v>
      </c>
      <c r="M259" t="s">
        <v>74</v>
      </c>
    </row>
    <row r="260" spans="1:13">
      <c r="A260" t="s">
        <v>625</v>
      </c>
      <c r="B260" t="s">
        <v>730</v>
      </c>
      <c r="C260" t="s">
        <v>35</v>
      </c>
      <c r="D260" t="s">
        <v>85</v>
      </c>
      <c r="E260" t="s">
        <v>731</v>
      </c>
      <c r="F260" t="s">
        <v>74</v>
      </c>
      <c r="G260">
        <f>HYPERLINK("http://clipc-services.ceda.ac.uk/dreq/u/1b7e762395c4de9ec5c5c7bda3ce3781.html","web")</f>
        <v>0</v>
      </c>
      <c r="J260" t="s">
        <v>732</v>
      </c>
      <c r="K260" t="s">
        <v>733</v>
      </c>
      <c r="M260" t="s">
        <v>74</v>
      </c>
    </row>
    <row r="261" spans="1:13">
      <c r="A261" t="s">
        <v>625</v>
      </c>
      <c r="B261" t="s">
        <v>734</v>
      </c>
      <c r="C261" t="s">
        <v>35</v>
      </c>
      <c r="D261" t="s">
        <v>152</v>
      </c>
      <c r="E261" t="s">
        <v>731</v>
      </c>
      <c r="F261" t="s">
        <v>74</v>
      </c>
      <c r="G261">
        <f>HYPERLINK("http://clipc-services.ceda.ac.uk/dreq/u/1b7e762395c4de9ec5c5c7bda3ce3781.html","web")</f>
        <v>0</v>
      </c>
      <c r="J261" t="s">
        <v>732</v>
      </c>
      <c r="K261" t="s">
        <v>733</v>
      </c>
      <c r="M261" t="s">
        <v>74</v>
      </c>
    </row>
    <row r="262" spans="1:13">
      <c r="A262" t="s">
        <v>625</v>
      </c>
      <c r="B262" t="s">
        <v>735</v>
      </c>
      <c r="C262" t="s">
        <v>50</v>
      </c>
      <c r="D262" t="s">
        <v>85</v>
      </c>
      <c r="E262" t="s">
        <v>736</v>
      </c>
      <c r="F262" t="s">
        <v>74</v>
      </c>
      <c r="G262">
        <f>HYPERLINK("http://clipc-services.ceda.ac.uk/dreq/u/22fae57fa6f2e7e2744a3a9fe3c0dbca.html","web")</f>
        <v>0</v>
      </c>
      <c r="J262" t="s">
        <v>737</v>
      </c>
      <c r="K262" t="s">
        <v>726</v>
      </c>
      <c r="M262" t="s">
        <v>74</v>
      </c>
    </row>
    <row r="263" spans="1:13">
      <c r="A263" t="s">
        <v>625</v>
      </c>
      <c r="B263" t="s">
        <v>738</v>
      </c>
      <c r="C263" t="s">
        <v>16</v>
      </c>
      <c r="D263" t="s">
        <v>666</v>
      </c>
      <c r="E263" t="s">
        <v>739</v>
      </c>
      <c r="F263" t="s">
        <v>172</v>
      </c>
      <c r="G263">
        <f>HYPERLINK("http://clipc-services.ceda.ac.uk/dreq/u/9c4f9fe04addd510e5fbedd35e01a5db.html","web")</f>
        <v>0</v>
      </c>
      <c r="J263" t="s">
        <v>740</v>
      </c>
      <c r="K263" t="s">
        <v>741</v>
      </c>
      <c r="M263" t="s">
        <v>172</v>
      </c>
    </row>
    <row r="264" spans="1:13">
      <c r="A264" t="s">
        <v>625</v>
      </c>
      <c r="B264" t="s">
        <v>742</v>
      </c>
      <c r="C264" t="s">
        <v>16</v>
      </c>
      <c r="D264" t="s">
        <v>152</v>
      </c>
      <c r="E264" t="s">
        <v>228</v>
      </c>
      <c r="F264" t="s">
        <v>172</v>
      </c>
      <c r="G264">
        <f>HYPERLINK("http://clipc-services.ceda.ac.uk/dreq/u/baf651d5dbd448df196faedae8a97b22.html","web")</f>
        <v>0</v>
      </c>
      <c r="J264" t="s">
        <v>743</v>
      </c>
      <c r="K264" t="s">
        <v>635</v>
      </c>
      <c r="M264" t="s">
        <v>172</v>
      </c>
    </row>
    <row r="265" spans="1:13">
      <c r="A265" t="s">
        <v>625</v>
      </c>
      <c r="B265" t="s">
        <v>744</v>
      </c>
      <c r="C265" t="s">
        <v>16</v>
      </c>
      <c r="D265" t="s">
        <v>152</v>
      </c>
      <c r="E265" t="s">
        <v>745</v>
      </c>
      <c r="F265" t="s">
        <v>172</v>
      </c>
      <c r="G265">
        <f>HYPERLINK("http://clipc-services.ceda.ac.uk/dreq/u/4f6a8297671856ee117fa285ad5d6e88.html","web")</f>
        <v>0</v>
      </c>
      <c r="J265" t="s">
        <v>746</v>
      </c>
      <c r="K265" t="s">
        <v>626</v>
      </c>
      <c r="M265" t="s">
        <v>172</v>
      </c>
    </row>
    <row r="266" spans="1:13">
      <c r="A266" t="s">
        <v>625</v>
      </c>
      <c r="B266" t="s">
        <v>747</v>
      </c>
      <c r="C266" t="s">
        <v>16</v>
      </c>
      <c r="D266" t="s">
        <v>152</v>
      </c>
      <c r="E266" t="s">
        <v>748</v>
      </c>
      <c r="F266" t="s">
        <v>172</v>
      </c>
      <c r="G266">
        <f>HYPERLINK("http://clipc-services.ceda.ac.uk/dreq/u/923468afd1b3d19662d02978682c305f.html","web")</f>
        <v>0</v>
      </c>
      <c r="J266" t="s">
        <v>749</v>
      </c>
      <c r="K266" t="s">
        <v>626</v>
      </c>
      <c r="M266" t="s">
        <v>172</v>
      </c>
    </row>
    <row r="267" spans="1:13">
      <c r="A267" t="s">
        <v>625</v>
      </c>
      <c r="B267" t="s">
        <v>750</v>
      </c>
      <c r="C267" t="s">
        <v>50</v>
      </c>
      <c r="D267" t="s">
        <v>152</v>
      </c>
      <c r="E267" t="s">
        <v>751</v>
      </c>
      <c r="F267" t="s">
        <v>47</v>
      </c>
      <c r="G267">
        <f>HYPERLINK("http://clipc-services.ceda.ac.uk/dreq/u/ede7b0fb492e75c5fb9139996880695a.html","web")</f>
        <v>0</v>
      </c>
      <c r="J267" t="s">
        <v>752</v>
      </c>
      <c r="K267" t="s">
        <v>626</v>
      </c>
      <c r="M267" t="s">
        <v>47</v>
      </c>
    </row>
    <row r="268" spans="1:13">
      <c r="A268" t="s">
        <v>625</v>
      </c>
      <c r="B268" t="s">
        <v>753</v>
      </c>
      <c r="C268" t="s">
        <v>16</v>
      </c>
      <c r="D268" t="s">
        <v>152</v>
      </c>
      <c r="E268" t="s">
        <v>261</v>
      </c>
      <c r="F268" t="s">
        <v>172</v>
      </c>
      <c r="G268">
        <f>HYPERLINK("http://clipc-services.ceda.ac.uk/dreq/u/e52807e8-dd83-11e5-9194-ac72891c3257.html","web")</f>
        <v>0</v>
      </c>
      <c r="J268" t="s">
        <v>754</v>
      </c>
      <c r="K268" t="s">
        <v>635</v>
      </c>
      <c r="M268" t="s">
        <v>172</v>
      </c>
    </row>
    <row r="269" spans="1:13">
      <c r="A269" t="s">
        <v>625</v>
      </c>
      <c r="B269" t="s">
        <v>755</v>
      </c>
      <c r="C269" t="s">
        <v>16</v>
      </c>
      <c r="D269" t="s">
        <v>152</v>
      </c>
      <c r="E269" t="s">
        <v>264</v>
      </c>
      <c r="F269" t="s">
        <v>172</v>
      </c>
      <c r="G269">
        <f>HYPERLINK("http://clipc-services.ceda.ac.uk/dreq/u/e5287110-dd83-11e5-9194-ac72891c3257.html","web")</f>
        <v>0</v>
      </c>
      <c r="J269" t="s">
        <v>756</v>
      </c>
      <c r="K269" t="s">
        <v>635</v>
      </c>
      <c r="M269" t="s">
        <v>172</v>
      </c>
    </row>
    <row r="270" spans="1:13">
      <c r="A270" t="s">
        <v>625</v>
      </c>
      <c r="B270" t="s">
        <v>757</v>
      </c>
      <c r="C270" t="s">
        <v>16</v>
      </c>
      <c r="D270" t="s">
        <v>152</v>
      </c>
      <c r="E270" t="s">
        <v>758</v>
      </c>
      <c r="F270" t="s">
        <v>35</v>
      </c>
      <c r="G270">
        <f>HYPERLINK("http://clipc-services.ceda.ac.uk/dreq/u/4e0d59a6102625043f701d5527c44957.html","web")</f>
        <v>0</v>
      </c>
      <c r="J270" t="s">
        <v>759</v>
      </c>
      <c r="K270" t="s">
        <v>654</v>
      </c>
      <c r="M270" t="s">
        <v>35</v>
      </c>
    </row>
    <row r="271" spans="1:13">
      <c r="A271" t="s">
        <v>625</v>
      </c>
      <c r="B271" t="s">
        <v>760</v>
      </c>
      <c r="C271" t="s">
        <v>16</v>
      </c>
      <c r="D271" t="s">
        <v>152</v>
      </c>
      <c r="E271" t="s">
        <v>761</v>
      </c>
      <c r="F271" t="s">
        <v>35</v>
      </c>
      <c r="G271">
        <f>HYPERLINK("http://clipc-services.ceda.ac.uk/dreq/u/98544553b7ee286405344aa2e3e88c8e.html","web")</f>
        <v>0</v>
      </c>
      <c r="J271" t="s">
        <v>762</v>
      </c>
      <c r="K271" t="s">
        <v>654</v>
      </c>
      <c r="M271" t="s">
        <v>35</v>
      </c>
    </row>
    <row r="272" spans="1:13">
      <c r="A272" t="s">
        <v>625</v>
      </c>
      <c r="B272" t="s">
        <v>763</v>
      </c>
      <c r="C272" t="s">
        <v>16</v>
      </c>
      <c r="D272" t="s">
        <v>152</v>
      </c>
      <c r="E272" t="s">
        <v>764</v>
      </c>
      <c r="F272" t="s">
        <v>35</v>
      </c>
      <c r="G272">
        <f>HYPERLINK("http://clipc-services.ceda.ac.uk/dreq/u/b73b4f189e333c9c2426d55fbdfad32f.html","web")</f>
        <v>0</v>
      </c>
      <c r="J272" t="s">
        <v>765</v>
      </c>
      <c r="K272" t="s">
        <v>654</v>
      </c>
      <c r="M272" t="s">
        <v>35</v>
      </c>
    </row>
    <row r="273" spans="1:13">
      <c r="A273" t="s">
        <v>625</v>
      </c>
      <c r="B273" t="s">
        <v>766</v>
      </c>
      <c r="C273" t="s">
        <v>16</v>
      </c>
      <c r="D273" t="s">
        <v>152</v>
      </c>
      <c r="E273" t="s">
        <v>767</v>
      </c>
      <c r="F273" t="s">
        <v>35</v>
      </c>
      <c r="G273">
        <f>HYPERLINK("http://clipc-services.ceda.ac.uk/dreq/u/bbca9d7202577ef64ed889685489a6aa.html","web")</f>
        <v>0</v>
      </c>
      <c r="J273" t="s">
        <v>768</v>
      </c>
      <c r="K273" t="s">
        <v>654</v>
      </c>
      <c r="M273" t="s">
        <v>35</v>
      </c>
    </row>
    <row r="274" spans="1:13">
      <c r="A274" t="s">
        <v>625</v>
      </c>
      <c r="B274" t="s">
        <v>769</v>
      </c>
      <c r="C274" t="s">
        <v>16</v>
      </c>
      <c r="D274" t="s">
        <v>152</v>
      </c>
      <c r="E274" t="s">
        <v>770</v>
      </c>
      <c r="F274" t="s">
        <v>35</v>
      </c>
      <c r="G274">
        <f>HYPERLINK("http://clipc-services.ceda.ac.uk/dreq/u/9d815caba4e72a31b250865a534d95bd.html","web")</f>
        <v>0</v>
      </c>
      <c r="J274" t="s">
        <v>771</v>
      </c>
      <c r="K274" t="s">
        <v>654</v>
      </c>
      <c r="M274" t="s">
        <v>35</v>
      </c>
    </row>
    <row r="275" spans="1:13">
      <c r="A275" t="s">
        <v>625</v>
      </c>
      <c r="B275" t="s">
        <v>772</v>
      </c>
      <c r="C275" t="s">
        <v>16</v>
      </c>
      <c r="D275" t="s">
        <v>152</v>
      </c>
      <c r="E275" t="s">
        <v>773</v>
      </c>
      <c r="F275" t="s">
        <v>35</v>
      </c>
      <c r="G275">
        <f>HYPERLINK("http://clipc-services.ceda.ac.uk/dreq/u/1e8aa2d7958602eef45a81400ab57bd5.html","web")</f>
        <v>0</v>
      </c>
      <c r="J275" t="s">
        <v>774</v>
      </c>
      <c r="K275" t="s">
        <v>654</v>
      </c>
      <c r="M275" t="s">
        <v>35</v>
      </c>
    </row>
    <row r="276" spans="1:13">
      <c r="A276" t="s">
        <v>625</v>
      </c>
      <c r="B276" t="s">
        <v>775</v>
      </c>
      <c r="C276" t="s">
        <v>16</v>
      </c>
      <c r="D276" t="s">
        <v>152</v>
      </c>
      <c r="E276" t="s">
        <v>776</v>
      </c>
      <c r="F276" t="s">
        <v>35</v>
      </c>
      <c r="G276">
        <f>HYPERLINK("http://clipc-services.ceda.ac.uk/dreq/u/197a59d0c69811cf92e1e7bcbe56cb61.html","web")</f>
        <v>0</v>
      </c>
      <c r="J276" t="s">
        <v>777</v>
      </c>
      <c r="K276" t="s">
        <v>654</v>
      </c>
      <c r="M276" t="s">
        <v>35</v>
      </c>
    </row>
    <row r="277" spans="1:13">
      <c r="A277" t="s">
        <v>625</v>
      </c>
      <c r="B277" t="s">
        <v>778</v>
      </c>
      <c r="C277" t="s">
        <v>50</v>
      </c>
      <c r="D277" t="s">
        <v>152</v>
      </c>
      <c r="E277" t="s">
        <v>779</v>
      </c>
      <c r="F277" t="s">
        <v>35</v>
      </c>
      <c r="G277">
        <f>HYPERLINK("http://clipc-services.ceda.ac.uk/dreq/u/f1b2785c2f21b3ca1fbe97a1152920f6.html","web")</f>
        <v>0</v>
      </c>
      <c r="J277" t="s">
        <v>780</v>
      </c>
      <c r="K277" t="s">
        <v>654</v>
      </c>
      <c r="M277" t="s">
        <v>35</v>
      </c>
    </row>
    <row r="278" spans="1:13">
      <c r="A278" t="s">
        <v>625</v>
      </c>
      <c r="B278" t="s">
        <v>781</v>
      </c>
      <c r="C278" t="s">
        <v>16</v>
      </c>
      <c r="D278" t="s">
        <v>152</v>
      </c>
      <c r="E278" t="s">
        <v>782</v>
      </c>
      <c r="F278" t="s">
        <v>35</v>
      </c>
      <c r="G278">
        <f>HYPERLINK("http://clipc-services.ceda.ac.uk/dreq/u/fd9db3b1f9e7f5e778bebf3c16a344f6.html","web")</f>
        <v>0</v>
      </c>
      <c r="J278" t="s">
        <v>783</v>
      </c>
      <c r="K278" t="s">
        <v>654</v>
      </c>
      <c r="M278" t="s">
        <v>35</v>
      </c>
    </row>
    <row r="279" spans="1:13">
      <c r="A279" t="s">
        <v>625</v>
      </c>
      <c r="B279" t="s">
        <v>784</v>
      </c>
      <c r="C279" t="s">
        <v>35</v>
      </c>
      <c r="D279" t="s">
        <v>785</v>
      </c>
      <c r="E279" t="s">
        <v>786</v>
      </c>
      <c r="F279" t="s">
        <v>360</v>
      </c>
      <c r="G279">
        <f>HYPERLINK("http://clipc-services.ceda.ac.uk/dreq/u/faeffb2438794e8400143533d61d1623.html","web")</f>
        <v>0</v>
      </c>
      <c r="J279" t="s">
        <v>787</v>
      </c>
      <c r="K279" t="s">
        <v>733</v>
      </c>
      <c r="M279" t="s">
        <v>360</v>
      </c>
    </row>
    <row r="280" spans="1:13">
      <c r="A280" t="s">
        <v>625</v>
      </c>
      <c r="B280" t="s">
        <v>788</v>
      </c>
      <c r="C280" t="s">
        <v>35</v>
      </c>
      <c r="D280" t="s">
        <v>785</v>
      </c>
      <c r="E280" t="s">
        <v>789</v>
      </c>
      <c r="F280" t="s">
        <v>360</v>
      </c>
      <c r="G280">
        <f>HYPERLINK("http://clipc-services.ceda.ac.uk/dreq/u/54bc1fc90fca4b22cd73cc18e3f6ec07.html","web")</f>
        <v>0</v>
      </c>
      <c r="J280" t="s">
        <v>790</v>
      </c>
      <c r="K280" t="s">
        <v>716</v>
      </c>
      <c r="M280" t="s">
        <v>360</v>
      </c>
    </row>
    <row r="281" spans="1:13">
      <c r="A281" t="s">
        <v>625</v>
      </c>
      <c r="B281" t="s">
        <v>791</v>
      </c>
      <c r="C281" t="s">
        <v>35</v>
      </c>
      <c r="D281" t="s">
        <v>792</v>
      </c>
      <c r="E281" t="s">
        <v>786</v>
      </c>
      <c r="F281" t="s">
        <v>360</v>
      </c>
      <c r="G281">
        <f>HYPERLINK("http://clipc-services.ceda.ac.uk/dreq/u/fe8d7416c92bdae56503590599286800.html","web")</f>
        <v>0</v>
      </c>
      <c r="J281" t="s">
        <v>787</v>
      </c>
      <c r="K281" t="s">
        <v>793</v>
      </c>
      <c r="M281" t="s">
        <v>360</v>
      </c>
    </row>
    <row r="282" spans="1:13">
      <c r="A282" t="s">
        <v>625</v>
      </c>
      <c r="B282" t="s">
        <v>794</v>
      </c>
      <c r="C282" t="s">
        <v>35</v>
      </c>
      <c r="D282" t="s">
        <v>792</v>
      </c>
      <c r="E282" t="s">
        <v>789</v>
      </c>
      <c r="F282" t="s">
        <v>360</v>
      </c>
      <c r="G282">
        <f>HYPERLINK("http://clipc-services.ceda.ac.uk/dreq/u/bd75f065fbaddd5d92f4767c6d6baaff.html","web")</f>
        <v>0</v>
      </c>
      <c r="J282" t="s">
        <v>790</v>
      </c>
      <c r="K282" t="s">
        <v>795</v>
      </c>
      <c r="M282" t="s">
        <v>360</v>
      </c>
    </row>
    <row r="283" spans="1:13">
      <c r="A283" t="s">
        <v>625</v>
      </c>
      <c r="B283" t="s">
        <v>796</v>
      </c>
      <c r="C283" t="s">
        <v>35</v>
      </c>
      <c r="D283" t="s">
        <v>792</v>
      </c>
      <c r="E283" t="s">
        <v>797</v>
      </c>
      <c r="F283" t="s">
        <v>360</v>
      </c>
      <c r="G283">
        <f>HYPERLINK("http://clipc-services.ceda.ac.uk/dreq/u/136d81b44d45d8f7c549469ff69a74a7.html","web")</f>
        <v>0</v>
      </c>
      <c r="J283" t="s">
        <v>798</v>
      </c>
      <c r="K283" t="s">
        <v>716</v>
      </c>
      <c r="M283" t="s">
        <v>360</v>
      </c>
    </row>
    <row r="284" spans="1:13">
      <c r="A284" t="s">
        <v>625</v>
      </c>
      <c r="B284" t="s">
        <v>799</v>
      </c>
      <c r="C284" t="s">
        <v>35</v>
      </c>
      <c r="D284" t="s">
        <v>800</v>
      </c>
      <c r="E284" t="s">
        <v>801</v>
      </c>
      <c r="F284" t="s">
        <v>360</v>
      </c>
      <c r="G284">
        <f>HYPERLINK("http://clipc-services.ceda.ac.uk/dreq/u/29a3aaf848070fb8ff4ecb7aa2dfa2eb.html","web")</f>
        <v>0</v>
      </c>
      <c r="J284" t="s">
        <v>787</v>
      </c>
      <c r="K284" t="s">
        <v>716</v>
      </c>
      <c r="M284" t="s">
        <v>360</v>
      </c>
    </row>
    <row r="285" spans="1:13">
      <c r="A285" t="s">
        <v>625</v>
      </c>
      <c r="B285" t="s">
        <v>802</v>
      </c>
      <c r="C285" t="s">
        <v>35</v>
      </c>
      <c r="D285" t="s">
        <v>800</v>
      </c>
      <c r="E285" t="s">
        <v>803</v>
      </c>
      <c r="F285" t="s">
        <v>360</v>
      </c>
      <c r="G285">
        <f>HYPERLINK("http://clipc-services.ceda.ac.uk/dreq/u/66a6e45b205b239932b72fa67a6500ed.html","web")</f>
        <v>0</v>
      </c>
      <c r="J285" t="s">
        <v>790</v>
      </c>
      <c r="K285" t="s">
        <v>733</v>
      </c>
      <c r="M285" t="s">
        <v>360</v>
      </c>
    </row>
    <row r="286" spans="1:13">
      <c r="A286" t="s">
        <v>625</v>
      </c>
      <c r="B286" t="s">
        <v>804</v>
      </c>
      <c r="C286" t="s">
        <v>35</v>
      </c>
      <c r="D286" t="s">
        <v>805</v>
      </c>
      <c r="E286" t="s">
        <v>803</v>
      </c>
      <c r="F286" t="s">
        <v>360</v>
      </c>
      <c r="G286">
        <f>HYPERLINK("http://clipc-services.ceda.ac.uk/dreq/u/481469b8223841a5382d43e7c6ae204e.html","web")</f>
        <v>0</v>
      </c>
      <c r="J286" t="s">
        <v>790</v>
      </c>
      <c r="K286" t="s">
        <v>716</v>
      </c>
      <c r="M286" t="s">
        <v>360</v>
      </c>
    </row>
    <row r="287" spans="1:13">
      <c r="A287" t="s">
        <v>625</v>
      </c>
      <c r="B287" t="s">
        <v>806</v>
      </c>
      <c r="C287" t="s">
        <v>35</v>
      </c>
      <c r="D287" t="s">
        <v>792</v>
      </c>
      <c r="E287" t="s">
        <v>807</v>
      </c>
      <c r="F287" t="s">
        <v>360</v>
      </c>
      <c r="G287">
        <f>HYPERLINK("http://clipc-services.ceda.ac.uk/dreq/u/2ac2d8645abddc0eb9fe53a7ea680465.html","web")</f>
        <v>0</v>
      </c>
      <c r="J287" t="s">
        <v>798</v>
      </c>
      <c r="K287" t="s">
        <v>716</v>
      </c>
      <c r="M287" t="s">
        <v>360</v>
      </c>
    </row>
    <row r="288" spans="1:13">
      <c r="A288" t="s">
        <v>625</v>
      </c>
      <c r="B288" t="s">
        <v>193</v>
      </c>
      <c r="C288" t="s">
        <v>16</v>
      </c>
      <c r="D288" t="s">
        <v>85</v>
      </c>
      <c r="E288" t="s">
        <v>194</v>
      </c>
      <c r="F288" t="s">
        <v>87</v>
      </c>
      <c r="G288">
        <f>HYPERLINK("http://clipc-services.ceda.ac.uk/dreq/u/e4e75ce1fe85a547cd0d39d4b64ec0e2.html","web")</f>
        <v>0</v>
      </c>
      <c r="J288" t="s">
        <v>195</v>
      </c>
      <c r="K288" t="s">
        <v>632</v>
      </c>
      <c r="M288" t="s">
        <v>87</v>
      </c>
    </row>
    <row r="289" spans="1:13">
      <c r="A289" t="s">
        <v>625</v>
      </c>
      <c r="B289" t="s">
        <v>808</v>
      </c>
      <c r="C289" t="s">
        <v>50</v>
      </c>
      <c r="D289" t="s">
        <v>152</v>
      </c>
      <c r="E289" t="s">
        <v>809</v>
      </c>
      <c r="F289" t="s">
        <v>87</v>
      </c>
      <c r="G289">
        <f>HYPERLINK("http://clipc-services.ceda.ac.uk/dreq/u/c96daba6-c5f0-11e6-ac20-5404a60d96b5.html","web")</f>
        <v>0</v>
      </c>
      <c r="J289" t="s">
        <v>195</v>
      </c>
      <c r="K289" t="s">
        <v>626</v>
      </c>
      <c r="M289" t="s">
        <v>87</v>
      </c>
    </row>
    <row r="290" spans="1:13">
      <c r="A290" t="s">
        <v>625</v>
      </c>
      <c r="B290" t="s">
        <v>810</v>
      </c>
      <c r="C290" t="s">
        <v>16</v>
      </c>
      <c r="D290" t="s">
        <v>666</v>
      </c>
      <c r="E290" t="s">
        <v>811</v>
      </c>
      <c r="F290" t="s">
        <v>172</v>
      </c>
      <c r="G290">
        <f>HYPERLINK("http://clipc-services.ceda.ac.uk/dreq/u/5be0620fea71e2541aa08aac57ed9243.html","web")</f>
        <v>0</v>
      </c>
      <c r="J290" t="s">
        <v>812</v>
      </c>
      <c r="K290" t="s">
        <v>741</v>
      </c>
      <c r="M290" t="s">
        <v>172</v>
      </c>
    </row>
    <row r="291" spans="1:13">
      <c r="A291" t="s">
        <v>625</v>
      </c>
      <c r="B291" t="s">
        <v>230</v>
      </c>
      <c r="C291" t="s">
        <v>16</v>
      </c>
      <c r="D291" t="s">
        <v>85</v>
      </c>
      <c r="E291" t="s">
        <v>231</v>
      </c>
      <c r="F291" t="s">
        <v>35</v>
      </c>
      <c r="G291">
        <f>HYPERLINK("http://clipc-services.ceda.ac.uk/dreq/u/c977c2da-c5f0-11e6-ac20-5404a60d96b5.html","web")</f>
        <v>0</v>
      </c>
      <c r="J291" t="s">
        <v>232</v>
      </c>
      <c r="K291" t="s">
        <v>632</v>
      </c>
      <c r="M291" t="s">
        <v>35</v>
      </c>
    </row>
    <row r="292" spans="1:13">
      <c r="A292" t="s">
        <v>625</v>
      </c>
      <c r="B292" t="s">
        <v>813</v>
      </c>
      <c r="C292" t="s">
        <v>50</v>
      </c>
      <c r="D292" t="s">
        <v>152</v>
      </c>
      <c r="E292" t="s">
        <v>814</v>
      </c>
      <c r="F292" t="s">
        <v>35</v>
      </c>
      <c r="G292">
        <f>HYPERLINK("http://clipc-services.ceda.ac.uk/dreq/u/c96d8ffe-c5f0-11e6-ac20-5404a60d96b5.html","web")</f>
        <v>0</v>
      </c>
      <c r="J292" t="s">
        <v>235</v>
      </c>
      <c r="K292" t="s">
        <v>626</v>
      </c>
      <c r="M292" t="s">
        <v>35</v>
      </c>
    </row>
    <row r="293" spans="1:13">
      <c r="A293" t="s">
        <v>625</v>
      </c>
      <c r="B293" t="s">
        <v>233</v>
      </c>
      <c r="C293" t="s">
        <v>16</v>
      </c>
      <c r="D293" t="s">
        <v>85</v>
      </c>
      <c r="E293" t="s">
        <v>234</v>
      </c>
      <c r="F293" t="s">
        <v>35</v>
      </c>
      <c r="G293">
        <f>HYPERLINK("http://clipc-services.ceda.ac.uk/dreq/u/c97004d2-c5f0-11e6-ac20-5404a60d96b5.html","web")</f>
        <v>0</v>
      </c>
      <c r="J293" t="s">
        <v>235</v>
      </c>
      <c r="K293" t="s">
        <v>632</v>
      </c>
      <c r="M293" t="s">
        <v>35</v>
      </c>
    </row>
    <row r="294" spans="1:13">
      <c r="A294" t="s">
        <v>625</v>
      </c>
      <c r="B294" t="s">
        <v>815</v>
      </c>
      <c r="C294" t="s">
        <v>50</v>
      </c>
      <c r="D294" t="s">
        <v>152</v>
      </c>
      <c r="E294" t="s">
        <v>816</v>
      </c>
      <c r="F294" t="s">
        <v>35</v>
      </c>
      <c r="G294">
        <f>HYPERLINK("http://clipc-services.ceda.ac.uk/dreq/u/c96d8090-c5f0-11e6-ac20-5404a60d96b5.html","web")</f>
        <v>0</v>
      </c>
      <c r="J294" t="s">
        <v>235</v>
      </c>
      <c r="K294" t="s">
        <v>626</v>
      </c>
      <c r="M294" t="s">
        <v>35</v>
      </c>
    </row>
    <row r="295" spans="1:13">
      <c r="A295" t="s">
        <v>625</v>
      </c>
      <c r="B295" t="s">
        <v>236</v>
      </c>
      <c r="C295" t="s">
        <v>50</v>
      </c>
      <c r="D295" t="s">
        <v>85</v>
      </c>
      <c r="E295" t="s">
        <v>237</v>
      </c>
      <c r="F295" t="s">
        <v>87</v>
      </c>
      <c r="G295">
        <f>HYPERLINK("http://clipc-services.ceda.ac.uk/dreq/u/38c7aa97ad0f74e33dfd3f115124d04f.html","web")</f>
        <v>0</v>
      </c>
      <c r="J295" t="s">
        <v>238</v>
      </c>
      <c r="K295" t="s">
        <v>626</v>
      </c>
      <c r="M295" t="s">
        <v>87</v>
      </c>
    </row>
    <row r="296" spans="1:13">
      <c r="A296" t="s">
        <v>625</v>
      </c>
      <c r="B296" t="s">
        <v>817</v>
      </c>
      <c r="C296" t="s">
        <v>16</v>
      </c>
      <c r="D296" t="s">
        <v>152</v>
      </c>
      <c r="E296" t="s">
        <v>818</v>
      </c>
      <c r="F296" t="s">
        <v>87</v>
      </c>
      <c r="G296">
        <f>HYPERLINK("http://clipc-services.ceda.ac.uk/dreq/u/c96cfd6e-c5f0-11e6-ac20-5404a60d96b5.html","web")</f>
        <v>0</v>
      </c>
      <c r="J296" t="s">
        <v>238</v>
      </c>
      <c r="K296" t="s">
        <v>626</v>
      </c>
      <c r="M296" t="s">
        <v>87</v>
      </c>
    </row>
    <row r="297" spans="1:13">
      <c r="A297" t="s">
        <v>625</v>
      </c>
      <c r="B297" t="s">
        <v>239</v>
      </c>
      <c r="C297" t="s">
        <v>50</v>
      </c>
      <c r="D297" t="s">
        <v>85</v>
      </c>
      <c r="E297" t="s">
        <v>240</v>
      </c>
      <c r="F297" t="s">
        <v>87</v>
      </c>
      <c r="G297">
        <f>HYPERLINK("http://clipc-services.ceda.ac.uk/dreq/u/ad7df7199759ad25164da83e37a6da17.html","web")</f>
        <v>0</v>
      </c>
      <c r="J297" t="s">
        <v>241</v>
      </c>
      <c r="K297" t="s">
        <v>626</v>
      </c>
      <c r="M297" t="s">
        <v>87</v>
      </c>
    </row>
    <row r="298" spans="1:13">
      <c r="A298" t="s">
        <v>625</v>
      </c>
      <c r="B298" t="s">
        <v>819</v>
      </c>
      <c r="C298" t="s">
        <v>16</v>
      </c>
      <c r="D298" t="s">
        <v>152</v>
      </c>
      <c r="E298" t="s">
        <v>820</v>
      </c>
      <c r="F298" t="s">
        <v>87</v>
      </c>
      <c r="G298">
        <f>HYPERLINK("http://clipc-services.ceda.ac.uk/dreq/u/c96cefb8-c5f0-11e6-ac20-5404a60d96b5.html","web")</f>
        <v>0</v>
      </c>
      <c r="J298" t="s">
        <v>241</v>
      </c>
      <c r="K298" t="s">
        <v>626</v>
      </c>
      <c r="M298" t="s">
        <v>87</v>
      </c>
    </row>
    <row r="299" spans="1:13">
      <c r="A299" t="s">
        <v>625</v>
      </c>
      <c r="B299" t="s">
        <v>242</v>
      </c>
      <c r="C299" t="s">
        <v>16</v>
      </c>
      <c r="D299" t="s">
        <v>85</v>
      </c>
      <c r="E299" t="s">
        <v>243</v>
      </c>
      <c r="F299" t="s">
        <v>87</v>
      </c>
      <c r="G299">
        <f>HYPERLINK("http://clipc-services.ceda.ac.uk/dreq/u/80f337469efdd0d5392ad995a90fd15c.html","web")</f>
        <v>0</v>
      </c>
      <c r="J299" t="s">
        <v>244</v>
      </c>
      <c r="K299" t="s">
        <v>632</v>
      </c>
      <c r="M299" t="s">
        <v>87</v>
      </c>
    </row>
    <row r="300" spans="1:13">
      <c r="A300" t="s">
        <v>625</v>
      </c>
      <c r="B300" t="s">
        <v>821</v>
      </c>
      <c r="C300" t="s">
        <v>50</v>
      </c>
      <c r="D300" t="s">
        <v>152</v>
      </c>
      <c r="E300" t="s">
        <v>822</v>
      </c>
      <c r="F300" t="s">
        <v>87</v>
      </c>
      <c r="G300">
        <f>HYPERLINK("http://clipc-services.ceda.ac.uk/dreq/u/c96e895e-c5f0-11e6-ac20-5404a60d96b5.html","web")</f>
        <v>0</v>
      </c>
      <c r="J300" t="s">
        <v>244</v>
      </c>
      <c r="K300" t="s">
        <v>635</v>
      </c>
      <c r="M300" t="s">
        <v>87</v>
      </c>
    </row>
    <row r="301" spans="1:13">
      <c r="A301" t="s">
        <v>625</v>
      </c>
      <c r="B301" t="s">
        <v>245</v>
      </c>
      <c r="C301" t="s">
        <v>16</v>
      </c>
      <c r="D301" t="s">
        <v>85</v>
      </c>
      <c r="E301" t="s">
        <v>246</v>
      </c>
      <c r="F301" t="s">
        <v>87</v>
      </c>
      <c r="G301">
        <f>HYPERLINK("http://clipc-services.ceda.ac.uk/dreq/u/1ae710e405acc14b368f55d9205be258.html","web")</f>
        <v>0</v>
      </c>
      <c r="J301" t="s">
        <v>247</v>
      </c>
      <c r="K301" t="s">
        <v>632</v>
      </c>
      <c r="M301" t="s">
        <v>87</v>
      </c>
    </row>
    <row r="302" spans="1:13">
      <c r="A302" t="s">
        <v>625</v>
      </c>
      <c r="B302" t="s">
        <v>248</v>
      </c>
      <c r="C302" t="s">
        <v>50</v>
      </c>
      <c r="D302" t="s">
        <v>85</v>
      </c>
      <c r="E302" t="s">
        <v>249</v>
      </c>
      <c r="F302" t="s">
        <v>87</v>
      </c>
      <c r="G302">
        <f>HYPERLINK("http://clipc-services.ceda.ac.uk/dreq/u/3aa265a13ddf4caa82a8e1e3d4482f42.html","web")</f>
        <v>0</v>
      </c>
      <c r="J302" t="s">
        <v>250</v>
      </c>
      <c r="K302" t="s">
        <v>635</v>
      </c>
      <c r="M302" t="s">
        <v>87</v>
      </c>
    </row>
    <row r="303" spans="1:13">
      <c r="A303" t="s">
        <v>625</v>
      </c>
      <c r="B303" t="s">
        <v>823</v>
      </c>
      <c r="C303" t="s">
        <v>16</v>
      </c>
      <c r="D303" t="s">
        <v>152</v>
      </c>
      <c r="E303" t="s">
        <v>824</v>
      </c>
      <c r="F303" t="s">
        <v>87</v>
      </c>
      <c r="G303">
        <f>HYPERLINK("http://clipc-services.ceda.ac.uk/dreq/u/c96d0cb4-c5f0-11e6-ac20-5404a60d96b5.html","web")</f>
        <v>0</v>
      </c>
      <c r="J303" t="s">
        <v>250</v>
      </c>
      <c r="K303" t="s">
        <v>626</v>
      </c>
      <c r="M303" t="s">
        <v>87</v>
      </c>
    </row>
    <row r="304" spans="1:13">
      <c r="A304" t="s">
        <v>625</v>
      </c>
      <c r="B304" t="s">
        <v>825</v>
      </c>
      <c r="C304" t="s">
        <v>50</v>
      </c>
      <c r="D304" t="s">
        <v>152</v>
      </c>
      <c r="E304" t="s">
        <v>826</v>
      </c>
      <c r="F304" t="s">
        <v>87</v>
      </c>
      <c r="G304">
        <f>HYPERLINK("http://clipc-services.ceda.ac.uk/dreq/u/c96e9778-c5f0-11e6-ac20-5404a60d96b5.html","web")</f>
        <v>0</v>
      </c>
      <c r="J304" t="s">
        <v>247</v>
      </c>
      <c r="K304" t="s">
        <v>635</v>
      </c>
      <c r="M304" t="s">
        <v>87</v>
      </c>
    </row>
    <row r="305" spans="1:13">
      <c r="A305" t="s">
        <v>625</v>
      </c>
      <c r="B305" t="s">
        <v>251</v>
      </c>
      <c r="C305" t="s">
        <v>16</v>
      </c>
      <c r="D305" t="s">
        <v>85</v>
      </c>
      <c r="E305" t="s">
        <v>252</v>
      </c>
      <c r="F305" t="s">
        <v>87</v>
      </c>
      <c r="G305">
        <f>HYPERLINK("http://clipc-services.ceda.ac.uk/dreq/u/14e5a31ac93e26c50f8c01ed9a032168.html","web")</f>
        <v>0</v>
      </c>
      <c r="J305" t="s">
        <v>253</v>
      </c>
      <c r="K305" t="s">
        <v>632</v>
      </c>
      <c r="M305" t="s">
        <v>87</v>
      </c>
    </row>
    <row r="306" spans="1:13">
      <c r="A306" t="s">
        <v>625</v>
      </c>
      <c r="B306" t="s">
        <v>827</v>
      </c>
      <c r="C306" t="s">
        <v>50</v>
      </c>
      <c r="D306" t="s">
        <v>152</v>
      </c>
      <c r="E306" t="s">
        <v>828</v>
      </c>
      <c r="F306" t="s">
        <v>87</v>
      </c>
      <c r="G306">
        <f>HYPERLINK("http://clipc-services.ceda.ac.uk/dreq/u/c96e5132-c5f0-11e6-ac20-5404a60d96b5.html","web")</f>
        <v>0</v>
      </c>
      <c r="J306" t="s">
        <v>253</v>
      </c>
      <c r="K306" t="s">
        <v>635</v>
      </c>
      <c r="M306" t="s">
        <v>87</v>
      </c>
    </row>
    <row r="307" spans="1:13">
      <c r="A307" t="s">
        <v>625</v>
      </c>
      <c r="B307" t="s">
        <v>254</v>
      </c>
      <c r="C307" t="s">
        <v>16</v>
      </c>
      <c r="D307" t="s">
        <v>85</v>
      </c>
      <c r="E307" t="s">
        <v>255</v>
      </c>
      <c r="F307" t="s">
        <v>87</v>
      </c>
      <c r="G307">
        <f>HYPERLINK("http://clipc-services.ceda.ac.uk/dreq/u/562c99ff069851867df730ed9531c796.html","web")</f>
        <v>0</v>
      </c>
      <c r="J307" t="s">
        <v>256</v>
      </c>
      <c r="K307" t="s">
        <v>632</v>
      </c>
      <c r="M307" t="s">
        <v>87</v>
      </c>
    </row>
    <row r="308" spans="1:13">
      <c r="A308" t="s">
        <v>625</v>
      </c>
      <c r="B308" t="s">
        <v>829</v>
      </c>
      <c r="C308" t="s">
        <v>50</v>
      </c>
      <c r="D308" t="s">
        <v>152</v>
      </c>
      <c r="E308" t="s">
        <v>830</v>
      </c>
      <c r="F308" t="s">
        <v>87</v>
      </c>
      <c r="G308">
        <f>HYPERLINK("http://clipc-services.ceda.ac.uk/dreq/u/c96e5fc4-c5f0-11e6-ac20-5404a60d96b5.html","web")</f>
        <v>0</v>
      </c>
      <c r="J308" t="s">
        <v>256</v>
      </c>
      <c r="K308" t="s">
        <v>635</v>
      </c>
      <c r="M308" t="s">
        <v>87</v>
      </c>
    </row>
    <row r="309" spans="1:13">
      <c r="A309" t="s">
        <v>625</v>
      </c>
      <c r="B309" t="s">
        <v>831</v>
      </c>
      <c r="C309" t="s">
        <v>35</v>
      </c>
      <c r="D309" t="s">
        <v>152</v>
      </c>
      <c r="E309" t="s">
        <v>832</v>
      </c>
      <c r="F309" t="s">
        <v>182</v>
      </c>
      <c r="G309">
        <f>HYPERLINK("http://clipc-services.ceda.ac.uk/dreq/u/ced45b8b1f2797c54425755202dce533.html","web")</f>
        <v>0</v>
      </c>
      <c r="J309" t="s">
        <v>833</v>
      </c>
      <c r="K309" t="s">
        <v>675</v>
      </c>
      <c r="M309" t="s">
        <v>182</v>
      </c>
    </row>
    <row r="310" spans="1:13">
      <c r="A310" t="s">
        <v>625</v>
      </c>
      <c r="B310" t="s">
        <v>834</v>
      </c>
      <c r="C310" t="s">
        <v>35</v>
      </c>
      <c r="D310" t="s">
        <v>666</v>
      </c>
      <c r="E310" t="s">
        <v>835</v>
      </c>
      <c r="F310" t="s">
        <v>325</v>
      </c>
      <c r="G310">
        <f>HYPERLINK("http://clipc-services.ceda.ac.uk/dreq/u/c972ffd4-c5f0-11e6-ac20-5404a60d96b5.html","web")</f>
        <v>0</v>
      </c>
      <c r="J310" t="s">
        <v>836</v>
      </c>
      <c r="K310" t="s">
        <v>626</v>
      </c>
      <c r="M310" t="s">
        <v>325</v>
      </c>
    </row>
    <row r="311" spans="1:13">
      <c r="A311" t="s">
        <v>625</v>
      </c>
      <c r="B311" t="s">
        <v>837</v>
      </c>
      <c r="C311" t="s">
        <v>35</v>
      </c>
      <c r="D311" t="s">
        <v>666</v>
      </c>
      <c r="E311" t="s">
        <v>838</v>
      </c>
      <c r="F311" t="s">
        <v>325</v>
      </c>
      <c r="G311">
        <f>HYPERLINK("http://clipc-services.ceda.ac.uk/dreq/u/c972f264-c5f0-11e6-ac20-5404a60d96b5.html","web")</f>
        <v>0</v>
      </c>
      <c r="J311" t="s">
        <v>839</v>
      </c>
      <c r="K311" t="s">
        <v>626</v>
      </c>
      <c r="M311" t="s">
        <v>325</v>
      </c>
    </row>
    <row r="312" spans="1:13">
      <c r="A312" t="s">
        <v>625</v>
      </c>
      <c r="B312" t="s">
        <v>269</v>
      </c>
      <c r="C312" t="s">
        <v>16</v>
      </c>
      <c r="D312" t="s">
        <v>85</v>
      </c>
      <c r="E312" t="s">
        <v>270</v>
      </c>
      <c r="F312" t="s">
        <v>87</v>
      </c>
      <c r="G312">
        <f>HYPERLINK("http://clipc-services.ceda.ac.uk/dreq/u/ba20ea537eb672813c5a364655855b38.html","web")</f>
        <v>0</v>
      </c>
      <c r="J312" t="s">
        <v>271</v>
      </c>
      <c r="K312" t="s">
        <v>658</v>
      </c>
      <c r="M312" t="s">
        <v>87</v>
      </c>
    </row>
    <row r="313" spans="1:13">
      <c r="A313" t="s">
        <v>625</v>
      </c>
      <c r="B313" t="s">
        <v>840</v>
      </c>
      <c r="C313" t="s">
        <v>35</v>
      </c>
      <c r="D313" t="s">
        <v>152</v>
      </c>
      <c r="E313" t="s">
        <v>841</v>
      </c>
      <c r="F313" t="s">
        <v>842</v>
      </c>
      <c r="G313">
        <f>HYPERLINK("http://clipc-services.ceda.ac.uk/dreq/u/06942529e05aac1e9a39ca1f5737af2f.html","web")</f>
        <v>0</v>
      </c>
      <c r="J313" t="s">
        <v>843</v>
      </c>
      <c r="K313" t="s">
        <v>635</v>
      </c>
      <c r="M313" t="s">
        <v>842</v>
      </c>
    </row>
    <row r="314" spans="1:13">
      <c r="A314" t="s">
        <v>625</v>
      </c>
      <c r="B314" t="s">
        <v>844</v>
      </c>
      <c r="C314" t="s">
        <v>35</v>
      </c>
      <c r="D314" t="s">
        <v>152</v>
      </c>
      <c r="E314" t="s">
        <v>845</v>
      </c>
      <c r="F314" t="s">
        <v>842</v>
      </c>
      <c r="G314">
        <f>HYPERLINK("http://clipc-services.ceda.ac.uk/dreq/u/ab495084beb82a29c24bf6c226fd0e57.html","web")</f>
        <v>0</v>
      </c>
      <c r="J314" t="s">
        <v>843</v>
      </c>
      <c r="K314" t="s">
        <v>635</v>
      </c>
      <c r="M314" t="s">
        <v>842</v>
      </c>
    </row>
    <row r="315" spans="1:13">
      <c r="A315" t="s">
        <v>625</v>
      </c>
      <c r="B315" t="s">
        <v>275</v>
      </c>
      <c r="C315" t="s">
        <v>35</v>
      </c>
      <c r="D315" t="s">
        <v>85</v>
      </c>
      <c r="E315" t="s">
        <v>276</v>
      </c>
      <c r="F315" t="s">
        <v>277</v>
      </c>
      <c r="G315">
        <f>HYPERLINK("http://clipc-services.ceda.ac.uk/dreq/u/4c69515bfc84c5cb5624e94228f58351.html","web")</f>
        <v>0</v>
      </c>
      <c r="J315" t="s">
        <v>278</v>
      </c>
      <c r="K315" t="s">
        <v>846</v>
      </c>
      <c r="M315" t="s">
        <v>277</v>
      </c>
    </row>
    <row r="316" spans="1:13">
      <c r="A316" t="s">
        <v>625</v>
      </c>
      <c r="B316" t="s">
        <v>847</v>
      </c>
      <c r="C316" t="s">
        <v>50</v>
      </c>
      <c r="D316" t="s">
        <v>152</v>
      </c>
      <c r="E316" t="s">
        <v>848</v>
      </c>
      <c r="F316" t="s">
        <v>182</v>
      </c>
      <c r="G316">
        <f>HYPERLINK("http://clipc-services.ceda.ac.uk/dreq/u/f45dc6b68a774051705e099da83e79cf.html","web")</f>
        <v>0</v>
      </c>
      <c r="J316" t="s">
        <v>849</v>
      </c>
      <c r="K316" t="s">
        <v>850</v>
      </c>
      <c r="M316" t="s">
        <v>182</v>
      </c>
    </row>
    <row r="317" spans="1:13">
      <c r="A317" t="s">
        <v>625</v>
      </c>
      <c r="B317" t="s">
        <v>851</v>
      </c>
      <c r="C317" t="s">
        <v>50</v>
      </c>
      <c r="D317" t="s">
        <v>152</v>
      </c>
      <c r="E317" t="s">
        <v>852</v>
      </c>
      <c r="F317" t="s">
        <v>182</v>
      </c>
      <c r="G317">
        <f>HYPERLINK("http://clipc-services.ceda.ac.uk/dreq/u/87fbc4126ce4daecf084edf9ad1f4aaf.html","web")</f>
        <v>0</v>
      </c>
      <c r="J317" t="s">
        <v>849</v>
      </c>
      <c r="K317" t="s">
        <v>635</v>
      </c>
      <c r="M317" t="s">
        <v>182</v>
      </c>
    </row>
    <row r="318" spans="1:13">
      <c r="A318" t="s">
        <v>625</v>
      </c>
      <c r="B318" t="s">
        <v>853</v>
      </c>
      <c r="C318" t="s">
        <v>50</v>
      </c>
      <c r="D318" t="s">
        <v>152</v>
      </c>
      <c r="E318" t="s">
        <v>854</v>
      </c>
      <c r="F318" t="s">
        <v>182</v>
      </c>
      <c r="G318">
        <f>HYPERLINK("http://clipc-services.ceda.ac.uk/dreq/u/b76d616f8f03bb60a0dffa023dfd0525.html","web")</f>
        <v>0</v>
      </c>
      <c r="J318" t="s">
        <v>855</v>
      </c>
      <c r="K318" t="s">
        <v>635</v>
      </c>
      <c r="M318" t="s">
        <v>182</v>
      </c>
    </row>
    <row r="319" spans="1:13">
      <c r="A319" t="s">
        <v>625</v>
      </c>
      <c r="B319" t="s">
        <v>856</v>
      </c>
      <c r="C319" t="s">
        <v>50</v>
      </c>
      <c r="D319" t="s">
        <v>152</v>
      </c>
      <c r="E319" t="s">
        <v>857</v>
      </c>
      <c r="F319" t="s">
        <v>182</v>
      </c>
      <c r="G319">
        <f>HYPERLINK("http://clipc-services.ceda.ac.uk/dreq/u/7002f5a3bc5218f16a39f3dfabf42244.html","web")</f>
        <v>0</v>
      </c>
      <c r="J319" t="s">
        <v>855</v>
      </c>
      <c r="K319" t="s">
        <v>635</v>
      </c>
      <c r="M319" t="s">
        <v>182</v>
      </c>
    </row>
    <row r="320" spans="1:13">
      <c r="A320" t="s">
        <v>625</v>
      </c>
      <c r="B320" t="s">
        <v>858</v>
      </c>
      <c r="C320" t="s">
        <v>50</v>
      </c>
      <c r="D320" t="s">
        <v>152</v>
      </c>
      <c r="E320" t="s">
        <v>859</v>
      </c>
      <c r="F320" t="s">
        <v>182</v>
      </c>
      <c r="G320">
        <f>HYPERLINK("http://clipc-services.ceda.ac.uk/dreq/u/86e9eba62a2d7875705086a75ba7f78c.html","web")</f>
        <v>0</v>
      </c>
      <c r="J320" t="s">
        <v>855</v>
      </c>
      <c r="K320" t="s">
        <v>635</v>
      </c>
      <c r="M320" t="s">
        <v>182</v>
      </c>
    </row>
    <row r="321" spans="1:13">
      <c r="A321" t="s">
        <v>625</v>
      </c>
      <c r="B321" t="s">
        <v>860</v>
      </c>
      <c r="C321" t="s">
        <v>50</v>
      </c>
      <c r="D321" t="s">
        <v>152</v>
      </c>
      <c r="E321" t="s">
        <v>861</v>
      </c>
      <c r="F321" t="s">
        <v>182</v>
      </c>
      <c r="G321">
        <f>HYPERLINK("http://clipc-services.ceda.ac.uk/dreq/u/d0c290e7deb148591b62f8f050a885c2.html","web")</f>
        <v>0</v>
      </c>
      <c r="J321" t="s">
        <v>862</v>
      </c>
      <c r="K321" t="s">
        <v>635</v>
      </c>
      <c r="M321" t="s">
        <v>182</v>
      </c>
    </row>
    <row r="322" spans="1:13">
      <c r="A322" t="s">
        <v>625</v>
      </c>
      <c r="B322" t="s">
        <v>344</v>
      </c>
      <c r="C322" t="s">
        <v>35</v>
      </c>
      <c r="D322" t="s">
        <v>85</v>
      </c>
      <c r="E322" t="s">
        <v>345</v>
      </c>
      <c r="F322" t="s">
        <v>57</v>
      </c>
      <c r="G322">
        <f>HYPERLINK("http://clipc-services.ceda.ac.uk/dreq/u/44471dd9799293cef70ac63fcdd2476e.html","web")</f>
        <v>0</v>
      </c>
      <c r="J322" t="s">
        <v>346</v>
      </c>
      <c r="K322" t="s">
        <v>863</v>
      </c>
      <c r="M322" t="s">
        <v>57</v>
      </c>
    </row>
    <row r="323" spans="1:13">
      <c r="A323" t="s">
        <v>625</v>
      </c>
      <c r="B323" t="s">
        <v>279</v>
      </c>
      <c r="C323" t="s">
        <v>50</v>
      </c>
      <c r="D323" t="s">
        <v>85</v>
      </c>
      <c r="E323" t="s">
        <v>280</v>
      </c>
      <c r="F323" t="s">
        <v>87</v>
      </c>
      <c r="G323">
        <f>HYPERLINK("http://clipc-services.ceda.ac.uk/dreq/u/c9776970-c5f0-11e6-ac20-5404a60d96b5.html","web")</f>
        <v>0</v>
      </c>
      <c r="J323" t="s">
        <v>281</v>
      </c>
      <c r="K323" t="s">
        <v>626</v>
      </c>
      <c r="M323" t="s">
        <v>87</v>
      </c>
    </row>
    <row r="324" spans="1:13">
      <c r="A324" t="s">
        <v>625</v>
      </c>
      <c r="B324" t="s">
        <v>864</v>
      </c>
      <c r="C324" t="s">
        <v>16</v>
      </c>
      <c r="D324" t="s">
        <v>152</v>
      </c>
      <c r="E324" t="s">
        <v>865</v>
      </c>
      <c r="F324" t="s">
        <v>87</v>
      </c>
      <c r="G324">
        <f>HYPERLINK("http://clipc-services.ceda.ac.uk/dreq/u/c96d459e-c5f0-11e6-ac20-5404a60d96b5.html","web")</f>
        <v>0</v>
      </c>
      <c r="J324" t="s">
        <v>281</v>
      </c>
      <c r="K324" t="s">
        <v>626</v>
      </c>
      <c r="M324" t="s">
        <v>87</v>
      </c>
    </row>
    <row r="325" spans="1:13">
      <c r="A325" t="s">
        <v>625</v>
      </c>
      <c r="B325" t="s">
        <v>866</v>
      </c>
      <c r="C325" t="s">
        <v>16</v>
      </c>
      <c r="D325" t="s">
        <v>152</v>
      </c>
      <c r="E325" t="s">
        <v>867</v>
      </c>
      <c r="F325" t="s">
        <v>57</v>
      </c>
      <c r="G325">
        <f>HYPERLINK("http://clipc-services.ceda.ac.uk/dreq/u/f4b0302d898785a6003754fe9b097690.html","web")</f>
        <v>0</v>
      </c>
      <c r="J325" t="s">
        <v>868</v>
      </c>
      <c r="K325" t="s">
        <v>869</v>
      </c>
      <c r="M325" t="s">
        <v>57</v>
      </c>
    </row>
    <row r="326" spans="1:13">
      <c r="A326" t="s">
        <v>625</v>
      </c>
      <c r="B326" t="s">
        <v>870</v>
      </c>
      <c r="C326" t="s">
        <v>16</v>
      </c>
      <c r="D326" t="s">
        <v>152</v>
      </c>
      <c r="E326" t="s">
        <v>871</v>
      </c>
      <c r="F326" t="s">
        <v>57</v>
      </c>
      <c r="G326">
        <f>HYPERLINK("http://clipc-services.ceda.ac.uk/dreq/u/7324bbd4b756759ef380f305fe5856b2.html","web")</f>
        <v>0</v>
      </c>
      <c r="J326" t="s">
        <v>872</v>
      </c>
      <c r="K326" t="s">
        <v>869</v>
      </c>
      <c r="M326" t="s">
        <v>57</v>
      </c>
    </row>
    <row r="328" spans="1:13">
      <c r="A328" t="s">
        <v>873</v>
      </c>
      <c r="B328" t="s">
        <v>71</v>
      </c>
      <c r="C328" t="s">
        <v>16</v>
      </c>
      <c r="D328" t="s">
        <v>874</v>
      </c>
      <c r="E328" t="s">
        <v>73</v>
      </c>
      <c r="F328" t="s">
        <v>74</v>
      </c>
      <c r="G328">
        <f>HYPERLINK("http://clipc-services.ceda.ac.uk/dreq/u/5914a1ea-9e49-11e5-803c-0d0b866b59f3.html","web")</f>
        <v>0</v>
      </c>
      <c r="J328" t="s">
        <v>75</v>
      </c>
      <c r="K328" t="s">
        <v>76</v>
      </c>
      <c r="M328" t="s">
        <v>74</v>
      </c>
    </row>
    <row r="329" spans="1:13">
      <c r="A329" t="s">
        <v>873</v>
      </c>
      <c r="B329" t="s">
        <v>77</v>
      </c>
      <c r="C329" t="s">
        <v>50</v>
      </c>
      <c r="D329" t="s">
        <v>874</v>
      </c>
      <c r="E329" t="s">
        <v>78</v>
      </c>
      <c r="F329" t="s">
        <v>57</v>
      </c>
      <c r="G329">
        <f>HYPERLINK("http://clipc-services.ceda.ac.uk/dreq/u/59176b14-9e49-11e5-803c-0d0b866b59f3.html","web")</f>
        <v>0</v>
      </c>
      <c r="J329" t="s">
        <v>79</v>
      </c>
      <c r="K329" t="s">
        <v>76</v>
      </c>
      <c r="M329" t="s">
        <v>57</v>
      </c>
    </row>
    <row r="330" spans="1:13">
      <c r="A330" t="s">
        <v>873</v>
      </c>
      <c r="B330" t="s">
        <v>80</v>
      </c>
      <c r="C330" t="s">
        <v>50</v>
      </c>
      <c r="D330" t="s">
        <v>874</v>
      </c>
      <c r="E330" t="s">
        <v>81</v>
      </c>
      <c r="F330" t="s">
        <v>57</v>
      </c>
      <c r="G330">
        <f>HYPERLINK("http://clipc-services.ceda.ac.uk/dreq/u/59148cf0-9e49-11e5-803c-0d0b866b59f3.html","web")</f>
        <v>0</v>
      </c>
      <c r="J330" t="s">
        <v>82</v>
      </c>
      <c r="K330" t="s">
        <v>76</v>
      </c>
      <c r="M330" t="s">
        <v>57</v>
      </c>
    </row>
    <row r="332" spans="1:13">
      <c r="A332" t="s">
        <v>875</v>
      </c>
      <c r="B332" t="s">
        <v>349</v>
      </c>
      <c r="C332" t="s">
        <v>50</v>
      </c>
      <c r="D332" t="s">
        <v>350</v>
      </c>
      <c r="E332" t="s">
        <v>351</v>
      </c>
      <c r="F332" t="s">
        <v>352</v>
      </c>
      <c r="G332">
        <f>HYPERLINK("http://clipc-services.ceda.ac.uk/dreq/u/9522ca96d0b066ebe8defd5541de0582.html","web")</f>
        <v>0</v>
      </c>
      <c r="J332" t="s">
        <v>353</v>
      </c>
      <c r="K332" t="s">
        <v>876</v>
      </c>
      <c r="M332" t="s">
        <v>352</v>
      </c>
    </row>
    <row r="333" spans="1:13">
      <c r="A333" t="s">
        <v>875</v>
      </c>
      <c r="B333" t="s">
        <v>355</v>
      </c>
      <c r="C333" t="s">
        <v>35</v>
      </c>
      <c r="D333" t="s">
        <v>350</v>
      </c>
      <c r="E333" t="s">
        <v>356</v>
      </c>
      <c r="F333" t="s">
        <v>352</v>
      </c>
      <c r="G333">
        <f>HYPERLINK("http://clipc-services.ceda.ac.uk/dreq/u/85631e0f7a8fdcb10737a525f4134181.html","web")</f>
        <v>0</v>
      </c>
      <c r="J333" t="s">
        <v>357</v>
      </c>
      <c r="K333" t="s">
        <v>876</v>
      </c>
      <c r="M333" t="s">
        <v>352</v>
      </c>
    </row>
    <row r="334" spans="1:13">
      <c r="A334" t="s">
        <v>875</v>
      </c>
      <c r="B334" t="s">
        <v>877</v>
      </c>
      <c r="C334" t="s">
        <v>35</v>
      </c>
      <c r="D334" t="s">
        <v>350</v>
      </c>
      <c r="E334" t="s">
        <v>878</v>
      </c>
      <c r="F334" t="s">
        <v>464</v>
      </c>
      <c r="G334">
        <f>HYPERLINK("http://clipc-services.ceda.ac.uk/dreq/u/59137d56-9e49-11e5-803c-0d0b866b59f3.html","web")</f>
        <v>0</v>
      </c>
      <c r="J334" t="s">
        <v>879</v>
      </c>
      <c r="K334" t="s">
        <v>880</v>
      </c>
      <c r="M334" t="s">
        <v>464</v>
      </c>
    </row>
    <row r="335" spans="1:13">
      <c r="A335" t="s">
        <v>875</v>
      </c>
      <c r="B335" t="s">
        <v>881</v>
      </c>
      <c r="C335" t="s">
        <v>35</v>
      </c>
      <c r="D335" t="s">
        <v>350</v>
      </c>
      <c r="E335" t="s">
        <v>882</v>
      </c>
      <c r="F335" t="s">
        <v>464</v>
      </c>
      <c r="G335">
        <f>HYPERLINK("http://clipc-services.ceda.ac.uk/dreq/u/59137fd6-9e49-11e5-803c-0d0b866b59f3.html","web")</f>
        <v>0</v>
      </c>
      <c r="J335" t="s">
        <v>883</v>
      </c>
      <c r="K335" t="s">
        <v>880</v>
      </c>
      <c r="M335" t="s">
        <v>464</v>
      </c>
    </row>
    <row r="336" spans="1:13">
      <c r="A336" t="s">
        <v>875</v>
      </c>
      <c r="B336" t="s">
        <v>884</v>
      </c>
      <c r="C336" t="s">
        <v>35</v>
      </c>
      <c r="D336" t="s">
        <v>350</v>
      </c>
      <c r="E336" t="s">
        <v>885</v>
      </c>
      <c r="F336" t="s">
        <v>95</v>
      </c>
      <c r="G336">
        <f>HYPERLINK("http://clipc-services.ceda.ac.uk/dreq/u/590db8c6-9e49-11e5-803c-0d0b866b59f3.html","web")</f>
        <v>0</v>
      </c>
      <c r="J336" t="s">
        <v>886</v>
      </c>
      <c r="K336" t="s">
        <v>880</v>
      </c>
      <c r="M336" t="s">
        <v>95</v>
      </c>
    </row>
    <row r="337" spans="1:13">
      <c r="A337" t="s">
        <v>875</v>
      </c>
      <c r="B337" t="s">
        <v>887</v>
      </c>
      <c r="C337" t="s">
        <v>35</v>
      </c>
      <c r="D337" t="s">
        <v>350</v>
      </c>
      <c r="E337" t="s">
        <v>888</v>
      </c>
      <c r="F337" t="s">
        <v>95</v>
      </c>
      <c r="G337">
        <f>HYPERLINK("http://clipc-services.ceda.ac.uk/dreq/u/5917ff52-9e49-11e5-803c-0d0b866b59f3.html","web")</f>
        <v>0</v>
      </c>
      <c r="J337" t="s">
        <v>889</v>
      </c>
      <c r="K337" t="s">
        <v>880</v>
      </c>
      <c r="M337" t="s">
        <v>95</v>
      </c>
    </row>
    <row r="338" spans="1:13">
      <c r="A338" t="s">
        <v>875</v>
      </c>
      <c r="B338" t="s">
        <v>362</v>
      </c>
      <c r="C338" t="s">
        <v>50</v>
      </c>
      <c r="D338" t="s">
        <v>350</v>
      </c>
      <c r="E338" t="s">
        <v>363</v>
      </c>
      <c r="F338" t="s">
        <v>24</v>
      </c>
      <c r="G338">
        <f>HYPERLINK("http://clipc-services.ceda.ac.uk/dreq/u/590fa2bc-9e49-11e5-803c-0d0b866b59f3.html","web")</f>
        <v>0</v>
      </c>
      <c r="J338" t="s">
        <v>364</v>
      </c>
      <c r="K338" t="s">
        <v>876</v>
      </c>
      <c r="M338" t="s">
        <v>24</v>
      </c>
    </row>
    <row r="339" spans="1:13">
      <c r="A339" t="s">
        <v>875</v>
      </c>
      <c r="B339" t="s">
        <v>890</v>
      </c>
      <c r="C339" t="s">
        <v>35</v>
      </c>
      <c r="D339" t="s">
        <v>350</v>
      </c>
      <c r="E339" t="s">
        <v>891</v>
      </c>
      <c r="F339" t="s">
        <v>892</v>
      </c>
      <c r="G339">
        <f>HYPERLINK("http://clipc-services.ceda.ac.uk/dreq/u/e51c1fc2-00a7-11e6-a8a4-5404a60d96b5.html","web")</f>
        <v>0</v>
      </c>
      <c r="J339" t="s">
        <v>893</v>
      </c>
      <c r="K339" t="s">
        <v>880</v>
      </c>
      <c r="M339" t="s">
        <v>892</v>
      </c>
    </row>
    <row r="340" spans="1:13">
      <c r="A340" t="s">
        <v>875</v>
      </c>
      <c r="B340" t="s">
        <v>372</v>
      </c>
      <c r="C340" t="s">
        <v>50</v>
      </c>
      <c r="D340" t="s">
        <v>350</v>
      </c>
      <c r="E340" t="s">
        <v>373</v>
      </c>
      <c r="F340" t="s">
        <v>374</v>
      </c>
      <c r="G340">
        <f>HYPERLINK("http://clipc-services.ceda.ac.uk/dreq/u/ba7be4134a9cf4838434bf204d80b903.html","web")</f>
        <v>0</v>
      </c>
      <c r="J340" t="s">
        <v>375</v>
      </c>
      <c r="K340" t="s">
        <v>876</v>
      </c>
      <c r="M340" t="s">
        <v>374</v>
      </c>
    </row>
    <row r="341" spans="1:13">
      <c r="A341" t="s">
        <v>875</v>
      </c>
      <c r="B341" t="s">
        <v>376</v>
      </c>
      <c r="C341" t="s">
        <v>50</v>
      </c>
      <c r="D341" t="s">
        <v>350</v>
      </c>
      <c r="E341" t="s">
        <v>377</v>
      </c>
      <c r="F341" t="s">
        <v>374</v>
      </c>
      <c r="G341">
        <f>HYPERLINK("http://clipc-services.ceda.ac.uk/dreq/u/c64364df884a3cebaa7aebb664260776.html","web")</f>
        <v>0</v>
      </c>
      <c r="J341" t="s">
        <v>378</v>
      </c>
      <c r="K341" t="s">
        <v>876</v>
      </c>
      <c r="M341" t="s">
        <v>374</v>
      </c>
    </row>
    <row r="342" spans="1:13">
      <c r="A342" t="s">
        <v>875</v>
      </c>
      <c r="B342" t="s">
        <v>894</v>
      </c>
      <c r="C342" t="s">
        <v>50</v>
      </c>
      <c r="D342" t="s">
        <v>350</v>
      </c>
      <c r="E342" t="s">
        <v>895</v>
      </c>
      <c r="F342" t="s">
        <v>325</v>
      </c>
      <c r="G342">
        <f>HYPERLINK("http://clipc-services.ceda.ac.uk/dreq/u/591472f6-9e49-11e5-803c-0d0b866b59f3.html","web")</f>
        <v>0</v>
      </c>
      <c r="J342" t="s">
        <v>896</v>
      </c>
      <c r="K342" t="s">
        <v>21</v>
      </c>
      <c r="M342" t="s">
        <v>325</v>
      </c>
    </row>
    <row r="343" spans="1:13">
      <c r="A343" t="s">
        <v>875</v>
      </c>
      <c r="B343" t="s">
        <v>897</v>
      </c>
      <c r="C343" t="s">
        <v>50</v>
      </c>
      <c r="D343" t="s">
        <v>350</v>
      </c>
      <c r="E343" t="s">
        <v>898</v>
      </c>
      <c r="F343" t="s">
        <v>325</v>
      </c>
      <c r="G343">
        <f>HYPERLINK("http://clipc-services.ceda.ac.uk/dreq/u/59132e1e-9e49-11e5-803c-0d0b866b59f3.html","web")</f>
        <v>0</v>
      </c>
      <c r="J343" t="s">
        <v>899</v>
      </c>
      <c r="K343" t="s">
        <v>21</v>
      </c>
      <c r="M343" t="s">
        <v>325</v>
      </c>
    </row>
    <row r="344" spans="1:13">
      <c r="A344" t="s">
        <v>875</v>
      </c>
      <c r="B344" t="s">
        <v>900</v>
      </c>
      <c r="C344" t="s">
        <v>35</v>
      </c>
      <c r="D344" t="s">
        <v>350</v>
      </c>
      <c r="E344" t="s">
        <v>901</v>
      </c>
      <c r="F344" t="s">
        <v>19</v>
      </c>
      <c r="G344">
        <f>HYPERLINK("http://clipc-services.ceda.ac.uk/dreq/u/00efa75221917486576896481325ce2f.html","web")</f>
        <v>0</v>
      </c>
      <c r="J344" t="s">
        <v>902</v>
      </c>
      <c r="K344" t="s">
        <v>880</v>
      </c>
      <c r="M344" t="s">
        <v>19</v>
      </c>
    </row>
    <row r="346" spans="1:13">
      <c r="A346" t="s">
        <v>903</v>
      </c>
      <c r="B346" t="s">
        <v>323</v>
      </c>
      <c r="C346" t="s">
        <v>35</v>
      </c>
      <c r="D346" t="s">
        <v>152</v>
      </c>
      <c r="E346" t="s">
        <v>324</v>
      </c>
      <c r="F346" t="s">
        <v>325</v>
      </c>
      <c r="G346">
        <f>HYPERLINK("http://clipc-services.ceda.ac.uk/dreq/u/13484743dd3369c69df93379e6dafbb5.html","web")</f>
        <v>0</v>
      </c>
      <c r="J346" t="s">
        <v>326</v>
      </c>
      <c r="K346" t="s">
        <v>904</v>
      </c>
      <c r="M346" t="s">
        <v>325</v>
      </c>
    </row>
    <row r="347" spans="1:13">
      <c r="A347" t="s">
        <v>903</v>
      </c>
      <c r="B347" t="s">
        <v>328</v>
      </c>
      <c r="C347" t="s">
        <v>35</v>
      </c>
      <c r="D347" t="s">
        <v>152</v>
      </c>
      <c r="E347" t="s">
        <v>329</v>
      </c>
      <c r="F347" t="s">
        <v>325</v>
      </c>
      <c r="G347">
        <f>HYPERLINK("http://clipc-services.ceda.ac.uk/dreq/u/0062272a6a4176b8c32af87642b062c5.html","web")</f>
        <v>0</v>
      </c>
      <c r="J347" t="s">
        <v>330</v>
      </c>
      <c r="K347" t="s">
        <v>904</v>
      </c>
      <c r="M347" t="s">
        <v>325</v>
      </c>
    </row>
    <row r="348" spans="1:13">
      <c r="A348" t="s">
        <v>903</v>
      </c>
      <c r="B348" t="s">
        <v>905</v>
      </c>
      <c r="C348" t="s">
        <v>16</v>
      </c>
      <c r="D348" t="s">
        <v>906</v>
      </c>
      <c r="E348" t="s">
        <v>907</v>
      </c>
      <c r="F348" t="s">
        <v>908</v>
      </c>
      <c r="G348">
        <f>HYPERLINK("http://clipc-services.ceda.ac.uk/dreq/u/c92e83db9d11646c271cc3ca75aaa267.html","web")</f>
        <v>0</v>
      </c>
      <c r="J348" t="s">
        <v>909</v>
      </c>
      <c r="K348" t="s">
        <v>910</v>
      </c>
      <c r="M348" t="s">
        <v>908</v>
      </c>
    </row>
    <row r="349" spans="1:13">
      <c r="A349" t="s">
        <v>903</v>
      </c>
      <c r="B349" t="s">
        <v>911</v>
      </c>
      <c r="C349" t="s">
        <v>16</v>
      </c>
      <c r="D349" t="s">
        <v>906</v>
      </c>
      <c r="E349" t="s">
        <v>912</v>
      </c>
      <c r="F349" t="s">
        <v>908</v>
      </c>
      <c r="G349">
        <f>HYPERLINK("http://clipc-services.ceda.ac.uk/dreq/u/4f875cf09480e892812e0d76a67aff79.html","web")</f>
        <v>0</v>
      </c>
      <c r="J349" t="s">
        <v>913</v>
      </c>
      <c r="K349" t="s">
        <v>910</v>
      </c>
      <c r="M349" t="s">
        <v>908</v>
      </c>
    </row>
    <row r="350" spans="1:13">
      <c r="A350" t="s">
        <v>903</v>
      </c>
      <c r="B350" t="s">
        <v>914</v>
      </c>
      <c r="C350" t="s">
        <v>16</v>
      </c>
      <c r="D350" t="s">
        <v>906</v>
      </c>
      <c r="E350" t="s">
        <v>915</v>
      </c>
      <c r="F350" t="s">
        <v>908</v>
      </c>
      <c r="G350">
        <f>HYPERLINK("http://clipc-services.ceda.ac.uk/dreq/u/d833c036446ac363dcdf22027e28c0ed.html","web")</f>
        <v>0</v>
      </c>
      <c r="J350" t="s">
        <v>916</v>
      </c>
      <c r="K350" t="s">
        <v>910</v>
      </c>
      <c r="M350" t="s">
        <v>908</v>
      </c>
    </row>
    <row r="351" spans="1:13">
      <c r="A351" t="s">
        <v>903</v>
      </c>
      <c r="B351" t="s">
        <v>412</v>
      </c>
      <c r="C351" t="s">
        <v>35</v>
      </c>
      <c r="D351" t="s">
        <v>152</v>
      </c>
      <c r="E351" t="s">
        <v>413</v>
      </c>
      <c r="F351" t="s">
        <v>35</v>
      </c>
      <c r="G351">
        <f>HYPERLINK("http://clipc-services.ceda.ac.uk/dreq/u/29fae9ea0f236a3eb144026e1bafde28.html","web")</f>
        <v>0</v>
      </c>
      <c r="J351" t="s">
        <v>414</v>
      </c>
      <c r="K351" t="s">
        <v>917</v>
      </c>
      <c r="M351" t="s">
        <v>35</v>
      </c>
    </row>
    <row r="352" spans="1:13">
      <c r="A352" t="s">
        <v>903</v>
      </c>
      <c r="B352" t="s">
        <v>918</v>
      </c>
      <c r="C352" t="s">
        <v>35</v>
      </c>
      <c r="D352" t="s">
        <v>919</v>
      </c>
      <c r="E352" t="s">
        <v>920</v>
      </c>
      <c r="F352" t="s">
        <v>892</v>
      </c>
      <c r="G352">
        <f>HYPERLINK("http://clipc-services.ceda.ac.uk/dreq/u/9bb9a503065dfbd30c9bbe5c3c6abf99.html","web")</f>
        <v>0</v>
      </c>
      <c r="J352" t="s">
        <v>921</v>
      </c>
      <c r="K352" t="s">
        <v>922</v>
      </c>
      <c r="M352" t="s">
        <v>892</v>
      </c>
    </row>
    <row r="353" spans="1:13">
      <c r="A353" t="s">
        <v>903</v>
      </c>
      <c r="B353" t="s">
        <v>923</v>
      </c>
      <c r="C353" t="s">
        <v>35</v>
      </c>
      <c r="D353" t="s">
        <v>924</v>
      </c>
      <c r="E353" t="s">
        <v>920</v>
      </c>
      <c r="F353" t="s">
        <v>892</v>
      </c>
      <c r="G353">
        <f>HYPERLINK("http://clipc-services.ceda.ac.uk/dreq/u/9bb9a503065dfbd30c9bbe5c3c6abf99.html","web")</f>
        <v>0</v>
      </c>
      <c r="J353" t="s">
        <v>921</v>
      </c>
      <c r="K353" t="s">
        <v>922</v>
      </c>
      <c r="M353" t="s">
        <v>892</v>
      </c>
    </row>
    <row r="354" spans="1:13">
      <c r="A354" t="s">
        <v>903</v>
      </c>
      <c r="B354" t="s">
        <v>925</v>
      </c>
      <c r="C354" t="s">
        <v>35</v>
      </c>
      <c r="D354" t="s">
        <v>906</v>
      </c>
      <c r="E354" t="s">
        <v>926</v>
      </c>
      <c r="F354" t="s">
        <v>927</v>
      </c>
      <c r="G354">
        <f>HYPERLINK("http://clipc-services.ceda.ac.uk/dreq/u/ddf060894b16cf89e906ecfedbba4ffb.html","web")</f>
        <v>0</v>
      </c>
      <c r="J354" t="s">
        <v>928</v>
      </c>
      <c r="K354" t="s">
        <v>929</v>
      </c>
      <c r="M354" t="s">
        <v>927</v>
      </c>
    </row>
    <row r="355" spans="1:13">
      <c r="A355" t="s">
        <v>903</v>
      </c>
      <c r="B355" t="s">
        <v>930</v>
      </c>
      <c r="C355" t="s">
        <v>35</v>
      </c>
      <c r="D355" t="s">
        <v>931</v>
      </c>
      <c r="E355" t="s">
        <v>926</v>
      </c>
      <c r="F355" t="s">
        <v>927</v>
      </c>
      <c r="G355">
        <f>HYPERLINK("http://clipc-services.ceda.ac.uk/dreq/u/ddf060894b16cf89e906ecfedbba4ffb.html","web")</f>
        <v>0</v>
      </c>
      <c r="J355" t="s">
        <v>928</v>
      </c>
      <c r="K355" t="s">
        <v>922</v>
      </c>
      <c r="M355" t="s">
        <v>927</v>
      </c>
    </row>
    <row r="356" spans="1:13">
      <c r="A356" t="s">
        <v>903</v>
      </c>
      <c r="B356" t="s">
        <v>422</v>
      </c>
      <c r="C356" t="s">
        <v>35</v>
      </c>
      <c r="D356" t="s">
        <v>152</v>
      </c>
      <c r="E356" t="s">
        <v>423</v>
      </c>
      <c r="F356" t="s">
        <v>182</v>
      </c>
      <c r="G356">
        <f>HYPERLINK("http://clipc-services.ceda.ac.uk/dreq/u/5e49c0b73ac161d5e5dd05173416c400.html","web")</f>
        <v>0</v>
      </c>
      <c r="J356" t="s">
        <v>424</v>
      </c>
      <c r="K356" t="s">
        <v>932</v>
      </c>
      <c r="M356" t="s">
        <v>182</v>
      </c>
    </row>
    <row r="357" spans="1:13">
      <c r="A357" t="s">
        <v>903</v>
      </c>
      <c r="B357" t="s">
        <v>933</v>
      </c>
      <c r="C357" t="s">
        <v>16</v>
      </c>
      <c r="D357" t="s">
        <v>906</v>
      </c>
      <c r="E357" t="s">
        <v>934</v>
      </c>
      <c r="F357" t="s">
        <v>908</v>
      </c>
      <c r="G357">
        <f>HYPERLINK("http://clipc-services.ceda.ac.uk/dreq/u/2c1d2748570f208b1dde04d1e926b5e0.html","web")</f>
        <v>0</v>
      </c>
      <c r="J357" t="s">
        <v>935</v>
      </c>
      <c r="K357" t="s">
        <v>910</v>
      </c>
      <c r="M357" t="s">
        <v>908</v>
      </c>
    </row>
    <row r="358" spans="1:13">
      <c r="A358" t="s">
        <v>903</v>
      </c>
      <c r="B358" t="s">
        <v>339</v>
      </c>
      <c r="C358" t="s">
        <v>35</v>
      </c>
      <c r="D358" t="s">
        <v>340</v>
      </c>
      <c r="E358" t="s">
        <v>341</v>
      </c>
      <c r="F358" t="s">
        <v>182</v>
      </c>
      <c r="G358">
        <f>HYPERLINK("http://clipc-services.ceda.ac.uk/dreq/u/6d790fe4caa7feff46a41ae7b3811e52.html","web")</f>
        <v>0</v>
      </c>
      <c r="J358" t="s">
        <v>342</v>
      </c>
      <c r="K358" t="s">
        <v>936</v>
      </c>
      <c r="M358" t="s">
        <v>182</v>
      </c>
    </row>
    <row r="359" spans="1:13">
      <c r="A359" t="s">
        <v>903</v>
      </c>
      <c r="B359" t="s">
        <v>937</v>
      </c>
      <c r="C359" t="s">
        <v>35</v>
      </c>
      <c r="D359" t="s">
        <v>919</v>
      </c>
      <c r="E359" t="s">
        <v>938</v>
      </c>
      <c r="F359" t="s">
        <v>892</v>
      </c>
      <c r="G359">
        <f>HYPERLINK("http://clipc-services.ceda.ac.uk/dreq/u/942125e5a461fef57b1477b9a2bd5fa0.html","web")</f>
        <v>0</v>
      </c>
      <c r="J359" t="s">
        <v>939</v>
      </c>
      <c r="K359" t="s">
        <v>922</v>
      </c>
      <c r="M359" t="s">
        <v>892</v>
      </c>
    </row>
    <row r="360" spans="1:13">
      <c r="A360" t="s">
        <v>903</v>
      </c>
      <c r="B360" t="s">
        <v>940</v>
      </c>
      <c r="C360" t="s">
        <v>35</v>
      </c>
      <c r="D360" t="s">
        <v>924</v>
      </c>
      <c r="E360" t="s">
        <v>938</v>
      </c>
      <c r="F360" t="s">
        <v>892</v>
      </c>
      <c r="G360">
        <f>HYPERLINK("http://clipc-services.ceda.ac.uk/dreq/u/942125e5a461fef57b1477b9a2bd5fa0.html","web")</f>
        <v>0</v>
      </c>
      <c r="J360" t="s">
        <v>939</v>
      </c>
      <c r="K360" t="s">
        <v>922</v>
      </c>
      <c r="M360" t="s">
        <v>892</v>
      </c>
    </row>
    <row r="361" spans="1:13">
      <c r="A361" t="s">
        <v>903</v>
      </c>
      <c r="B361" t="s">
        <v>941</v>
      </c>
      <c r="C361" t="s">
        <v>35</v>
      </c>
      <c r="D361" t="s">
        <v>906</v>
      </c>
      <c r="E361" t="s">
        <v>942</v>
      </c>
      <c r="F361" t="s">
        <v>943</v>
      </c>
      <c r="G361">
        <f>HYPERLINK("http://clipc-services.ceda.ac.uk/dreq/u/09c328529f2fac58c1b016da33ba394c.html","web")</f>
        <v>0</v>
      </c>
      <c r="J361" t="s">
        <v>944</v>
      </c>
      <c r="K361" t="s">
        <v>922</v>
      </c>
      <c r="M361" t="s">
        <v>943</v>
      </c>
    </row>
    <row r="362" spans="1:13">
      <c r="A362" t="s">
        <v>903</v>
      </c>
      <c r="B362" t="s">
        <v>945</v>
      </c>
      <c r="C362" t="s">
        <v>35</v>
      </c>
      <c r="D362" t="s">
        <v>931</v>
      </c>
      <c r="E362" t="s">
        <v>942</v>
      </c>
      <c r="F362" t="s">
        <v>943</v>
      </c>
      <c r="G362">
        <f>HYPERLINK("http://clipc-services.ceda.ac.uk/dreq/u/09c328529f2fac58c1b016da33ba394c.html","web")</f>
        <v>0</v>
      </c>
      <c r="J362" t="s">
        <v>944</v>
      </c>
      <c r="K362" t="s">
        <v>922</v>
      </c>
      <c r="M362" t="s">
        <v>943</v>
      </c>
    </row>
    <row r="363" spans="1:13">
      <c r="A363" t="s">
        <v>903</v>
      </c>
      <c r="B363" t="s">
        <v>459</v>
      </c>
      <c r="C363" t="s">
        <v>35</v>
      </c>
      <c r="D363" t="s">
        <v>152</v>
      </c>
      <c r="E363" t="s">
        <v>460</v>
      </c>
      <c r="F363" t="s">
        <v>35</v>
      </c>
      <c r="G363">
        <f>HYPERLINK("http://clipc-services.ceda.ac.uk/dreq/u/8de0f30b91b15720398fc10fd712a182.html","web")</f>
        <v>0</v>
      </c>
      <c r="J363" t="s">
        <v>461</v>
      </c>
      <c r="K363" t="s">
        <v>946</v>
      </c>
      <c r="M363" t="s">
        <v>35</v>
      </c>
    </row>
    <row r="365" spans="1:13">
      <c r="A365" t="s">
        <v>947</v>
      </c>
      <c r="B365" t="s">
        <v>948</v>
      </c>
      <c r="C365" t="s">
        <v>16</v>
      </c>
      <c r="D365" t="s">
        <v>152</v>
      </c>
      <c r="E365" t="s">
        <v>949</v>
      </c>
      <c r="F365" t="s">
        <v>182</v>
      </c>
      <c r="G365">
        <f>HYPERLINK("http://clipc-services.ceda.ac.uk/dreq/u/7553003ead183dd3276108b6311a337f.html","web")</f>
        <v>0</v>
      </c>
      <c r="J365" t="s">
        <v>950</v>
      </c>
      <c r="K365" t="s">
        <v>951</v>
      </c>
      <c r="M365" t="s">
        <v>182</v>
      </c>
    </row>
    <row r="366" spans="1:13">
      <c r="A366" t="s">
        <v>947</v>
      </c>
      <c r="B366" t="s">
        <v>952</v>
      </c>
      <c r="C366" t="s">
        <v>35</v>
      </c>
      <c r="D366" t="s">
        <v>953</v>
      </c>
      <c r="E366" t="s">
        <v>954</v>
      </c>
      <c r="F366" t="s">
        <v>374</v>
      </c>
      <c r="G366">
        <f>HYPERLINK("http://clipc-services.ceda.ac.uk/dreq/u/e4b039da-b621-11e6-bbe2-ac72891c3257.html","web")</f>
        <v>0</v>
      </c>
      <c r="J366" t="s">
        <v>955</v>
      </c>
      <c r="K366" t="s">
        <v>956</v>
      </c>
      <c r="M366" t="s">
        <v>374</v>
      </c>
    </row>
    <row r="368" spans="1:13">
      <c r="A368" t="s">
        <v>957</v>
      </c>
      <c r="B368" t="s">
        <v>958</v>
      </c>
      <c r="C368" t="s">
        <v>35</v>
      </c>
      <c r="D368" t="s">
        <v>550</v>
      </c>
      <c r="E368" t="s">
        <v>959</v>
      </c>
      <c r="F368" t="s">
        <v>960</v>
      </c>
      <c r="G368">
        <f>HYPERLINK("http://clipc-services.ceda.ac.uk/dreq/u/98114e26-b896-11e6-a189-5404a60d96b5.html","web")</f>
        <v>0</v>
      </c>
      <c r="J368" t="s">
        <v>961</v>
      </c>
      <c r="K368" t="s">
        <v>962</v>
      </c>
      <c r="M368" t="s">
        <v>960</v>
      </c>
    </row>
    <row r="369" spans="1:13">
      <c r="A369" t="s">
        <v>957</v>
      </c>
      <c r="B369" t="s">
        <v>963</v>
      </c>
      <c r="C369" t="s">
        <v>35</v>
      </c>
      <c r="D369" t="s">
        <v>550</v>
      </c>
      <c r="E369" t="s">
        <v>964</v>
      </c>
      <c r="F369" t="s">
        <v>892</v>
      </c>
      <c r="G369">
        <f>HYPERLINK("http://clipc-services.ceda.ac.uk/dreq/u/e8d5bdfd24b275f0530646361967483d.html","web")</f>
        <v>0</v>
      </c>
      <c r="J369" t="s">
        <v>921</v>
      </c>
      <c r="K369" t="s">
        <v>962</v>
      </c>
      <c r="M369" t="s">
        <v>892</v>
      </c>
    </row>
    <row r="370" spans="1:13">
      <c r="A370" t="s">
        <v>957</v>
      </c>
      <c r="B370" t="s">
        <v>965</v>
      </c>
      <c r="C370" t="s">
        <v>35</v>
      </c>
      <c r="D370" t="s">
        <v>152</v>
      </c>
      <c r="E370" t="s">
        <v>966</v>
      </c>
      <c r="F370" t="s">
        <v>967</v>
      </c>
      <c r="G370">
        <f>HYPERLINK("http://clipc-services.ceda.ac.uk/dreq/u/5fb2c6633cdd98673b7b12d257575460.html","web")</f>
        <v>0</v>
      </c>
      <c r="J370" t="s">
        <v>968</v>
      </c>
      <c r="K370" t="s">
        <v>969</v>
      </c>
      <c r="M370" t="s">
        <v>967</v>
      </c>
    </row>
    <row r="371" spans="1:13">
      <c r="A371" t="s">
        <v>957</v>
      </c>
      <c r="B371" t="s">
        <v>970</v>
      </c>
      <c r="C371" t="s">
        <v>35</v>
      </c>
      <c r="D371" t="s">
        <v>152</v>
      </c>
      <c r="E371" t="s">
        <v>971</v>
      </c>
      <c r="F371" t="s">
        <v>182</v>
      </c>
      <c r="G371">
        <f>HYPERLINK("http://clipc-services.ceda.ac.uk/dreq/u/4ffc1f50b844980dbbae006dbcfca869.html","web")</f>
        <v>0</v>
      </c>
      <c r="J371" t="s">
        <v>972</v>
      </c>
      <c r="K371" t="s">
        <v>969</v>
      </c>
      <c r="M371" t="s">
        <v>182</v>
      </c>
    </row>
    <row r="372" spans="1:13">
      <c r="A372" t="s">
        <v>957</v>
      </c>
      <c r="B372" t="s">
        <v>918</v>
      </c>
      <c r="C372" t="s">
        <v>35</v>
      </c>
      <c r="D372" t="s">
        <v>550</v>
      </c>
      <c r="E372" t="s">
        <v>920</v>
      </c>
      <c r="F372" t="s">
        <v>892</v>
      </c>
      <c r="G372">
        <f>HYPERLINK("http://clipc-services.ceda.ac.uk/dreq/u/9bb9a503065dfbd30c9bbe5c3c6abf99.html","web")</f>
        <v>0</v>
      </c>
      <c r="J372" t="s">
        <v>921</v>
      </c>
      <c r="K372" t="s">
        <v>962</v>
      </c>
      <c r="M372" t="s">
        <v>892</v>
      </c>
    </row>
    <row r="373" spans="1:13">
      <c r="A373" t="s">
        <v>957</v>
      </c>
      <c r="B373" t="s">
        <v>973</v>
      </c>
      <c r="C373" t="s">
        <v>35</v>
      </c>
      <c r="D373" t="s">
        <v>152</v>
      </c>
      <c r="E373" t="s">
        <v>974</v>
      </c>
      <c r="F373" t="s">
        <v>35</v>
      </c>
      <c r="G373">
        <f>HYPERLINK("http://clipc-services.ceda.ac.uk/dreq/u/db3d77eebc6dc2fbcab4e0f894e46037.html","web")</f>
        <v>0</v>
      </c>
      <c r="J373" t="s">
        <v>975</v>
      </c>
      <c r="K373" t="s">
        <v>969</v>
      </c>
      <c r="M373" t="s">
        <v>35</v>
      </c>
    </row>
    <row r="374" spans="1:13">
      <c r="A374" t="s">
        <v>957</v>
      </c>
      <c r="B374" t="s">
        <v>976</v>
      </c>
      <c r="C374" t="s">
        <v>35</v>
      </c>
      <c r="D374" t="s">
        <v>152</v>
      </c>
      <c r="E374" t="s">
        <v>977</v>
      </c>
      <c r="F374" t="s">
        <v>182</v>
      </c>
      <c r="G374">
        <f>HYPERLINK("http://clipc-services.ceda.ac.uk/dreq/u/ea546e38aa8fc0e021f03e746e1adb10.html","web")</f>
        <v>0</v>
      </c>
      <c r="J374" t="s">
        <v>978</v>
      </c>
      <c r="K374" t="s">
        <v>969</v>
      </c>
      <c r="M374" t="s">
        <v>182</v>
      </c>
    </row>
    <row r="375" spans="1:13">
      <c r="A375" t="s">
        <v>957</v>
      </c>
      <c r="B375" t="s">
        <v>979</v>
      </c>
      <c r="C375" t="s">
        <v>35</v>
      </c>
      <c r="D375" t="s">
        <v>152</v>
      </c>
      <c r="E375" t="s">
        <v>980</v>
      </c>
      <c r="F375" t="s">
        <v>182</v>
      </c>
      <c r="G375">
        <f>HYPERLINK("http://clipc-services.ceda.ac.uk/dreq/u/691673a210102ac652eed2b784dd2ab4.html","web")</f>
        <v>0</v>
      </c>
      <c r="J375" t="s">
        <v>981</v>
      </c>
      <c r="K375" t="s">
        <v>969</v>
      </c>
      <c r="M375" t="s">
        <v>182</v>
      </c>
    </row>
    <row r="376" spans="1:13">
      <c r="A376" t="s">
        <v>957</v>
      </c>
      <c r="B376" t="s">
        <v>982</v>
      </c>
      <c r="C376" t="s">
        <v>35</v>
      </c>
      <c r="D376" t="s">
        <v>152</v>
      </c>
      <c r="E376" t="s">
        <v>983</v>
      </c>
      <c r="F376" t="s">
        <v>182</v>
      </c>
      <c r="G376">
        <f>HYPERLINK("http://clipc-services.ceda.ac.uk/dreq/u/a4e52f0f3833b395c09c73f1b6f3f748.html","web")</f>
        <v>0</v>
      </c>
      <c r="J376" t="s">
        <v>984</v>
      </c>
      <c r="K376" t="s">
        <v>969</v>
      </c>
      <c r="M376" t="s">
        <v>182</v>
      </c>
    </row>
    <row r="377" spans="1:13">
      <c r="A377" t="s">
        <v>957</v>
      </c>
      <c r="B377" t="s">
        <v>985</v>
      </c>
      <c r="C377" t="s">
        <v>35</v>
      </c>
      <c r="D377" t="s">
        <v>550</v>
      </c>
      <c r="E377" t="s">
        <v>986</v>
      </c>
      <c r="F377" t="s">
        <v>35</v>
      </c>
      <c r="G377">
        <f>HYPERLINK("http://clipc-services.ceda.ac.uk/dreq/u/a7cf325e9bf994ade073a1297378a57c.html","web")</f>
        <v>0</v>
      </c>
      <c r="J377" t="s">
        <v>987</v>
      </c>
      <c r="K377" t="s">
        <v>962</v>
      </c>
      <c r="M377" t="s">
        <v>35</v>
      </c>
    </row>
    <row r="378" spans="1:13">
      <c r="A378" t="s">
        <v>957</v>
      </c>
      <c r="B378" t="s">
        <v>988</v>
      </c>
      <c r="C378" t="s">
        <v>35</v>
      </c>
      <c r="D378" t="s">
        <v>550</v>
      </c>
      <c r="E378" t="s">
        <v>989</v>
      </c>
      <c r="F378" t="s">
        <v>892</v>
      </c>
      <c r="G378">
        <f>HYPERLINK("http://clipc-services.ceda.ac.uk/dreq/u/cc8f92a2635774d636748ec8007c4bab.html","web")</f>
        <v>0</v>
      </c>
      <c r="J378" t="s">
        <v>990</v>
      </c>
      <c r="K378" t="s">
        <v>962</v>
      </c>
      <c r="M378" t="s">
        <v>892</v>
      </c>
    </row>
    <row r="379" spans="1:13">
      <c r="A379" t="s">
        <v>957</v>
      </c>
      <c r="B379" t="s">
        <v>991</v>
      </c>
      <c r="C379" t="s">
        <v>35</v>
      </c>
      <c r="D379" t="s">
        <v>550</v>
      </c>
      <c r="E379" t="s">
        <v>992</v>
      </c>
      <c r="F379" t="s">
        <v>95</v>
      </c>
      <c r="G379">
        <f>HYPERLINK("http://clipc-services.ceda.ac.uk/dreq/u/2b133ea2-1b42-11e6-a696-35cd2d8034df.html","web")</f>
        <v>0</v>
      </c>
      <c r="J379" t="s">
        <v>993</v>
      </c>
      <c r="K379" t="s">
        <v>962</v>
      </c>
      <c r="M379" t="s">
        <v>95</v>
      </c>
    </row>
    <row r="380" spans="1:13">
      <c r="A380" t="s">
        <v>957</v>
      </c>
      <c r="B380" t="s">
        <v>937</v>
      </c>
      <c r="C380" t="s">
        <v>35</v>
      </c>
      <c r="D380" t="s">
        <v>550</v>
      </c>
      <c r="E380" t="s">
        <v>938</v>
      </c>
      <c r="F380" t="s">
        <v>892</v>
      </c>
      <c r="G380">
        <f>HYPERLINK("http://clipc-services.ceda.ac.uk/dreq/u/942125e5a461fef57b1477b9a2bd5fa0.html","web")</f>
        <v>0</v>
      </c>
      <c r="J380" t="s">
        <v>939</v>
      </c>
      <c r="K380" t="s">
        <v>962</v>
      </c>
      <c r="M380" t="s">
        <v>892</v>
      </c>
    </row>
    <row r="381" spans="1:13">
      <c r="A381" t="s">
        <v>957</v>
      </c>
      <c r="B381" t="s">
        <v>994</v>
      </c>
      <c r="C381" t="s">
        <v>35</v>
      </c>
      <c r="D381" t="s">
        <v>550</v>
      </c>
      <c r="E381" t="s">
        <v>995</v>
      </c>
      <c r="F381" t="s">
        <v>892</v>
      </c>
      <c r="G381">
        <f>HYPERLINK("http://clipc-services.ceda.ac.uk/dreq/u/97bf948c-b896-11e6-a189-5404a60d96b5.html","web")</f>
        <v>0</v>
      </c>
      <c r="J381" t="s">
        <v>996</v>
      </c>
      <c r="K381" t="s">
        <v>962</v>
      </c>
      <c r="M381" t="s">
        <v>892</v>
      </c>
    </row>
    <row r="382" spans="1:13">
      <c r="A382" t="s">
        <v>957</v>
      </c>
      <c r="B382" t="s">
        <v>997</v>
      </c>
      <c r="C382" t="s">
        <v>35</v>
      </c>
      <c r="D382" t="s">
        <v>998</v>
      </c>
      <c r="E382" t="s">
        <v>999</v>
      </c>
      <c r="F382" t="s">
        <v>35</v>
      </c>
      <c r="G382">
        <f>HYPERLINK("http://clipc-services.ceda.ac.uk/dreq/u/a0c10a4b65d3b79db581a649058a08b1.html","web")</f>
        <v>0</v>
      </c>
      <c r="J382" t="s">
        <v>1000</v>
      </c>
      <c r="K382" t="s">
        <v>1001</v>
      </c>
      <c r="M382" t="s">
        <v>35</v>
      </c>
    </row>
    <row r="383" spans="1:13">
      <c r="A383" t="s">
        <v>957</v>
      </c>
      <c r="B383" t="s">
        <v>1002</v>
      </c>
      <c r="C383" t="s">
        <v>35</v>
      </c>
      <c r="D383" t="s">
        <v>998</v>
      </c>
      <c r="E383" t="s">
        <v>1003</v>
      </c>
      <c r="F383" t="s">
        <v>35</v>
      </c>
      <c r="G383">
        <f>HYPERLINK("http://clipc-services.ceda.ac.uk/dreq/u/c9a72dd6-c5f0-11e6-ac20-5404a60d96b5.html","web")</f>
        <v>0</v>
      </c>
      <c r="J383" t="s">
        <v>1004</v>
      </c>
      <c r="K383" t="s">
        <v>969</v>
      </c>
      <c r="M383" t="s">
        <v>35</v>
      </c>
    </row>
    <row r="384" spans="1:13">
      <c r="A384" t="s">
        <v>957</v>
      </c>
      <c r="B384" t="s">
        <v>1005</v>
      </c>
      <c r="C384" t="s">
        <v>35</v>
      </c>
      <c r="D384" t="s">
        <v>550</v>
      </c>
      <c r="E384" t="s">
        <v>1006</v>
      </c>
      <c r="F384" t="s">
        <v>464</v>
      </c>
      <c r="G384">
        <f>HYPERLINK("http://clipc-services.ceda.ac.uk/dreq/u/a2609abee6ecd5d535a48e29ae70e852.html","web")</f>
        <v>0</v>
      </c>
      <c r="J384" t="s">
        <v>1007</v>
      </c>
      <c r="K384" t="s">
        <v>962</v>
      </c>
      <c r="M384" t="s">
        <v>464</v>
      </c>
    </row>
    <row r="385" spans="1:13">
      <c r="A385" t="s">
        <v>957</v>
      </c>
      <c r="B385" t="s">
        <v>1008</v>
      </c>
      <c r="C385" t="s">
        <v>35</v>
      </c>
      <c r="D385" t="s">
        <v>152</v>
      </c>
      <c r="E385" t="s">
        <v>1009</v>
      </c>
      <c r="F385" t="s">
        <v>1010</v>
      </c>
      <c r="G385">
        <f>HYPERLINK("http://clipc-services.ceda.ac.uk/dreq/u/c9a5b6b8-c5f0-11e6-ac20-5404a60d96b5.html","web")</f>
        <v>0</v>
      </c>
      <c r="J385" t="s">
        <v>1011</v>
      </c>
      <c r="K385" t="s">
        <v>969</v>
      </c>
      <c r="M385" t="s">
        <v>1010</v>
      </c>
    </row>
    <row r="386" spans="1:13">
      <c r="A386" t="s">
        <v>957</v>
      </c>
      <c r="B386" t="s">
        <v>1012</v>
      </c>
      <c r="C386" t="s">
        <v>35</v>
      </c>
      <c r="D386" t="s">
        <v>152</v>
      </c>
      <c r="E386" t="s">
        <v>1013</v>
      </c>
      <c r="F386" t="s">
        <v>57</v>
      </c>
      <c r="G386">
        <f>HYPERLINK("http://clipc-services.ceda.ac.uk/dreq/u/83d1d066c3325c7402b6265eee068056.html","web")</f>
        <v>0</v>
      </c>
      <c r="J386" t="s">
        <v>1014</v>
      </c>
      <c r="K386" t="s">
        <v>1015</v>
      </c>
      <c r="M386" t="s">
        <v>57</v>
      </c>
    </row>
    <row r="387" spans="1:13">
      <c r="A387" t="s">
        <v>957</v>
      </c>
      <c r="B387" t="s">
        <v>1016</v>
      </c>
      <c r="C387" t="s">
        <v>35</v>
      </c>
      <c r="D387" t="s">
        <v>152</v>
      </c>
      <c r="E387" t="s">
        <v>1017</v>
      </c>
      <c r="F387" t="s">
        <v>74</v>
      </c>
      <c r="G387">
        <f>HYPERLINK("http://clipc-services.ceda.ac.uk/dreq/u/c9a70b4e-c5f0-11e6-ac20-5404a60d96b5.html","web")</f>
        <v>0</v>
      </c>
      <c r="J387" t="s">
        <v>1018</v>
      </c>
      <c r="K387" t="s">
        <v>1019</v>
      </c>
      <c r="M387" t="s">
        <v>74</v>
      </c>
    </row>
    <row r="388" spans="1:13">
      <c r="A388" t="s">
        <v>957</v>
      </c>
      <c r="B388" t="s">
        <v>1020</v>
      </c>
      <c r="C388" t="s">
        <v>35</v>
      </c>
      <c r="D388" t="s">
        <v>152</v>
      </c>
      <c r="E388" t="s">
        <v>1021</v>
      </c>
      <c r="F388" t="s">
        <v>305</v>
      </c>
      <c r="G388">
        <f>HYPERLINK("http://clipc-services.ceda.ac.uk/dreq/u/c26eed24b27782de78cfab86e3d3b2d2.html","web")</f>
        <v>0</v>
      </c>
      <c r="J388" t="s">
        <v>1022</v>
      </c>
      <c r="K388" t="s">
        <v>969</v>
      </c>
      <c r="M388" t="s">
        <v>305</v>
      </c>
    </row>
    <row r="390" spans="1:13">
      <c r="A390" t="s">
        <v>1023</v>
      </c>
      <c r="B390" t="s">
        <v>1024</v>
      </c>
      <c r="C390" t="s">
        <v>35</v>
      </c>
      <c r="D390" t="s">
        <v>1025</v>
      </c>
      <c r="E390" t="s">
        <v>1026</v>
      </c>
      <c r="F390" t="s">
        <v>35</v>
      </c>
      <c r="G390">
        <f>HYPERLINK("http://clipc-services.ceda.ac.uk/dreq/u/b089240c-a0da-11e6-bc63-ac72891c3257.html","web")</f>
        <v>0</v>
      </c>
      <c r="J390" t="s">
        <v>1027</v>
      </c>
      <c r="K390" t="s">
        <v>1028</v>
      </c>
      <c r="M390" t="s">
        <v>35</v>
      </c>
    </row>
    <row r="391" spans="1:13">
      <c r="A391" t="s">
        <v>1023</v>
      </c>
      <c r="B391" t="s">
        <v>1029</v>
      </c>
      <c r="C391" t="s">
        <v>35</v>
      </c>
      <c r="D391" t="s">
        <v>1025</v>
      </c>
      <c r="E391" t="s">
        <v>1030</v>
      </c>
      <c r="F391" t="s">
        <v>35</v>
      </c>
      <c r="G391">
        <f>HYPERLINK("http://clipc-services.ceda.ac.uk/dreq/u/afd8ba4a-a0da-11e6-bc63-ac72891c3257.html","web")</f>
        <v>0</v>
      </c>
      <c r="J391" t="s">
        <v>1031</v>
      </c>
      <c r="K391" t="s">
        <v>1028</v>
      </c>
      <c r="M391" t="s">
        <v>35</v>
      </c>
    </row>
    <row r="392" spans="1:13">
      <c r="A392" t="s">
        <v>1023</v>
      </c>
      <c r="B392" t="s">
        <v>1032</v>
      </c>
      <c r="C392" t="s">
        <v>35</v>
      </c>
      <c r="D392" t="s">
        <v>1025</v>
      </c>
      <c r="E392" t="s">
        <v>1033</v>
      </c>
      <c r="F392" t="s">
        <v>35</v>
      </c>
      <c r="G392">
        <f>HYPERLINK("http://clipc-services.ceda.ac.uk/dreq/u/b02eb8b4-a0da-11e6-bc63-ac72891c3257.html","web")</f>
        <v>0</v>
      </c>
      <c r="J392" t="s">
        <v>1034</v>
      </c>
      <c r="K392" t="s">
        <v>1028</v>
      </c>
      <c r="M392" t="s">
        <v>35</v>
      </c>
    </row>
    <row r="393" spans="1:13">
      <c r="A393" t="s">
        <v>1023</v>
      </c>
      <c r="B393" t="s">
        <v>1035</v>
      </c>
      <c r="C393" t="s">
        <v>35</v>
      </c>
      <c r="D393" t="s">
        <v>1036</v>
      </c>
      <c r="E393" t="s">
        <v>1037</v>
      </c>
      <c r="F393" t="s">
        <v>35</v>
      </c>
      <c r="G393">
        <f>HYPERLINK("http://clipc-services.ceda.ac.uk/dreq/u/59139cfa-9e49-11e5-803c-0d0b866b59f3.html","web")</f>
        <v>0</v>
      </c>
      <c r="J393" t="s">
        <v>1038</v>
      </c>
      <c r="K393" t="s">
        <v>1028</v>
      </c>
      <c r="M393" t="s">
        <v>35</v>
      </c>
    </row>
    <row r="394" spans="1:13">
      <c r="A394" t="s">
        <v>1023</v>
      </c>
      <c r="B394" t="s">
        <v>1039</v>
      </c>
      <c r="C394" t="s">
        <v>35</v>
      </c>
      <c r="D394" t="s">
        <v>1036</v>
      </c>
      <c r="E394" t="s">
        <v>1040</v>
      </c>
      <c r="F394" t="s">
        <v>35</v>
      </c>
      <c r="G394">
        <f>HYPERLINK("http://clipc-services.ceda.ac.uk/dreq/u/590f3f16-9e49-11e5-803c-0d0b866b59f3.html","web")</f>
        <v>0</v>
      </c>
      <c r="J394" t="s">
        <v>1041</v>
      </c>
      <c r="K394" t="s">
        <v>1028</v>
      </c>
      <c r="M394" t="s">
        <v>35</v>
      </c>
    </row>
    <row r="395" spans="1:13">
      <c r="A395" t="s">
        <v>1023</v>
      </c>
      <c r="B395" t="s">
        <v>1042</v>
      </c>
      <c r="C395" t="s">
        <v>35</v>
      </c>
      <c r="D395" t="s">
        <v>1043</v>
      </c>
      <c r="E395" t="s">
        <v>1044</v>
      </c>
      <c r="F395" t="s">
        <v>35</v>
      </c>
      <c r="G395">
        <f>HYPERLINK("http://clipc-services.ceda.ac.uk/dreq/u/5a6730cdd3fef77dc53ea1f61b23821f.html","web")</f>
        <v>0</v>
      </c>
      <c r="J395" t="s">
        <v>1045</v>
      </c>
      <c r="K395" t="s">
        <v>1046</v>
      </c>
      <c r="M395" t="s">
        <v>35</v>
      </c>
    </row>
    <row r="396" spans="1:13">
      <c r="A396" t="s">
        <v>1023</v>
      </c>
      <c r="B396" t="s">
        <v>1047</v>
      </c>
      <c r="C396" t="s">
        <v>35</v>
      </c>
      <c r="D396" t="s">
        <v>1048</v>
      </c>
      <c r="E396" t="s">
        <v>1049</v>
      </c>
      <c r="F396" t="s">
        <v>35</v>
      </c>
      <c r="G396">
        <f>HYPERLINK("http://clipc-services.ceda.ac.uk/dreq/u/823b0a0d39e3f3f3a992c49948fde77c.html","web")</f>
        <v>0</v>
      </c>
      <c r="J396" t="s">
        <v>1050</v>
      </c>
      <c r="K396" t="s">
        <v>1046</v>
      </c>
      <c r="M396" t="s">
        <v>35</v>
      </c>
    </row>
    <row r="397" spans="1:13">
      <c r="A397" t="s">
        <v>1023</v>
      </c>
      <c r="B397" t="s">
        <v>331</v>
      </c>
      <c r="C397" t="s">
        <v>35</v>
      </c>
      <c r="D397" t="s">
        <v>1051</v>
      </c>
      <c r="E397" t="s">
        <v>333</v>
      </c>
      <c r="F397" t="s">
        <v>38</v>
      </c>
      <c r="G397">
        <f>HYPERLINK("http://clipc-services.ceda.ac.uk/dreq/u/400e5707b65c01e31f2ec6a59dd3983b.html","web")</f>
        <v>0</v>
      </c>
      <c r="J397" t="s">
        <v>334</v>
      </c>
      <c r="K397" t="s">
        <v>1046</v>
      </c>
      <c r="M397" t="s">
        <v>38</v>
      </c>
    </row>
    <row r="398" spans="1:13">
      <c r="A398" t="s">
        <v>1023</v>
      </c>
      <c r="B398" t="s">
        <v>1052</v>
      </c>
      <c r="C398" t="s">
        <v>35</v>
      </c>
      <c r="D398" t="s">
        <v>1051</v>
      </c>
      <c r="E398" t="s">
        <v>1053</v>
      </c>
      <c r="F398" t="s">
        <v>38</v>
      </c>
      <c r="G398">
        <f>HYPERLINK("http://clipc-services.ceda.ac.uk/dreq/u/0245fef16f6eb29465d7fa55923fd12d.html","web")</f>
        <v>0</v>
      </c>
      <c r="J398" t="s">
        <v>1054</v>
      </c>
      <c r="K398" t="s">
        <v>1046</v>
      </c>
      <c r="M398" t="s">
        <v>38</v>
      </c>
    </row>
    <row r="399" spans="1:13">
      <c r="A399" t="s">
        <v>1023</v>
      </c>
      <c r="B399" t="s">
        <v>335</v>
      </c>
      <c r="C399" t="s">
        <v>50</v>
      </c>
      <c r="D399" t="s">
        <v>1055</v>
      </c>
      <c r="E399" t="s">
        <v>337</v>
      </c>
      <c r="F399" t="s">
        <v>38</v>
      </c>
      <c r="G399">
        <f>HYPERLINK("http://clipc-services.ceda.ac.uk/dreq/u/fa7666d61b92de5bad1ad76561b8b850.html","web")</f>
        <v>0</v>
      </c>
      <c r="J399" t="s">
        <v>338</v>
      </c>
      <c r="K399" t="s">
        <v>327</v>
      </c>
      <c r="M399" t="s">
        <v>38</v>
      </c>
    </row>
    <row r="400" spans="1:13">
      <c r="A400" t="s">
        <v>1023</v>
      </c>
      <c r="B400" t="s">
        <v>1056</v>
      </c>
      <c r="C400" t="s">
        <v>35</v>
      </c>
      <c r="D400" t="s">
        <v>1057</v>
      </c>
      <c r="E400" t="s">
        <v>1058</v>
      </c>
      <c r="F400" t="s">
        <v>38</v>
      </c>
      <c r="G400">
        <f>HYPERLINK("http://clipc-services.ceda.ac.uk/dreq/u/59151ed6-9e49-11e5-803c-0d0b866b59f3.html","web")</f>
        <v>0</v>
      </c>
      <c r="J400" t="s">
        <v>1059</v>
      </c>
      <c r="K400" t="s">
        <v>1046</v>
      </c>
      <c r="M400" t="s">
        <v>38</v>
      </c>
    </row>
    <row r="401" spans="1:13">
      <c r="A401" t="s">
        <v>1023</v>
      </c>
      <c r="B401" t="s">
        <v>918</v>
      </c>
      <c r="C401" t="s">
        <v>35</v>
      </c>
      <c r="D401" t="s">
        <v>1060</v>
      </c>
      <c r="E401" t="s">
        <v>920</v>
      </c>
      <c r="F401" t="s">
        <v>892</v>
      </c>
      <c r="G401">
        <f>HYPERLINK("http://clipc-services.ceda.ac.uk/dreq/u/9bb9a503065dfbd30c9bbe5c3c6abf99.html","web")</f>
        <v>0</v>
      </c>
      <c r="J401" t="s">
        <v>921</v>
      </c>
      <c r="K401" t="s">
        <v>1028</v>
      </c>
      <c r="M401" t="s">
        <v>892</v>
      </c>
    </row>
    <row r="402" spans="1:13">
      <c r="A402" t="s">
        <v>1023</v>
      </c>
      <c r="B402" t="s">
        <v>1061</v>
      </c>
      <c r="C402" t="s">
        <v>35</v>
      </c>
      <c r="D402" t="s">
        <v>1062</v>
      </c>
      <c r="E402" t="s">
        <v>1063</v>
      </c>
      <c r="F402" t="s">
        <v>38</v>
      </c>
      <c r="G402">
        <f>HYPERLINK("http://clipc-services.ceda.ac.uk/dreq/u/59149a10-9e49-11e5-803c-0d0b866b59f3.html","web")</f>
        <v>0</v>
      </c>
      <c r="J402" t="s">
        <v>1064</v>
      </c>
      <c r="K402" t="s">
        <v>1046</v>
      </c>
      <c r="M402" t="s">
        <v>38</v>
      </c>
    </row>
    <row r="403" spans="1:13">
      <c r="A403" t="s">
        <v>1023</v>
      </c>
      <c r="B403" t="s">
        <v>1065</v>
      </c>
      <c r="C403" t="s">
        <v>35</v>
      </c>
      <c r="D403" t="s">
        <v>1066</v>
      </c>
      <c r="E403" t="s">
        <v>1067</v>
      </c>
      <c r="F403" t="s">
        <v>38</v>
      </c>
      <c r="G403">
        <f>HYPERLINK("http://clipc-services.ceda.ac.uk/dreq/u/5912eff8-9e49-11e5-803c-0d0b866b59f3.html","web")</f>
        <v>0</v>
      </c>
      <c r="J403" t="s">
        <v>1068</v>
      </c>
      <c r="K403" t="s">
        <v>1046</v>
      </c>
      <c r="M403" t="s">
        <v>38</v>
      </c>
    </row>
    <row r="404" spans="1:13">
      <c r="A404" t="s">
        <v>1023</v>
      </c>
      <c r="B404" t="s">
        <v>937</v>
      </c>
      <c r="C404" t="s">
        <v>35</v>
      </c>
      <c r="D404" t="s">
        <v>1060</v>
      </c>
      <c r="E404" t="s">
        <v>938</v>
      </c>
      <c r="F404" t="s">
        <v>892</v>
      </c>
      <c r="G404">
        <f>HYPERLINK("http://clipc-services.ceda.ac.uk/dreq/u/942125e5a461fef57b1477b9a2bd5fa0.html","web")</f>
        <v>0</v>
      </c>
      <c r="J404" t="s">
        <v>939</v>
      </c>
      <c r="K404" t="s">
        <v>1028</v>
      </c>
      <c r="M404" t="s">
        <v>892</v>
      </c>
    </row>
    <row r="405" spans="1:13">
      <c r="A405" t="s">
        <v>1023</v>
      </c>
      <c r="B405" t="s">
        <v>1069</v>
      </c>
      <c r="C405" t="s">
        <v>35</v>
      </c>
      <c r="D405" t="s">
        <v>1070</v>
      </c>
      <c r="E405" t="s">
        <v>1071</v>
      </c>
      <c r="F405" t="s">
        <v>35</v>
      </c>
      <c r="G405">
        <f>HYPERLINK("http://clipc-services.ceda.ac.uk/dreq/u/a06b8e83250b870d9f39dc1f6534efcb.html","web")</f>
        <v>0</v>
      </c>
      <c r="J405" t="s">
        <v>1072</v>
      </c>
      <c r="K405" t="s">
        <v>1046</v>
      </c>
      <c r="M405" t="s">
        <v>35</v>
      </c>
    </row>
    <row r="406" spans="1:13">
      <c r="A406" t="s">
        <v>1023</v>
      </c>
      <c r="B406" t="s">
        <v>450</v>
      </c>
      <c r="C406" t="s">
        <v>35</v>
      </c>
      <c r="D406" t="s">
        <v>1073</v>
      </c>
      <c r="E406" t="s">
        <v>451</v>
      </c>
      <c r="F406" t="s">
        <v>74</v>
      </c>
      <c r="G406">
        <f>HYPERLINK("http://clipc-services.ceda.ac.uk/dreq/u/38806cec3ba894d7745fada80c9f6fe6.html","web")</f>
        <v>0</v>
      </c>
      <c r="J406" t="s">
        <v>452</v>
      </c>
      <c r="K406" t="s">
        <v>1028</v>
      </c>
      <c r="M406" t="s">
        <v>74</v>
      </c>
    </row>
    <row r="407" spans="1:13">
      <c r="A407" t="s">
        <v>1023</v>
      </c>
      <c r="B407" t="s">
        <v>1074</v>
      </c>
      <c r="C407" t="s">
        <v>35</v>
      </c>
      <c r="D407" t="s">
        <v>1073</v>
      </c>
      <c r="E407" t="s">
        <v>1075</v>
      </c>
      <c r="F407" t="s">
        <v>74</v>
      </c>
      <c r="G407">
        <f>HYPERLINK("http://clipc-services.ceda.ac.uk/dreq/u/ea83846e-a0de-11e6-bc63-ac72891c3257.html","web")</f>
        <v>0</v>
      </c>
      <c r="J407" t="s">
        <v>1076</v>
      </c>
      <c r="K407" t="s">
        <v>1028</v>
      </c>
      <c r="M407" t="s">
        <v>74</v>
      </c>
    </row>
    <row r="408" spans="1:13">
      <c r="A408" t="s">
        <v>1023</v>
      </c>
      <c r="B408" t="s">
        <v>1077</v>
      </c>
      <c r="C408" t="s">
        <v>35</v>
      </c>
      <c r="D408" t="s">
        <v>1078</v>
      </c>
      <c r="E408" t="s">
        <v>1079</v>
      </c>
      <c r="F408" t="s">
        <v>74</v>
      </c>
      <c r="G408">
        <f>HYPERLINK("http://clipc-services.ceda.ac.uk/dreq/u/eb28c564-a0de-11e6-bc63-ac72891c3257.html","web")</f>
        <v>0</v>
      </c>
      <c r="J408" t="s">
        <v>1076</v>
      </c>
      <c r="K408" t="s">
        <v>1028</v>
      </c>
      <c r="M408" t="s">
        <v>74</v>
      </c>
    </row>
    <row r="409" spans="1:13">
      <c r="A409" t="s">
        <v>1023</v>
      </c>
      <c r="B409" t="s">
        <v>1080</v>
      </c>
      <c r="C409" t="s">
        <v>35</v>
      </c>
      <c r="D409" t="s">
        <v>1078</v>
      </c>
      <c r="E409" t="s">
        <v>1081</v>
      </c>
      <c r="F409" t="s">
        <v>74</v>
      </c>
      <c r="G409">
        <f>HYPERLINK("http://clipc-services.ceda.ac.uk/dreq/u/ebd63780-a0de-11e6-bc63-ac72891c3257.html","web")</f>
        <v>0</v>
      </c>
      <c r="J409" t="s">
        <v>1082</v>
      </c>
      <c r="K409" t="s">
        <v>1028</v>
      </c>
      <c r="M409" t="s">
        <v>74</v>
      </c>
    </row>
    <row r="410" spans="1:13">
      <c r="A410" t="s">
        <v>1023</v>
      </c>
      <c r="B410" t="s">
        <v>1083</v>
      </c>
      <c r="C410" t="s">
        <v>35</v>
      </c>
      <c r="D410" t="s">
        <v>1084</v>
      </c>
      <c r="E410" t="s">
        <v>1085</v>
      </c>
      <c r="F410" t="s">
        <v>74</v>
      </c>
      <c r="G410">
        <f>HYPERLINK("http://clipc-services.ceda.ac.uk/dreq/u/590daf66-9e49-11e5-803c-0d0b866b59f3.html","web")</f>
        <v>0</v>
      </c>
      <c r="J410" t="s">
        <v>1086</v>
      </c>
      <c r="K410" t="s">
        <v>1028</v>
      </c>
      <c r="M410" t="s">
        <v>74</v>
      </c>
    </row>
    <row r="411" spans="1:13">
      <c r="A411" t="s">
        <v>1023</v>
      </c>
      <c r="B411" t="s">
        <v>1087</v>
      </c>
      <c r="C411" t="s">
        <v>35</v>
      </c>
      <c r="D411" t="s">
        <v>1036</v>
      </c>
      <c r="E411" t="s">
        <v>1088</v>
      </c>
      <c r="F411" t="s">
        <v>74</v>
      </c>
      <c r="G411">
        <f>HYPERLINK("http://clipc-services.ceda.ac.uk/dreq/u/386fb33a-a0dc-11e6-bc63-ac72891c3257.html","web")</f>
        <v>0</v>
      </c>
      <c r="J411" t="s">
        <v>1089</v>
      </c>
      <c r="K411" t="s">
        <v>1028</v>
      </c>
      <c r="M411" t="s">
        <v>74</v>
      </c>
    </row>
    <row r="412" spans="1:13">
      <c r="A412" t="s">
        <v>1023</v>
      </c>
      <c r="B412" t="s">
        <v>1090</v>
      </c>
      <c r="C412" t="s">
        <v>35</v>
      </c>
      <c r="D412" t="s">
        <v>1036</v>
      </c>
      <c r="E412" t="s">
        <v>1091</v>
      </c>
      <c r="F412" t="s">
        <v>74</v>
      </c>
      <c r="G412">
        <f>HYPERLINK("http://clipc-services.ceda.ac.uk/dreq/u/398683d4-a0dc-11e6-bc63-ac72891c3257.html","web")</f>
        <v>0</v>
      </c>
      <c r="J412" t="s">
        <v>1082</v>
      </c>
      <c r="K412" t="s">
        <v>1028</v>
      </c>
      <c r="M412" t="s">
        <v>74</v>
      </c>
    </row>
    <row r="413" spans="1:13">
      <c r="A413" t="s">
        <v>1023</v>
      </c>
      <c r="B413" t="s">
        <v>456</v>
      </c>
      <c r="C413" t="s">
        <v>35</v>
      </c>
      <c r="D413" t="s">
        <v>1073</v>
      </c>
      <c r="E413" t="s">
        <v>457</v>
      </c>
      <c r="F413" t="s">
        <v>74</v>
      </c>
      <c r="G413">
        <f>HYPERLINK("http://clipc-services.ceda.ac.uk/dreq/u/eb72b66b6365daed79aefeda9d3d30b5.html","web")</f>
        <v>0</v>
      </c>
      <c r="J413" t="s">
        <v>458</v>
      </c>
      <c r="K413" t="s">
        <v>1028</v>
      </c>
      <c r="M413" t="s">
        <v>74</v>
      </c>
    </row>
    <row r="414" spans="1:13">
      <c r="A414" t="s">
        <v>1023</v>
      </c>
      <c r="B414" t="s">
        <v>1092</v>
      </c>
      <c r="C414" t="s">
        <v>35</v>
      </c>
      <c r="D414" t="s">
        <v>1073</v>
      </c>
      <c r="E414" t="s">
        <v>1093</v>
      </c>
      <c r="F414" t="s">
        <v>74</v>
      </c>
      <c r="G414">
        <f>HYPERLINK("http://clipc-services.ceda.ac.uk/dreq/u/ea313ee8-a0de-11e6-bc63-ac72891c3257.html","web")</f>
        <v>0</v>
      </c>
      <c r="J414" t="s">
        <v>1076</v>
      </c>
      <c r="K414" t="s">
        <v>1028</v>
      </c>
      <c r="M414" t="s">
        <v>74</v>
      </c>
    </row>
    <row r="415" spans="1:13">
      <c r="A415" t="s">
        <v>1023</v>
      </c>
      <c r="B415" t="s">
        <v>1094</v>
      </c>
      <c r="C415" t="s">
        <v>35</v>
      </c>
      <c r="D415" t="s">
        <v>1078</v>
      </c>
      <c r="E415" t="s">
        <v>1095</v>
      </c>
      <c r="F415" t="s">
        <v>74</v>
      </c>
      <c r="G415">
        <f>HYPERLINK("http://clipc-services.ceda.ac.uk/dreq/u/ead5a730-a0de-11e6-bc63-ac72891c3257.html","web")</f>
        <v>0</v>
      </c>
      <c r="J415" t="s">
        <v>1076</v>
      </c>
      <c r="K415" t="s">
        <v>1028</v>
      </c>
      <c r="M415" t="s">
        <v>74</v>
      </c>
    </row>
    <row r="416" spans="1:13">
      <c r="A416" t="s">
        <v>1023</v>
      </c>
      <c r="B416" t="s">
        <v>1096</v>
      </c>
      <c r="C416" t="s">
        <v>35</v>
      </c>
      <c r="D416" t="s">
        <v>1078</v>
      </c>
      <c r="E416" t="s">
        <v>1097</v>
      </c>
      <c r="F416" t="s">
        <v>74</v>
      </c>
      <c r="G416">
        <f>HYPERLINK("http://clipc-services.ceda.ac.uk/dreq/u/eb85339e-a0de-11e6-bc63-ac72891c3257.html","web")</f>
        <v>0</v>
      </c>
      <c r="J416" t="s">
        <v>1082</v>
      </c>
      <c r="K416" t="s">
        <v>1028</v>
      </c>
      <c r="M416" t="s">
        <v>74</v>
      </c>
    </row>
    <row r="417" spans="1:13">
      <c r="A417" t="s">
        <v>1023</v>
      </c>
      <c r="B417" t="s">
        <v>1098</v>
      </c>
      <c r="C417" t="s">
        <v>35</v>
      </c>
      <c r="D417" t="s">
        <v>1084</v>
      </c>
      <c r="E417" t="s">
        <v>1099</v>
      </c>
      <c r="F417" t="s">
        <v>74</v>
      </c>
      <c r="G417">
        <f>HYPERLINK("http://clipc-services.ceda.ac.uk/dreq/u/90df05fe3dcd9fe0c9b48aaa74b5e9e.html","web")</f>
        <v>0</v>
      </c>
      <c r="J417" t="s">
        <v>1100</v>
      </c>
      <c r="K417" t="s">
        <v>1028</v>
      </c>
      <c r="M417" t="s">
        <v>74</v>
      </c>
    </row>
    <row r="418" spans="1:13">
      <c r="A418" t="s">
        <v>1023</v>
      </c>
      <c r="B418" t="s">
        <v>1101</v>
      </c>
      <c r="C418" t="s">
        <v>35</v>
      </c>
      <c r="D418" t="s">
        <v>1036</v>
      </c>
      <c r="E418" t="s">
        <v>1102</v>
      </c>
      <c r="F418" t="s">
        <v>74</v>
      </c>
      <c r="G418">
        <f>HYPERLINK("http://clipc-services.ceda.ac.uk/dreq/u/38bd2912-a0dc-11e6-bc63-ac72891c3257.html","web")</f>
        <v>0</v>
      </c>
      <c r="J418" t="s">
        <v>1103</v>
      </c>
      <c r="K418" t="s">
        <v>1028</v>
      </c>
      <c r="M418" t="s">
        <v>74</v>
      </c>
    </row>
    <row r="419" spans="1:13">
      <c r="A419" t="s">
        <v>1023</v>
      </c>
      <c r="B419" t="s">
        <v>1104</v>
      </c>
      <c r="C419" t="s">
        <v>35</v>
      </c>
      <c r="D419" t="s">
        <v>1036</v>
      </c>
      <c r="E419" t="s">
        <v>1105</v>
      </c>
      <c r="F419" t="s">
        <v>74</v>
      </c>
      <c r="G419">
        <f>HYPERLINK("http://clipc-services.ceda.ac.uk/dreq/u/39d8c78e-a0dc-11e6-bc63-ac72891c3257.html","web")</f>
        <v>0</v>
      </c>
      <c r="J419" t="s">
        <v>1082</v>
      </c>
      <c r="K419" t="s">
        <v>1028</v>
      </c>
      <c r="M419" t="s">
        <v>74</v>
      </c>
    </row>
    <row r="420" spans="1:13">
      <c r="A420" t="s">
        <v>1023</v>
      </c>
      <c r="B420" t="s">
        <v>1016</v>
      </c>
      <c r="C420" t="s">
        <v>35</v>
      </c>
      <c r="D420" t="s">
        <v>1084</v>
      </c>
      <c r="E420" t="s">
        <v>1017</v>
      </c>
      <c r="F420" t="s">
        <v>74</v>
      </c>
      <c r="G420">
        <f>HYPERLINK("http://clipc-services.ceda.ac.uk/dreq/u/c9a70b4e-c5f0-11e6-ac20-5404a60d96b5.html","web")</f>
        <v>0</v>
      </c>
      <c r="J420" t="s">
        <v>1018</v>
      </c>
      <c r="K420" t="s">
        <v>1028</v>
      </c>
      <c r="M420" t="s">
        <v>74</v>
      </c>
    </row>
    <row r="421" spans="1:13">
      <c r="A421" t="s">
        <v>1023</v>
      </c>
      <c r="B421" t="s">
        <v>1106</v>
      </c>
      <c r="C421" t="s">
        <v>35</v>
      </c>
      <c r="D421" t="s">
        <v>1036</v>
      </c>
      <c r="E421" t="s">
        <v>1107</v>
      </c>
      <c r="F421" t="s">
        <v>74</v>
      </c>
      <c r="G421">
        <f>HYPERLINK("http://clipc-services.ceda.ac.uk/dreq/u/3819950e-a0dc-11e6-bc63-ac72891c3257.html","web")</f>
        <v>0</v>
      </c>
      <c r="J421" t="s">
        <v>1089</v>
      </c>
      <c r="K421" t="s">
        <v>1028</v>
      </c>
      <c r="M421" t="s">
        <v>74</v>
      </c>
    </row>
    <row r="422" spans="1:13">
      <c r="A422" t="s">
        <v>1023</v>
      </c>
      <c r="B422" t="s">
        <v>1108</v>
      </c>
      <c r="C422" t="s">
        <v>35</v>
      </c>
      <c r="D422" t="s">
        <v>1036</v>
      </c>
      <c r="E422" t="s">
        <v>1109</v>
      </c>
      <c r="F422" t="s">
        <v>74</v>
      </c>
      <c r="G422">
        <f>HYPERLINK("http://clipc-services.ceda.ac.uk/dreq/u/3912bdc8-a0dc-11e6-bc63-ac72891c3257.html","web")</f>
        <v>0</v>
      </c>
      <c r="J422" t="s">
        <v>1082</v>
      </c>
      <c r="K422" t="s">
        <v>1028</v>
      </c>
      <c r="M422" t="s">
        <v>74</v>
      </c>
    </row>
    <row r="423" spans="1:13">
      <c r="A423" t="s">
        <v>1023</v>
      </c>
      <c r="B423" t="s">
        <v>1110</v>
      </c>
      <c r="C423" t="s">
        <v>35</v>
      </c>
      <c r="D423" t="s">
        <v>1036</v>
      </c>
      <c r="E423" t="s">
        <v>1111</v>
      </c>
      <c r="F423" t="s">
        <v>74</v>
      </c>
      <c r="G423">
        <f>HYPERLINK("http://clipc-services.ceda.ac.uk/dreq/u/af7306dc-a0da-11e6-bc63-ac72891c3257.html","web")</f>
        <v>0</v>
      </c>
      <c r="J423" t="s">
        <v>1112</v>
      </c>
      <c r="K423" t="s">
        <v>1028</v>
      </c>
      <c r="M423" t="s">
        <v>74</v>
      </c>
    </row>
    <row r="424" spans="1:13">
      <c r="A424" t="s">
        <v>1023</v>
      </c>
      <c r="B424" t="s">
        <v>1113</v>
      </c>
      <c r="C424" t="s">
        <v>35</v>
      </c>
      <c r="D424" t="s">
        <v>1084</v>
      </c>
      <c r="E424" t="s">
        <v>1114</v>
      </c>
      <c r="F424" t="s">
        <v>1115</v>
      </c>
      <c r="G424">
        <f>HYPERLINK("http://clipc-services.ceda.ac.uk/dreq/u/9c35e2ac-a0de-11e6-bc63-ac72891c3257.html","web")</f>
        <v>0</v>
      </c>
      <c r="J424" t="s">
        <v>1116</v>
      </c>
      <c r="K424" t="s">
        <v>1028</v>
      </c>
      <c r="M424" t="s">
        <v>1115</v>
      </c>
    </row>
    <row r="425" spans="1:13">
      <c r="A425" t="s">
        <v>1023</v>
      </c>
      <c r="B425" t="s">
        <v>1117</v>
      </c>
      <c r="C425" t="s">
        <v>50</v>
      </c>
      <c r="D425" t="s">
        <v>1118</v>
      </c>
      <c r="E425" t="s">
        <v>30</v>
      </c>
      <c r="F425" t="s">
        <v>31</v>
      </c>
      <c r="G425">
        <f>HYPERLINK("http://clipc-services.ceda.ac.uk/dreq/u/51fb29dd55442361fa9c5dbe23aca9c6.html","web")</f>
        <v>0</v>
      </c>
      <c r="J425" t="s">
        <v>32</v>
      </c>
      <c r="K425" t="s">
        <v>21</v>
      </c>
      <c r="M425" t="s">
        <v>31</v>
      </c>
    </row>
    <row r="427" spans="1:13">
      <c r="A427" t="s">
        <v>1119</v>
      </c>
      <c r="B427" t="s">
        <v>339</v>
      </c>
      <c r="C427" t="s">
        <v>16</v>
      </c>
      <c r="D427" t="s">
        <v>1060</v>
      </c>
      <c r="E427" t="s">
        <v>341</v>
      </c>
      <c r="F427" t="s">
        <v>182</v>
      </c>
      <c r="G427">
        <f>HYPERLINK("http://clipc-services.ceda.ac.uk/dreq/u/6d790fe4caa7feff46a41ae7b3811e52.html","web")</f>
        <v>0</v>
      </c>
      <c r="J427" t="s">
        <v>342</v>
      </c>
      <c r="K427" t="s">
        <v>21</v>
      </c>
      <c r="M427" t="s">
        <v>182</v>
      </c>
    </row>
    <row r="428" spans="1:13">
      <c r="A428" t="s">
        <v>1119</v>
      </c>
      <c r="B428" t="s">
        <v>1120</v>
      </c>
      <c r="C428" t="s">
        <v>50</v>
      </c>
      <c r="D428" t="s">
        <v>416</v>
      </c>
      <c r="E428" t="s">
        <v>1121</v>
      </c>
      <c r="F428" t="s">
        <v>57</v>
      </c>
      <c r="G428">
        <f>HYPERLINK("http://clipc-services.ceda.ac.uk/dreq/u/d80ff3a0dec0b1256a0943aadab66813.html","web")</f>
        <v>0</v>
      </c>
      <c r="J428" t="s">
        <v>1122</v>
      </c>
      <c r="K428" t="s">
        <v>1046</v>
      </c>
      <c r="M428" t="s">
        <v>57</v>
      </c>
    </row>
    <row r="429" spans="1:13">
      <c r="A429" t="s">
        <v>1119</v>
      </c>
      <c r="B429" t="s">
        <v>1123</v>
      </c>
      <c r="C429" t="s">
        <v>50</v>
      </c>
      <c r="D429" t="s">
        <v>416</v>
      </c>
      <c r="E429" t="s">
        <v>1124</v>
      </c>
      <c r="F429" t="s">
        <v>57</v>
      </c>
      <c r="G429">
        <f>HYPERLINK("http://clipc-services.ceda.ac.uk/dreq/u/c2270065bb39bfa4fbf0d13a78dfa8a1.html","web")</f>
        <v>0</v>
      </c>
      <c r="J429" t="s">
        <v>1122</v>
      </c>
      <c r="K429" t="s">
        <v>1046</v>
      </c>
      <c r="M429" t="s">
        <v>57</v>
      </c>
    </row>
    <row r="430" spans="1:13">
      <c r="A430" t="s">
        <v>1119</v>
      </c>
      <c r="B430" t="s">
        <v>1125</v>
      </c>
      <c r="C430" t="s">
        <v>50</v>
      </c>
      <c r="D430" t="s">
        <v>416</v>
      </c>
      <c r="E430" t="s">
        <v>1126</v>
      </c>
      <c r="F430" t="s">
        <v>57</v>
      </c>
      <c r="G430">
        <f>HYPERLINK("http://clipc-services.ceda.ac.uk/dreq/u/7aa8f285b17a5bcfce416f19c29d6d72.html","web")</f>
        <v>0</v>
      </c>
      <c r="J430" t="s">
        <v>1127</v>
      </c>
      <c r="K430" t="s">
        <v>1046</v>
      </c>
      <c r="M430" t="s">
        <v>57</v>
      </c>
    </row>
    <row r="431" spans="1:13">
      <c r="A431" t="s">
        <v>1119</v>
      </c>
      <c r="B431" t="s">
        <v>1128</v>
      </c>
      <c r="C431" t="s">
        <v>50</v>
      </c>
      <c r="D431" t="s">
        <v>416</v>
      </c>
      <c r="E431" t="s">
        <v>1129</v>
      </c>
      <c r="F431" t="s">
        <v>57</v>
      </c>
      <c r="G431">
        <f>HYPERLINK("http://clipc-services.ceda.ac.uk/dreq/u/ed2fff61c68d8a09d5034168e82ae862.html","web")</f>
        <v>0</v>
      </c>
      <c r="J431" t="s">
        <v>1127</v>
      </c>
      <c r="K431" t="s">
        <v>1046</v>
      </c>
      <c r="M431" t="s">
        <v>57</v>
      </c>
    </row>
    <row r="432" spans="1:13">
      <c r="A432" t="s">
        <v>1119</v>
      </c>
      <c r="B432" t="s">
        <v>1130</v>
      </c>
      <c r="C432" t="s">
        <v>35</v>
      </c>
      <c r="D432" t="s">
        <v>416</v>
      </c>
      <c r="E432" t="s">
        <v>1131</v>
      </c>
      <c r="F432" t="s">
        <v>464</v>
      </c>
      <c r="G432">
        <f>HYPERLINK("http://clipc-services.ceda.ac.uk/dreq/u/590ec6bc-9e49-11e5-803c-0d0b866b59f3.html","web")</f>
        <v>0</v>
      </c>
      <c r="J432" t="s">
        <v>1132</v>
      </c>
      <c r="K432" t="s">
        <v>1046</v>
      </c>
      <c r="M432" t="s">
        <v>464</v>
      </c>
    </row>
    <row r="433" spans="1:13">
      <c r="A433" t="s">
        <v>1119</v>
      </c>
      <c r="B433" t="s">
        <v>1133</v>
      </c>
      <c r="C433" t="s">
        <v>35</v>
      </c>
      <c r="D433" t="s">
        <v>416</v>
      </c>
      <c r="E433" t="s">
        <v>1134</v>
      </c>
      <c r="F433" t="s">
        <v>464</v>
      </c>
      <c r="G433">
        <f>HYPERLINK("http://clipc-services.ceda.ac.uk/dreq/u/59135d8a-9e49-11e5-803c-0d0b866b59f3.html","web")</f>
        <v>0</v>
      </c>
      <c r="J433" t="s">
        <v>1135</v>
      </c>
      <c r="K433" t="s">
        <v>1046</v>
      </c>
      <c r="M433" t="s">
        <v>464</v>
      </c>
    </row>
    <row r="434" spans="1:13">
      <c r="A434" t="s">
        <v>1119</v>
      </c>
      <c r="B434" t="s">
        <v>472</v>
      </c>
      <c r="C434" t="s">
        <v>16</v>
      </c>
      <c r="D434" t="s">
        <v>1060</v>
      </c>
      <c r="E434" t="s">
        <v>473</v>
      </c>
      <c r="F434" t="s">
        <v>19</v>
      </c>
      <c r="G434">
        <f>HYPERLINK("http://clipc-services.ceda.ac.uk/dreq/u/c8b1814845661bcad37910e70a59b285.html","web")</f>
        <v>0</v>
      </c>
      <c r="J434" t="s">
        <v>473</v>
      </c>
      <c r="K434" t="s">
        <v>21</v>
      </c>
      <c r="M434" t="s">
        <v>19</v>
      </c>
    </row>
    <row r="435" spans="1:13">
      <c r="A435" t="s">
        <v>1119</v>
      </c>
      <c r="B435" t="s">
        <v>1136</v>
      </c>
      <c r="C435" t="s">
        <v>35</v>
      </c>
      <c r="D435" t="s">
        <v>416</v>
      </c>
      <c r="E435" t="s">
        <v>1137</v>
      </c>
      <c r="F435" t="s">
        <v>19</v>
      </c>
      <c r="G435">
        <f>HYPERLINK("http://clipc-services.ceda.ac.uk/dreq/u/590dcb0e-9e49-11e5-803c-0d0b866b59f3.html","web")</f>
        <v>0</v>
      </c>
      <c r="J435" t="s">
        <v>1138</v>
      </c>
      <c r="K435" t="s">
        <v>1046</v>
      </c>
      <c r="M435" t="s">
        <v>19</v>
      </c>
    </row>
    <row r="436" spans="1:13">
      <c r="A436" t="s">
        <v>1119</v>
      </c>
      <c r="B436" t="s">
        <v>1139</v>
      </c>
      <c r="C436" t="s">
        <v>35</v>
      </c>
      <c r="D436" t="s">
        <v>416</v>
      </c>
      <c r="E436" t="s">
        <v>1140</v>
      </c>
      <c r="F436" t="s">
        <v>19</v>
      </c>
      <c r="G436">
        <f>HYPERLINK("http://clipc-services.ceda.ac.uk/dreq/u/59143570-9e49-11e5-803c-0d0b866b59f3.html","web")</f>
        <v>0</v>
      </c>
      <c r="J436" t="s">
        <v>1132</v>
      </c>
      <c r="K436" t="s">
        <v>1046</v>
      </c>
      <c r="M436" t="s">
        <v>19</v>
      </c>
    </row>
    <row r="438" spans="1:13">
      <c r="A438" t="s">
        <v>1141</v>
      </c>
      <c r="B438" t="s">
        <v>973</v>
      </c>
      <c r="C438" t="s">
        <v>35</v>
      </c>
      <c r="D438" t="s">
        <v>152</v>
      </c>
      <c r="E438" t="s">
        <v>974</v>
      </c>
      <c r="F438" t="s">
        <v>35</v>
      </c>
      <c r="G438">
        <f>HYPERLINK("http://clipc-services.ceda.ac.uk/dreq/u/db3d77eebc6dc2fbcab4e0f894e46037.html","web")</f>
        <v>0</v>
      </c>
      <c r="J438" t="s">
        <v>975</v>
      </c>
      <c r="K438" t="s">
        <v>69</v>
      </c>
      <c r="M438" t="s">
        <v>35</v>
      </c>
    </row>
    <row r="439" spans="1:13">
      <c r="A439" t="s">
        <v>1141</v>
      </c>
      <c r="B439" t="s">
        <v>1142</v>
      </c>
      <c r="C439" t="s">
        <v>35</v>
      </c>
      <c r="D439" t="s">
        <v>1143</v>
      </c>
      <c r="E439" t="s">
        <v>1144</v>
      </c>
      <c r="F439" t="s">
        <v>374</v>
      </c>
      <c r="G439">
        <f>HYPERLINK("http://clipc-services.ceda.ac.uk/dreq/u/0cde14f7745a201d47b856579bf6e759.html","web")</f>
        <v>0</v>
      </c>
      <c r="J439" t="s">
        <v>1145</v>
      </c>
      <c r="K439" t="s">
        <v>69</v>
      </c>
      <c r="M439" t="s">
        <v>374</v>
      </c>
    </row>
    <row r="440" spans="1:13">
      <c r="A440" t="s">
        <v>1141</v>
      </c>
      <c r="B440" t="s">
        <v>1146</v>
      </c>
      <c r="C440" t="s">
        <v>35</v>
      </c>
      <c r="D440" t="s">
        <v>1143</v>
      </c>
      <c r="E440" t="s">
        <v>1147</v>
      </c>
      <c r="F440" t="s">
        <v>57</v>
      </c>
      <c r="G440">
        <f>HYPERLINK("http://clipc-services.ceda.ac.uk/dreq/u/fc0bedbaf6d676fb85fe189310c871a8.html","web")</f>
        <v>0</v>
      </c>
      <c r="J440" t="s">
        <v>1148</v>
      </c>
      <c r="K440" t="s">
        <v>69</v>
      </c>
      <c r="M440" t="s">
        <v>57</v>
      </c>
    </row>
    <row r="441" spans="1:13">
      <c r="A441" t="s">
        <v>1141</v>
      </c>
      <c r="B441" t="s">
        <v>1149</v>
      </c>
      <c r="C441" t="s">
        <v>35</v>
      </c>
      <c r="D441" t="s">
        <v>1150</v>
      </c>
      <c r="E441" t="s">
        <v>1151</v>
      </c>
      <c r="F441" t="s">
        <v>57</v>
      </c>
      <c r="G441">
        <f>HYPERLINK("http://clipc-services.ceda.ac.uk/dreq/u/b1644981b0abd369ad35fac3fc930873.html","web")</f>
        <v>0</v>
      </c>
      <c r="J441" t="s">
        <v>1152</v>
      </c>
      <c r="K441" t="s">
        <v>69</v>
      </c>
      <c r="M441" t="s">
        <v>57</v>
      </c>
    </row>
    <row r="443" spans="1:13">
      <c r="A443" t="s">
        <v>1153</v>
      </c>
      <c r="B443" t="s">
        <v>136</v>
      </c>
      <c r="C443" t="s">
        <v>16</v>
      </c>
      <c r="D443" t="s">
        <v>1154</v>
      </c>
      <c r="E443" t="s">
        <v>137</v>
      </c>
      <c r="F443" t="s">
        <v>138</v>
      </c>
      <c r="G443">
        <f>HYPERLINK("http://clipc-services.ceda.ac.uk/dreq/u/84115d24881654a3deceba63b22cba06.html","web")</f>
        <v>0</v>
      </c>
      <c r="J443" t="s">
        <v>139</v>
      </c>
      <c r="K443" t="s">
        <v>1155</v>
      </c>
      <c r="M443" t="s">
        <v>138</v>
      </c>
    </row>
    <row r="444" spans="1:13">
      <c r="A444" t="s">
        <v>1153</v>
      </c>
      <c r="B444" t="s">
        <v>1156</v>
      </c>
      <c r="C444" t="s">
        <v>16</v>
      </c>
      <c r="D444" t="s">
        <v>1157</v>
      </c>
      <c r="E444" t="s">
        <v>137</v>
      </c>
      <c r="F444" t="s">
        <v>138</v>
      </c>
      <c r="G444">
        <f>HYPERLINK("http://clipc-services.ceda.ac.uk/dreq/u/84115d24881654a3deceba63b22cba06.html","web")</f>
        <v>0</v>
      </c>
      <c r="J444" t="s">
        <v>139</v>
      </c>
      <c r="K444" t="s">
        <v>1155</v>
      </c>
      <c r="M444" t="s">
        <v>138</v>
      </c>
    </row>
    <row r="445" spans="1:13">
      <c r="A445" t="s">
        <v>1153</v>
      </c>
      <c r="B445" t="s">
        <v>141</v>
      </c>
      <c r="C445" t="s">
        <v>16</v>
      </c>
      <c r="D445" t="s">
        <v>1154</v>
      </c>
      <c r="E445" t="s">
        <v>142</v>
      </c>
      <c r="F445" t="s">
        <v>143</v>
      </c>
      <c r="G445">
        <f>HYPERLINK("http://clipc-services.ceda.ac.uk/dreq/u/64c32fcf490e2e5e9918a5401fa48424.html","web")</f>
        <v>0</v>
      </c>
      <c r="J445" t="s">
        <v>144</v>
      </c>
      <c r="K445" t="s">
        <v>1155</v>
      </c>
      <c r="M445" t="s">
        <v>143</v>
      </c>
    </row>
    <row r="446" spans="1:13">
      <c r="A446" t="s">
        <v>1153</v>
      </c>
      <c r="B446" t="s">
        <v>1158</v>
      </c>
      <c r="C446" t="s">
        <v>16</v>
      </c>
      <c r="D446" t="s">
        <v>1157</v>
      </c>
      <c r="E446" t="s">
        <v>142</v>
      </c>
      <c r="F446" t="s">
        <v>143</v>
      </c>
      <c r="G446">
        <f>HYPERLINK("http://clipc-services.ceda.ac.uk/dreq/u/64c32fcf490e2e5e9918a5401fa48424.html","web")</f>
        <v>0</v>
      </c>
      <c r="J446" t="s">
        <v>144</v>
      </c>
      <c r="K446" t="s">
        <v>1155</v>
      </c>
      <c r="M446" t="s">
        <v>143</v>
      </c>
    </row>
    <row r="447" spans="1:13">
      <c r="A447" t="s">
        <v>1153</v>
      </c>
      <c r="B447" t="s">
        <v>1159</v>
      </c>
      <c r="C447" t="s">
        <v>16</v>
      </c>
      <c r="D447" t="s">
        <v>1154</v>
      </c>
      <c r="E447" t="s">
        <v>1160</v>
      </c>
      <c r="F447" t="s">
        <v>138</v>
      </c>
      <c r="G447">
        <f>HYPERLINK("http://clipc-services.ceda.ac.uk/dreq/u/b21073e1a8fa421ecd21766bc8442acd.html","web")</f>
        <v>0</v>
      </c>
      <c r="J447" t="s">
        <v>1161</v>
      </c>
      <c r="K447" t="s">
        <v>1155</v>
      </c>
      <c r="M447" t="s">
        <v>138</v>
      </c>
    </row>
    <row r="448" spans="1:13">
      <c r="A448" t="s">
        <v>1153</v>
      </c>
      <c r="B448" t="s">
        <v>1162</v>
      </c>
      <c r="C448" t="s">
        <v>16</v>
      </c>
      <c r="D448" t="s">
        <v>1157</v>
      </c>
      <c r="E448" t="s">
        <v>1160</v>
      </c>
      <c r="F448" t="s">
        <v>138</v>
      </c>
      <c r="G448">
        <f>HYPERLINK("http://clipc-services.ceda.ac.uk/dreq/u/b21073e1a8fa421ecd21766bc8442acd.html","web")</f>
        <v>0</v>
      </c>
      <c r="J448" t="s">
        <v>1161</v>
      </c>
      <c r="K448" t="s">
        <v>1155</v>
      </c>
      <c r="M448" t="s">
        <v>138</v>
      </c>
    </row>
    <row r="449" spans="1:13">
      <c r="A449" t="s">
        <v>1153</v>
      </c>
      <c r="B449" t="s">
        <v>145</v>
      </c>
      <c r="C449" t="s">
        <v>16</v>
      </c>
      <c r="D449" t="s">
        <v>1154</v>
      </c>
      <c r="E449" t="s">
        <v>146</v>
      </c>
      <c r="F449" t="s">
        <v>143</v>
      </c>
      <c r="G449">
        <f>HYPERLINK("http://clipc-services.ceda.ac.uk/dreq/u/1cf6c7fa0adedf95b3eaad5fb3f96b1c.html","web")</f>
        <v>0</v>
      </c>
      <c r="J449" t="s">
        <v>147</v>
      </c>
      <c r="K449" t="s">
        <v>1155</v>
      </c>
      <c r="M449" t="s">
        <v>143</v>
      </c>
    </row>
    <row r="450" spans="1:13">
      <c r="A450" t="s">
        <v>1153</v>
      </c>
      <c r="B450" t="s">
        <v>1163</v>
      </c>
      <c r="C450" t="s">
        <v>16</v>
      </c>
      <c r="D450" t="s">
        <v>1154</v>
      </c>
      <c r="E450" t="s">
        <v>1164</v>
      </c>
      <c r="F450" t="s">
        <v>138</v>
      </c>
      <c r="G450">
        <f>HYPERLINK("http://clipc-services.ceda.ac.uk/dreq/u/00460a02b5fde2d2bc592e8ac81af0c5.html","web")</f>
        <v>0</v>
      </c>
      <c r="J450" t="s">
        <v>1165</v>
      </c>
      <c r="K450" t="s">
        <v>1155</v>
      </c>
      <c r="M450" t="s">
        <v>138</v>
      </c>
    </row>
    <row r="451" spans="1:13">
      <c r="A451" t="s">
        <v>1153</v>
      </c>
      <c r="B451" t="s">
        <v>1166</v>
      </c>
      <c r="C451" t="s">
        <v>16</v>
      </c>
      <c r="D451" t="s">
        <v>1157</v>
      </c>
      <c r="E451" t="s">
        <v>1164</v>
      </c>
      <c r="F451" t="s">
        <v>138</v>
      </c>
      <c r="G451">
        <f>HYPERLINK("http://clipc-services.ceda.ac.uk/dreq/u/00460a02b5fde2d2bc592e8ac81af0c5.html","web")</f>
        <v>0</v>
      </c>
      <c r="J451" t="s">
        <v>1165</v>
      </c>
      <c r="K451" t="s">
        <v>1155</v>
      </c>
      <c r="M451" t="s">
        <v>138</v>
      </c>
    </row>
    <row r="452" spans="1:13">
      <c r="A452" t="s">
        <v>1153</v>
      </c>
      <c r="B452" t="s">
        <v>148</v>
      </c>
      <c r="C452" t="s">
        <v>16</v>
      </c>
      <c r="D452" t="s">
        <v>1154</v>
      </c>
      <c r="E452" t="s">
        <v>149</v>
      </c>
      <c r="F452" t="s">
        <v>143</v>
      </c>
      <c r="G452">
        <f>HYPERLINK("http://clipc-services.ceda.ac.uk/dreq/u/b02d071fff99f2632aa8ac5e83e92215.html","web")</f>
        <v>0</v>
      </c>
      <c r="J452" t="s">
        <v>150</v>
      </c>
      <c r="K452" t="s">
        <v>1155</v>
      </c>
      <c r="M452" t="s">
        <v>143</v>
      </c>
    </row>
    <row r="453" spans="1:13">
      <c r="A453" t="s">
        <v>1153</v>
      </c>
      <c r="B453" t="s">
        <v>1167</v>
      </c>
      <c r="C453" t="s">
        <v>16</v>
      </c>
      <c r="D453" t="s">
        <v>1154</v>
      </c>
      <c r="E453" t="s">
        <v>1168</v>
      </c>
      <c r="F453" t="s">
        <v>138</v>
      </c>
      <c r="G453">
        <f>HYPERLINK("http://clipc-services.ceda.ac.uk/dreq/u/007c5380d1b91abef954c3b97871f018.html","web")</f>
        <v>0</v>
      </c>
      <c r="J453" t="s">
        <v>1169</v>
      </c>
      <c r="K453" t="s">
        <v>1155</v>
      </c>
      <c r="M453" t="s">
        <v>138</v>
      </c>
    </row>
    <row r="454" spans="1:13">
      <c r="A454" t="s">
        <v>1153</v>
      </c>
      <c r="B454" t="s">
        <v>1170</v>
      </c>
      <c r="C454" t="s">
        <v>16</v>
      </c>
      <c r="D454" t="s">
        <v>1157</v>
      </c>
      <c r="E454" t="s">
        <v>1168</v>
      </c>
      <c r="F454" t="s">
        <v>138</v>
      </c>
      <c r="G454">
        <f>HYPERLINK("http://clipc-services.ceda.ac.uk/dreq/u/007c5380d1b91abef954c3b97871f018.html","web")</f>
        <v>0</v>
      </c>
      <c r="J454" t="s">
        <v>1169</v>
      </c>
      <c r="K454" t="s">
        <v>1155</v>
      </c>
      <c r="M454" t="s">
        <v>138</v>
      </c>
    </row>
    <row r="455" spans="1:13">
      <c r="A455" t="s">
        <v>1153</v>
      </c>
      <c r="B455" t="s">
        <v>1171</v>
      </c>
      <c r="C455" t="s">
        <v>16</v>
      </c>
      <c r="D455" t="s">
        <v>1154</v>
      </c>
      <c r="E455" t="s">
        <v>1172</v>
      </c>
      <c r="F455" t="s">
        <v>143</v>
      </c>
      <c r="G455">
        <f>HYPERLINK("http://clipc-services.ceda.ac.uk/dreq/u/478c43820503be64675fb49227d2f999.html","web")</f>
        <v>0</v>
      </c>
      <c r="J455" t="s">
        <v>1173</v>
      </c>
      <c r="K455" t="s">
        <v>1155</v>
      </c>
      <c r="M455" t="s">
        <v>143</v>
      </c>
    </row>
    <row r="456" spans="1:13">
      <c r="A456" t="s">
        <v>1153</v>
      </c>
      <c r="B456" t="s">
        <v>1174</v>
      </c>
      <c r="C456" t="s">
        <v>16</v>
      </c>
      <c r="D456" t="s">
        <v>1154</v>
      </c>
      <c r="E456" t="s">
        <v>1175</v>
      </c>
      <c r="F456" t="s">
        <v>143</v>
      </c>
      <c r="G456">
        <f>HYPERLINK("http://clipc-services.ceda.ac.uk/dreq/u/f94930c327a257dddea9ef9d0e260ed3.html","web")</f>
        <v>0</v>
      </c>
      <c r="J456" t="s">
        <v>1176</v>
      </c>
      <c r="K456" t="s">
        <v>1177</v>
      </c>
      <c r="M456" t="s">
        <v>143</v>
      </c>
    </row>
    <row r="457" spans="1:13">
      <c r="A457" t="s">
        <v>1153</v>
      </c>
      <c r="B457" t="s">
        <v>1178</v>
      </c>
      <c r="C457" t="s">
        <v>16</v>
      </c>
      <c r="D457" t="s">
        <v>1154</v>
      </c>
      <c r="E457" t="s">
        <v>1179</v>
      </c>
      <c r="F457" t="s">
        <v>143</v>
      </c>
      <c r="G457">
        <f>HYPERLINK("http://clipc-services.ceda.ac.uk/dreq/u/62cb333ec6550e64596f563d114977af.html","web")</f>
        <v>0</v>
      </c>
      <c r="J457" t="s">
        <v>1180</v>
      </c>
      <c r="K457" t="s">
        <v>1177</v>
      </c>
      <c r="M457" t="s">
        <v>143</v>
      </c>
    </row>
    <row r="458" spans="1:13">
      <c r="A458" t="s">
        <v>1153</v>
      </c>
      <c r="B458" t="s">
        <v>1181</v>
      </c>
      <c r="C458" t="s">
        <v>16</v>
      </c>
      <c r="D458" t="s">
        <v>1154</v>
      </c>
      <c r="E458" t="s">
        <v>1182</v>
      </c>
      <c r="F458" t="s">
        <v>143</v>
      </c>
      <c r="G458">
        <f>HYPERLINK("http://clipc-services.ceda.ac.uk/dreq/u/4fb426293126d528f2bbf902b6ede847.html","web")</f>
        <v>0</v>
      </c>
      <c r="J458" t="s">
        <v>1183</v>
      </c>
      <c r="K458" t="s">
        <v>1177</v>
      </c>
      <c r="M458" t="s">
        <v>143</v>
      </c>
    </row>
    <row r="459" spans="1:13">
      <c r="A459" t="s">
        <v>1153</v>
      </c>
      <c r="B459" t="s">
        <v>151</v>
      </c>
      <c r="C459" t="s">
        <v>16</v>
      </c>
      <c r="D459" t="s">
        <v>1154</v>
      </c>
      <c r="E459" t="s">
        <v>153</v>
      </c>
      <c r="F459" t="s">
        <v>74</v>
      </c>
      <c r="G459">
        <f>HYPERLINK("http://clipc-services.ceda.ac.uk/dreq/u/f56a3a44b60650b58309b1d8cf58b913.html","web")</f>
        <v>0</v>
      </c>
      <c r="J459" t="s">
        <v>154</v>
      </c>
      <c r="K459" t="s">
        <v>1155</v>
      </c>
      <c r="M459" t="s">
        <v>74</v>
      </c>
    </row>
    <row r="460" spans="1:13">
      <c r="A460" t="s">
        <v>1153</v>
      </c>
      <c r="B460" t="s">
        <v>272</v>
      </c>
      <c r="C460" t="s">
        <v>16</v>
      </c>
      <c r="D460" t="s">
        <v>1154</v>
      </c>
      <c r="E460" t="s">
        <v>273</v>
      </c>
      <c r="F460" t="s">
        <v>74</v>
      </c>
      <c r="G460">
        <f>HYPERLINK("http://clipc-services.ceda.ac.uk/dreq/u/bb27046ce21470dfbbecdd4f7eca546a.html","web")</f>
        <v>0</v>
      </c>
      <c r="J460" t="s">
        <v>274</v>
      </c>
      <c r="K460" t="s">
        <v>1155</v>
      </c>
      <c r="M460" t="s">
        <v>74</v>
      </c>
    </row>
    <row r="461" spans="1:13">
      <c r="A461" t="s">
        <v>1153</v>
      </c>
      <c r="B461" t="s">
        <v>1184</v>
      </c>
      <c r="C461" t="s">
        <v>16</v>
      </c>
      <c r="D461" t="s">
        <v>1154</v>
      </c>
      <c r="E461" t="s">
        <v>1185</v>
      </c>
      <c r="F461" t="s">
        <v>74</v>
      </c>
      <c r="G461">
        <f>HYPERLINK("http://clipc-services.ceda.ac.uk/dreq/u/1763f47c438dc252b1317c9861792f50.html","web")</f>
        <v>0</v>
      </c>
      <c r="J461" t="s">
        <v>1186</v>
      </c>
      <c r="K461" t="s">
        <v>1177</v>
      </c>
      <c r="M461" t="s">
        <v>74</v>
      </c>
    </row>
    <row r="462" spans="1:13">
      <c r="A462" t="s">
        <v>1153</v>
      </c>
      <c r="B462" t="s">
        <v>1187</v>
      </c>
      <c r="C462" t="s">
        <v>16</v>
      </c>
      <c r="D462" t="s">
        <v>1154</v>
      </c>
      <c r="E462" t="s">
        <v>1188</v>
      </c>
      <c r="F462" t="s">
        <v>74</v>
      </c>
      <c r="G462">
        <f>HYPERLINK("http://clipc-services.ceda.ac.uk/dreq/u/d00cab8104f1a9e853ebfa511d725462.html","web")</f>
        <v>0</v>
      </c>
      <c r="J462" t="s">
        <v>1189</v>
      </c>
      <c r="K462" t="s">
        <v>1177</v>
      </c>
      <c r="M462" t="s">
        <v>74</v>
      </c>
    </row>
    <row r="463" spans="1:13">
      <c r="A463" t="s">
        <v>1153</v>
      </c>
      <c r="B463" t="s">
        <v>344</v>
      </c>
      <c r="C463" t="s">
        <v>35</v>
      </c>
      <c r="D463" t="s">
        <v>1154</v>
      </c>
      <c r="E463" t="s">
        <v>345</v>
      </c>
      <c r="F463" t="s">
        <v>57</v>
      </c>
      <c r="G463">
        <f>HYPERLINK("http://clipc-services.ceda.ac.uk/dreq/u/44471dd9799293cef70ac63fcdd2476e.html","web")</f>
        <v>0</v>
      </c>
      <c r="J463" t="s">
        <v>346</v>
      </c>
      <c r="K463" t="s">
        <v>1177</v>
      </c>
      <c r="M463" t="s">
        <v>57</v>
      </c>
    </row>
    <row r="465" spans="1:13">
      <c r="A465" t="s">
        <v>1190</v>
      </c>
      <c r="B465" t="s">
        <v>1191</v>
      </c>
      <c r="C465" t="s">
        <v>35</v>
      </c>
      <c r="D465" t="s">
        <v>51</v>
      </c>
      <c r="E465" t="s">
        <v>1192</v>
      </c>
      <c r="G465">
        <f>HYPERLINK("http://clipc-services.ceda.ac.uk/dreq/u/962e51dc-267b-11e7-96a5-ac72891c3257.html","web")</f>
        <v>0</v>
      </c>
      <c r="J465" t="s">
        <v>1193</v>
      </c>
      <c r="K465" t="s">
        <v>1194</v>
      </c>
    </row>
    <row r="466" spans="1:13">
      <c r="A466" t="s">
        <v>1190</v>
      </c>
      <c r="B466" t="s">
        <v>275</v>
      </c>
      <c r="C466" t="s">
        <v>35</v>
      </c>
      <c r="D466" t="s">
        <v>1195</v>
      </c>
      <c r="E466" t="s">
        <v>276</v>
      </c>
      <c r="F466" t="s">
        <v>277</v>
      </c>
      <c r="G466">
        <f>HYPERLINK("http://clipc-services.ceda.ac.uk/dreq/u/4c69515bfc84c5cb5624e94228f58351.html","web")</f>
        <v>0</v>
      </c>
      <c r="J466" t="s">
        <v>278</v>
      </c>
      <c r="K466" t="s">
        <v>1196</v>
      </c>
      <c r="M466" t="s">
        <v>277</v>
      </c>
    </row>
    <row r="468" spans="1:13">
      <c r="A468" t="s">
        <v>1197</v>
      </c>
      <c r="B468" t="s">
        <v>1198</v>
      </c>
      <c r="C468" t="s">
        <v>16</v>
      </c>
      <c r="D468" t="s">
        <v>17</v>
      </c>
      <c r="E468" t="s">
        <v>1199</v>
      </c>
      <c r="F468" t="s">
        <v>35</v>
      </c>
      <c r="G468">
        <f>HYPERLINK("http://clipc-services.ceda.ac.uk/dreq/u/5913a2fe-9e49-11e5-803c-0d0b866b59f3.html","web")</f>
        <v>0</v>
      </c>
      <c r="J468" t="s">
        <v>1200</v>
      </c>
      <c r="K468" t="s">
        <v>21</v>
      </c>
      <c r="M468" t="s">
        <v>35</v>
      </c>
    </row>
    <row r="469" spans="1:13">
      <c r="A469" t="s">
        <v>1197</v>
      </c>
      <c r="B469" t="s">
        <v>1201</v>
      </c>
      <c r="C469" t="s">
        <v>16</v>
      </c>
      <c r="D469" t="s">
        <v>17</v>
      </c>
      <c r="E469" t="s">
        <v>1202</v>
      </c>
      <c r="F469" t="s">
        <v>35</v>
      </c>
      <c r="G469">
        <f>HYPERLINK("http://clipc-services.ceda.ac.uk/dreq/u/59151288-9e49-11e5-803c-0d0b866b59f3.html","web")</f>
        <v>0</v>
      </c>
      <c r="J469" t="s">
        <v>1203</v>
      </c>
      <c r="K469" t="s">
        <v>21</v>
      </c>
      <c r="M469" t="s">
        <v>35</v>
      </c>
    </row>
    <row r="470" spans="1:13">
      <c r="A470" t="s">
        <v>1197</v>
      </c>
      <c r="B470" t="s">
        <v>1204</v>
      </c>
      <c r="C470" t="s">
        <v>16</v>
      </c>
      <c r="D470" t="s">
        <v>1084</v>
      </c>
      <c r="E470" t="s">
        <v>1205</v>
      </c>
      <c r="F470" t="s">
        <v>35</v>
      </c>
      <c r="G470">
        <f>HYPERLINK("http://clipc-services.ceda.ac.uk/dreq/u/7c0c62d0dc4787a601a1bc1c4e3f7597.html","web")</f>
        <v>0</v>
      </c>
      <c r="J470" t="s">
        <v>1206</v>
      </c>
      <c r="K470" t="s">
        <v>21</v>
      </c>
      <c r="M470" t="s">
        <v>35</v>
      </c>
    </row>
    <row r="471" spans="1:13">
      <c r="A471" t="s">
        <v>1197</v>
      </c>
      <c r="B471" t="s">
        <v>1207</v>
      </c>
      <c r="C471" t="s">
        <v>16</v>
      </c>
      <c r="D471" t="s">
        <v>1084</v>
      </c>
      <c r="E471" t="s">
        <v>1208</v>
      </c>
      <c r="F471" t="s">
        <v>35</v>
      </c>
      <c r="G471">
        <f>HYPERLINK("http://clipc-services.ceda.ac.uk/dreq/u/ffa75c4442ad340cb0cdeb11aa19f044.html","web")</f>
        <v>0</v>
      </c>
      <c r="J471" t="s">
        <v>1209</v>
      </c>
      <c r="K471" t="s">
        <v>21</v>
      </c>
      <c r="M471" t="s">
        <v>35</v>
      </c>
    </row>
    <row r="472" spans="1:13">
      <c r="A472" t="s">
        <v>1197</v>
      </c>
      <c r="B472" t="s">
        <v>1210</v>
      </c>
      <c r="C472" t="s">
        <v>16</v>
      </c>
      <c r="D472" t="s">
        <v>17</v>
      </c>
      <c r="E472" t="s">
        <v>1211</v>
      </c>
      <c r="F472" t="s">
        <v>35</v>
      </c>
      <c r="G472">
        <f>HYPERLINK("http://clipc-services.ceda.ac.uk/dreq/u/590f21d4-9e49-11e5-803c-0d0b866b59f3.html","web")</f>
        <v>0</v>
      </c>
      <c r="J472" t="s">
        <v>1212</v>
      </c>
      <c r="K472" t="s">
        <v>21</v>
      </c>
      <c r="M472" t="s">
        <v>35</v>
      </c>
    </row>
    <row r="473" spans="1:13">
      <c r="A473" t="s">
        <v>1197</v>
      </c>
      <c r="B473" t="s">
        <v>1213</v>
      </c>
      <c r="C473" t="s">
        <v>16</v>
      </c>
      <c r="D473" t="s">
        <v>17</v>
      </c>
      <c r="E473" t="s">
        <v>1214</v>
      </c>
      <c r="F473" t="s">
        <v>35</v>
      </c>
      <c r="G473">
        <f>HYPERLINK("http://clipc-services.ceda.ac.uk/dreq/u/5914b9be-9e49-11e5-803c-0d0b866b59f3.html","web")</f>
        <v>0</v>
      </c>
      <c r="J473" t="s">
        <v>1215</v>
      </c>
      <c r="K473" t="s">
        <v>21</v>
      </c>
      <c r="M473" t="s">
        <v>35</v>
      </c>
    </row>
    <row r="474" spans="1:13">
      <c r="A474" t="s">
        <v>1197</v>
      </c>
      <c r="B474" t="s">
        <v>1216</v>
      </c>
      <c r="C474" t="s">
        <v>16</v>
      </c>
      <c r="D474" t="s">
        <v>17</v>
      </c>
      <c r="E474" t="s">
        <v>1217</v>
      </c>
      <c r="F474" t="s">
        <v>35</v>
      </c>
      <c r="G474">
        <f>HYPERLINK("http://clipc-services.ceda.ac.uk/dreq/u/5917d1d0-9e49-11e5-803c-0d0b866b59f3.html","web")</f>
        <v>0</v>
      </c>
      <c r="J474" t="s">
        <v>1218</v>
      </c>
      <c r="K474" t="s">
        <v>21</v>
      </c>
      <c r="M474" t="s">
        <v>35</v>
      </c>
    </row>
    <row r="475" spans="1:13">
      <c r="A475" t="s">
        <v>1197</v>
      </c>
      <c r="B475" t="s">
        <v>1219</v>
      </c>
      <c r="C475" t="s">
        <v>35</v>
      </c>
      <c r="D475" t="s">
        <v>1118</v>
      </c>
      <c r="E475" t="s">
        <v>1220</v>
      </c>
      <c r="F475" t="s">
        <v>305</v>
      </c>
      <c r="G475">
        <f>HYPERLINK("http://clipc-services.ceda.ac.uk/dreq/u/5917b704-9e49-11e5-803c-0d0b866b59f3.html","web")</f>
        <v>0</v>
      </c>
      <c r="J475" t="s">
        <v>1221</v>
      </c>
      <c r="K475" t="s">
        <v>21</v>
      </c>
      <c r="M475" t="s">
        <v>305</v>
      </c>
    </row>
    <row r="477" spans="1:13">
      <c r="A477" t="s">
        <v>1222</v>
      </c>
      <c r="B477" t="s">
        <v>1223</v>
      </c>
      <c r="C477" t="s">
        <v>35</v>
      </c>
      <c r="D477" t="s">
        <v>152</v>
      </c>
      <c r="E477" t="s">
        <v>1224</v>
      </c>
      <c r="F477" t="s">
        <v>967</v>
      </c>
      <c r="G477">
        <f>HYPERLINK("http://clipc-services.ceda.ac.uk/dreq/u/59137996-9e49-11e5-803c-0d0b866b59f3.html","web")</f>
        <v>0</v>
      </c>
      <c r="J477" t="s">
        <v>1225</v>
      </c>
      <c r="K477" t="s">
        <v>1046</v>
      </c>
      <c r="M477" t="s">
        <v>967</v>
      </c>
    </row>
    <row r="478" spans="1:13">
      <c r="A478" t="s">
        <v>1222</v>
      </c>
      <c r="B478" t="s">
        <v>1226</v>
      </c>
      <c r="C478" t="s">
        <v>35</v>
      </c>
      <c r="D478" t="s">
        <v>152</v>
      </c>
      <c r="E478" t="s">
        <v>1227</v>
      </c>
      <c r="F478" t="s">
        <v>967</v>
      </c>
      <c r="G478">
        <f>HYPERLINK("http://clipc-services.ceda.ac.uk/dreq/u/59d5c1ca37702f3ab916f1c9096d8f7f.html","web")</f>
        <v>0</v>
      </c>
      <c r="J478" t="s">
        <v>1228</v>
      </c>
      <c r="K478" t="s">
        <v>1046</v>
      </c>
      <c r="M478" t="s">
        <v>967</v>
      </c>
    </row>
    <row r="479" spans="1:13">
      <c r="A479" t="s">
        <v>1222</v>
      </c>
      <c r="B479" t="s">
        <v>1229</v>
      </c>
      <c r="C479" t="s">
        <v>35</v>
      </c>
      <c r="D479" t="s">
        <v>152</v>
      </c>
      <c r="E479" t="s">
        <v>1230</v>
      </c>
      <c r="F479" t="s">
        <v>1231</v>
      </c>
      <c r="G479">
        <f>HYPERLINK("http://clipc-services.ceda.ac.uk/dreq/u/f946653cd518e221676f263a895c7852.html","web")</f>
        <v>0</v>
      </c>
      <c r="J479" t="s">
        <v>1232</v>
      </c>
      <c r="K479" t="s">
        <v>1046</v>
      </c>
      <c r="M479" t="s">
        <v>1231</v>
      </c>
    </row>
    <row r="480" spans="1:13">
      <c r="A480" t="s">
        <v>1222</v>
      </c>
      <c r="B480" t="s">
        <v>1233</v>
      </c>
      <c r="C480" t="s">
        <v>35</v>
      </c>
      <c r="D480" t="s">
        <v>152</v>
      </c>
      <c r="E480" t="s">
        <v>1234</v>
      </c>
      <c r="F480" t="s">
        <v>47</v>
      </c>
      <c r="G480">
        <f>HYPERLINK("http://clipc-services.ceda.ac.uk/dreq/u/59150acc-9e49-11e5-803c-0d0b866b59f3.html","web")</f>
        <v>0</v>
      </c>
      <c r="J480" t="s">
        <v>1235</v>
      </c>
      <c r="K480" t="s">
        <v>1046</v>
      </c>
      <c r="M480" t="s">
        <v>47</v>
      </c>
    </row>
    <row r="481" spans="1:13">
      <c r="A481" t="s">
        <v>1222</v>
      </c>
      <c r="B481" t="s">
        <v>1236</v>
      </c>
      <c r="C481" t="s">
        <v>35</v>
      </c>
      <c r="D481" t="s">
        <v>152</v>
      </c>
      <c r="E481" t="s">
        <v>1237</v>
      </c>
      <c r="F481" t="s">
        <v>47</v>
      </c>
      <c r="G481">
        <f>HYPERLINK("http://clipc-services.ceda.ac.uk/dreq/u/590ef7b8-9e49-11e5-803c-0d0b866b59f3.html","web")</f>
        <v>0</v>
      </c>
      <c r="J481" t="s">
        <v>1238</v>
      </c>
      <c r="K481" t="s">
        <v>1046</v>
      </c>
      <c r="M481" t="s">
        <v>47</v>
      </c>
    </row>
    <row r="482" spans="1:13">
      <c r="A482" t="s">
        <v>1222</v>
      </c>
      <c r="B482" t="s">
        <v>1239</v>
      </c>
      <c r="C482" t="s">
        <v>35</v>
      </c>
      <c r="D482" t="s">
        <v>1240</v>
      </c>
      <c r="E482" t="s">
        <v>1241</v>
      </c>
      <c r="F482" t="s">
        <v>38</v>
      </c>
      <c r="G482">
        <f>HYPERLINK("http://clipc-services.ceda.ac.uk/dreq/u/bf56baca-c14c-11e6-bb6a-ac72891c3257.html","web")</f>
        <v>0</v>
      </c>
      <c r="J482" t="s">
        <v>1242</v>
      </c>
      <c r="K482" t="s">
        <v>956</v>
      </c>
      <c r="M482" t="s">
        <v>38</v>
      </c>
    </row>
    <row r="483" spans="1:13">
      <c r="A483" t="s">
        <v>1222</v>
      </c>
      <c r="B483" t="s">
        <v>1061</v>
      </c>
      <c r="C483" t="s">
        <v>35</v>
      </c>
      <c r="D483" t="s">
        <v>1243</v>
      </c>
      <c r="E483" t="s">
        <v>1063</v>
      </c>
      <c r="F483" t="s">
        <v>38</v>
      </c>
      <c r="G483">
        <f>HYPERLINK("http://clipc-services.ceda.ac.uk/dreq/u/59149a10-9e49-11e5-803c-0d0b866b59f3.html","web")</f>
        <v>0</v>
      </c>
      <c r="J483" t="s">
        <v>1064</v>
      </c>
      <c r="K483" t="s">
        <v>1046</v>
      </c>
      <c r="M483" t="s">
        <v>38</v>
      </c>
    </row>
    <row r="484" spans="1:13">
      <c r="A484" t="s">
        <v>1222</v>
      </c>
      <c r="B484" t="s">
        <v>1065</v>
      </c>
      <c r="C484" t="s">
        <v>35</v>
      </c>
      <c r="D484" t="s">
        <v>1244</v>
      </c>
      <c r="E484" t="s">
        <v>1067</v>
      </c>
      <c r="F484" t="s">
        <v>38</v>
      </c>
      <c r="G484">
        <f>HYPERLINK("http://clipc-services.ceda.ac.uk/dreq/u/5912eff8-9e49-11e5-803c-0d0b866b59f3.html","web")</f>
        <v>0</v>
      </c>
      <c r="J484" t="s">
        <v>1068</v>
      </c>
      <c r="K484" t="s">
        <v>1046</v>
      </c>
      <c r="M484" t="s">
        <v>38</v>
      </c>
    </row>
    <row r="485" spans="1:13">
      <c r="A485" t="s">
        <v>1222</v>
      </c>
      <c r="B485" t="s">
        <v>1245</v>
      </c>
      <c r="C485" t="s">
        <v>35</v>
      </c>
      <c r="D485" t="s">
        <v>152</v>
      </c>
      <c r="E485" t="s">
        <v>1246</v>
      </c>
      <c r="F485" t="s">
        <v>47</v>
      </c>
      <c r="G485">
        <f>HYPERLINK("http://clipc-services.ceda.ac.uk/dreq/u/63f4c915f87b16a8be343d68da4cb588.html","web")</f>
        <v>0</v>
      </c>
      <c r="J485" t="s">
        <v>1247</v>
      </c>
      <c r="K485" t="s">
        <v>1046</v>
      </c>
      <c r="M485" t="s">
        <v>47</v>
      </c>
    </row>
    <row r="486" spans="1:13">
      <c r="A486" t="s">
        <v>1222</v>
      </c>
      <c r="B486" t="s">
        <v>1248</v>
      </c>
      <c r="C486" t="s">
        <v>35</v>
      </c>
      <c r="D486" t="s">
        <v>152</v>
      </c>
      <c r="E486" t="s">
        <v>1249</v>
      </c>
      <c r="F486" t="s">
        <v>47</v>
      </c>
      <c r="G486">
        <f>HYPERLINK("http://clipc-services.ceda.ac.uk/dreq/u/56a47cf7cfc55a6e7e2cd20570ca58d2.html","web")</f>
        <v>0</v>
      </c>
      <c r="J486" t="s">
        <v>1250</v>
      </c>
      <c r="K486" t="s">
        <v>1046</v>
      </c>
      <c r="M486" t="s">
        <v>47</v>
      </c>
    </row>
    <row r="487" spans="1:13">
      <c r="A487" t="s">
        <v>1222</v>
      </c>
      <c r="B487" t="s">
        <v>1251</v>
      </c>
      <c r="C487" t="s">
        <v>35</v>
      </c>
      <c r="D487" t="s">
        <v>152</v>
      </c>
      <c r="E487" t="s">
        <v>1252</v>
      </c>
      <c r="F487" t="s">
        <v>47</v>
      </c>
      <c r="G487">
        <f>HYPERLINK("http://clipc-services.ceda.ac.uk/dreq/u/ea403af77498d4ba904c34318ad875d2.html","web")</f>
        <v>0</v>
      </c>
      <c r="J487" t="s">
        <v>1253</v>
      </c>
      <c r="K487" t="s">
        <v>1046</v>
      </c>
      <c r="M487" t="s">
        <v>47</v>
      </c>
    </row>
    <row r="488" spans="1:13">
      <c r="A488" t="s">
        <v>1222</v>
      </c>
      <c r="B488" t="s">
        <v>1254</v>
      </c>
      <c r="C488" t="s">
        <v>35</v>
      </c>
      <c r="D488" t="s">
        <v>152</v>
      </c>
      <c r="E488" t="s">
        <v>1255</v>
      </c>
      <c r="F488" t="s">
        <v>47</v>
      </c>
      <c r="G488">
        <f>HYPERLINK("http://clipc-services.ceda.ac.uk/dreq/u/0083db3aca27478aebd38e9de419dda1.html","web")</f>
        <v>0</v>
      </c>
      <c r="J488" t="s">
        <v>1256</v>
      </c>
      <c r="K488" t="s">
        <v>1046</v>
      </c>
      <c r="M488" t="s">
        <v>47</v>
      </c>
    </row>
    <row r="489" spans="1:13">
      <c r="A489" t="s">
        <v>1222</v>
      </c>
      <c r="B489" t="s">
        <v>1257</v>
      </c>
      <c r="C489" t="s">
        <v>35</v>
      </c>
      <c r="D489" t="s">
        <v>152</v>
      </c>
      <c r="E489" t="s">
        <v>1258</v>
      </c>
      <c r="F489" t="s">
        <v>47</v>
      </c>
      <c r="G489">
        <f>HYPERLINK("http://clipc-services.ceda.ac.uk/dreq/u/0b532d0ceea95666627dcf99b44f68c3.html","web")</f>
        <v>0</v>
      </c>
      <c r="J489" t="s">
        <v>1259</v>
      </c>
      <c r="K489" t="s">
        <v>1046</v>
      </c>
      <c r="M489" t="s">
        <v>47</v>
      </c>
    </row>
    <row r="490" spans="1:13">
      <c r="A490" t="s">
        <v>1222</v>
      </c>
      <c r="B490" t="s">
        <v>1260</v>
      </c>
      <c r="C490" t="s">
        <v>35</v>
      </c>
      <c r="D490" t="s">
        <v>152</v>
      </c>
      <c r="E490" t="s">
        <v>1261</v>
      </c>
      <c r="F490" t="s">
        <v>47</v>
      </c>
      <c r="G490">
        <f>HYPERLINK("http://clipc-services.ceda.ac.uk/dreq/u/a17b2a3bcad6c41455a7e2474fb1fdcb.html","web")</f>
        <v>0</v>
      </c>
      <c r="J490" t="s">
        <v>1262</v>
      </c>
      <c r="K490" t="s">
        <v>1046</v>
      </c>
      <c r="M490" t="s">
        <v>47</v>
      </c>
    </row>
    <row r="491" spans="1:13">
      <c r="A491" t="s">
        <v>1222</v>
      </c>
      <c r="B491" t="s">
        <v>1263</v>
      </c>
      <c r="C491" t="s">
        <v>35</v>
      </c>
      <c r="D491" t="s">
        <v>152</v>
      </c>
      <c r="E491" t="s">
        <v>1264</v>
      </c>
      <c r="F491" t="s">
        <v>47</v>
      </c>
      <c r="G491">
        <f>HYPERLINK("http://clipc-services.ceda.ac.uk/dreq/u/3ba3b98a96f7c6bc89f96004879811d3.html","web")</f>
        <v>0</v>
      </c>
      <c r="J491" t="s">
        <v>1265</v>
      </c>
      <c r="K491" t="s">
        <v>1046</v>
      </c>
      <c r="M491" t="s">
        <v>47</v>
      </c>
    </row>
    <row r="492" spans="1:13">
      <c r="A492" t="s">
        <v>1222</v>
      </c>
      <c r="B492" t="s">
        <v>1266</v>
      </c>
      <c r="C492" t="s">
        <v>35</v>
      </c>
      <c r="D492" t="s">
        <v>152</v>
      </c>
      <c r="E492" t="s">
        <v>1267</v>
      </c>
      <c r="F492" t="s">
        <v>47</v>
      </c>
      <c r="G492">
        <f>HYPERLINK("http://clipc-services.ceda.ac.uk/dreq/u/e8d9deb887c24ae8008ca2179208f99d.html","web")</f>
        <v>0</v>
      </c>
      <c r="J492" t="s">
        <v>1268</v>
      </c>
      <c r="K492" t="s">
        <v>1046</v>
      </c>
      <c r="M492" t="s">
        <v>47</v>
      </c>
    </row>
    <row r="493" spans="1:13">
      <c r="A493" t="s">
        <v>1222</v>
      </c>
      <c r="B493" t="s">
        <v>1269</v>
      </c>
      <c r="C493" t="s">
        <v>35</v>
      </c>
      <c r="D493" t="s">
        <v>1270</v>
      </c>
      <c r="E493" t="s">
        <v>1271</v>
      </c>
      <c r="F493" t="s">
        <v>47</v>
      </c>
      <c r="G493">
        <f>HYPERLINK("http://clipc-services.ceda.ac.uk/dreq/u/590d17f4-9e49-11e5-803c-0d0b866b59f3.html","web")</f>
        <v>0</v>
      </c>
      <c r="J493" t="s">
        <v>1272</v>
      </c>
      <c r="K493" t="s">
        <v>1273</v>
      </c>
      <c r="M493" t="s">
        <v>47</v>
      </c>
    </row>
    <row r="494" spans="1:13">
      <c r="A494" t="s">
        <v>1222</v>
      </c>
      <c r="B494" t="s">
        <v>1069</v>
      </c>
      <c r="C494" t="s">
        <v>35</v>
      </c>
      <c r="D494" t="s">
        <v>1274</v>
      </c>
      <c r="E494" t="s">
        <v>1071</v>
      </c>
      <c r="F494" t="s">
        <v>35</v>
      </c>
      <c r="G494">
        <f>HYPERLINK("http://clipc-services.ceda.ac.uk/dreq/u/a06b8e83250b870d9f39dc1f6534efcb.html","web")</f>
        <v>0</v>
      </c>
      <c r="J494" t="s">
        <v>1072</v>
      </c>
      <c r="K494" t="s">
        <v>1046</v>
      </c>
      <c r="M494" t="s">
        <v>35</v>
      </c>
    </row>
    <row r="495" spans="1:13">
      <c r="A495" t="s">
        <v>1222</v>
      </c>
      <c r="B495" t="s">
        <v>948</v>
      </c>
      <c r="C495" t="s">
        <v>35</v>
      </c>
      <c r="D495" t="s">
        <v>152</v>
      </c>
      <c r="E495" t="s">
        <v>949</v>
      </c>
      <c r="F495" t="s">
        <v>182</v>
      </c>
      <c r="G495">
        <f>HYPERLINK("http://clipc-services.ceda.ac.uk/dreq/u/7553003ead183dd3276108b6311a337f.html","web")</f>
        <v>0</v>
      </c>
      <c r="J495" t="s">
        <v>950</v>
      </c>
      <c r="K495" t="s">
        <v>1275</v>
      </c>
      <c r="M495" t="s">
        <v>182</v>
      </c>
    </row>
    <row r="496" spans="1:13">
      <c r="A496" t="s">
        <v>1222</v>
      </c>
      <c r="B496" t="s">
        <v>1276</v>
      </c>
      <c r="C496" t="s">
        <v>35</v>
      </c>
      <c r="D496" t="s">
        <v>152</v>
      </c>
      <c r="E496" t="s">
        <v>1277</v>
      </c>
      <c r="F496" t="s">
        <v>57</v>
      </c>
      <c r="G496">
        <f>HYPERLINK("http://clipc-services.ceda.ac.uk/dreq/u/590f64fa-9e49-11e5-803c-0d0b866b59f3.html","web")</f>
        <v>0</v>
      </c>
      <c r="J496" t="s">
        <v>1278</v>
      </c>
      <c r="K496" t="s">
        <v>1046</v>
      </c>
      <c r="M496" t="s">
        <v>57</v>
      </c>
    </row>
    <row r="497" spans="1:13">
      <c r="A497" t="s">
        <v>1222</v>
      </c>
      <c r="B497" t="s">
        <v>1279</v>
      </c>
      <c r="C497" t="s">
        <v>35</v>
      </c>
      <c r="D497" t="s">
        <v>152</v>
      </c>
      <c r="E497" t="s">
        <v>1280</v>
      </c>
      <c r="F497" t="s">
        <v>57</v>
      </c>
      <c r="G497">
        <f>HYPERLINK("http://clipc-services.ceda.ac.uk/dreq/u/59131be0-9e49-11e5-803c-0d0b866b59f3.html","web")</f>
        <v>0</v>
      </c>
      <c r="J497" t="s">
        <v>1281</v>
      </c>
      <c r="K497" t="s">
        <v>1046</v>
      </c>
      <c r="M497" t="s">
        <v>57</v>
      </c>
    </row>
    <row r="498" spans="1:13">
      <c r="A498" t="s">
        <v>1222</v>
      </c>
      <c r="B498" t="s">
        <v>1282</v>
      </c>
      <c r="C498" t="s">
        <v>35</v>
      </c>
      <c r="D498" t="s">
        <v>152</v>
      </c>
      <c r="E498" t="s">
        <v>1283</v>
      </c>
      <c r="F498" t="s">
        <v>74</v>
      </c>
      <c r="G498">
        <f>HYPERLINK("http://clipc-services.ceda.ac.uk/dreq/u/6ca9dd8a089b15fb96841e9fe56411cf.html","web")</f>
        <v>0</v>
      </c>
      <c r="J498" t="s">
        <v>1284</v>
      </c>
      <c r="K498" t="s">
        <v>1046</v>
      </c>
      <c r="M498" t="s">
        <v>74</v>
      </c>
    </row>
    <row r="499" spans="1:13">
      <c r="A499" t="s">
        <v>1222</v>
      </c>
      <c r="B499" t="s">
        <v>481</v>
      </c>
      <c r="C499" t="s">
        <v>35</v>
      </c>
      <c r="D499" t="s">
        <v>152</v>
      </c>
      <c r="E499" t="s">
        <v>482</v>
      </c>
      <c r="F499" t="s">
        <v>74</v>
      </c>
      <c r="G499">
        <f>HYPERLINK("http://clipc-services.ceda.ac.uk/dreq/u/f27656eeae247192e82aa1032c911399.html","web")</f>
        <v>0</v>
      </c>
      <c r="J499" t="s">
        <v>483</v>
      </c>
      <c r="K499" t="s">
        <v>1046</v>
      </c>
      <c r="M499" t="s">
        <v>74</v>
      </c>
    </row>
    <row r="500" spans="1:13">
      <c r="A500" t="s">
        <v>1222</v>
      </c>
      <c r="B500" t="s">
        <v>1285</v>
      </c>
      <c r="C500" t="s">
        <v>35</v>
      </c>
      <c r="D500" t="s">
        <v>152</v>
      </c>
      <c r="E500" t="s">
        <v>1286</v>
      </c>
      <c r="F500" t="s">
        <v>967</v>
      </c>
      <c r="G500">
        <f>HYPERLINK("http://clipc-services.ceda.ac.uk/dreq/u/5917af7a-9e49-11e5-803c-0d0b866b59f3.html","web")</f>
        <v>0</v>
      </c>
      <c r="J500" t="s">
        <v>1287</v>
      </c>
      <c r="K500" t="s">
        <v>1046</v>
      </c>
      <c r="M500" t="s">
        <v>967</v>
      </c>
    </row>
    <row r="501" spans="1:13">
      <c r="A501" t="s">
        <v>1222</v>
      </c>
      <c r="B501" t="s">
        <v>1288</v>
      </c>
      <c r="C501" t="s">
        <v>35</v>
      </c>
      <c r="D501" t="s">
        <v>1240</v>
      </c>
      <c r="E501" t="s">
        <v>1289</v>
      </c>
      <c r="F501" t="s">
        <v>305</v>
      </c>
      <c r="G501">
        <f>HYPERLINK("http://clipc-services.ceda.ac.uk/dreq/u/170ff384-b622-11e6-bbe2-ac72891c3257.html","web")</f>
        <v>0</v>
      </c>
      <c r="J501" t="s">
        <v>1290</v>
      </c>
      <c r="K501" t="s">
        <v>956</v>
      </c>
      <c r="M501" t="s">
        <v>305</v>
      </c>
    </row>
    <row r="502" spans="1:13">
      <c r="A502" t="s">
        <v>1222</v>
      </c>
      <c r="B502" t="s">
        <v>1291</v>
      </c>
      <c r="C502" t="s">
        <v>35</v>
      </c>
      <c r="D502" t="s">
        <v>1240</v>
      </c>
      <c r="E502" t="s">
        <v>1292</v>
      </c>
      <c r="F502" t="s">
        <v>305</v>
      </c>
      <c r="G502">
        <f>HYPERLINK("http://clipc-services.ceda.ac.uk/dreq/u/1758307c-b622-11e6-bbe2-ac72891c3257.html","web")</f>
        <v>0</v>
      </c>
      <c r="J502" t="s">
        <v>1293</v>
      </c>
      <c r="K502" t="s">
        <v>956</v>
      </c>
      <c r="M502" t="s">
        <v>305</v>
      </c>
    </row>
    <row r="503" spans="1:13">
      <c r="A503" t="s">
        <v>1222</v>
      </c>
      <c r="B503" t="s">
        <v>1294</v>
      </c>
      <c r="C503" t="s">
        <v>35</v>
      </c>
      <c r="D503" t="s">
        <v>152</v>
      </c>
      <c r="E503" t="s">
        <v>1295</v>
      </c>
      <c r="F503" t="s">
        <v>325</v>
      </c>
      <c r="G503">
        <f>HYPERLINK("http://clipc-services.ceda.ac.uk/dreq/u/590ea93e-9e49-11e5-803c-0d0b866b59f3.html","web")</f>
        <v>0</v>
      </c>
      <c r="J503" t="s">
        <v>1296</v>
      </c>
      <c r="K503" t="s">
        <v>354</v>
      </c>
      <c r="M503" t="s">
        <v>325</v>
      </c>
    </row>
    <row r="504" spans="1:13">
      <c r="A504" t="s">
        <v>1222</v>
      </c>
      <c r="B504" t="s">
        <v>1297</v>
      </c>
      <c r="C504" t="s">
        <v>35</v>
      </c>
      <c r="D504" t="s">
        <v>152</v>
      </c>
      <c r="E504" t="s">
        <v>1298</v>
      </c>
      <c r="F504" t="s">
        <v>325</v>
      </c>
      <c r="G504">
        <f>HYPERLINK("http://clipc-services.ceda.ac.uk/dreq/u/590f5b72-9e49-11e5-803c-0d0b866b59f3.html","web")</f>
        <v>0</v>
      </c>
      <c r="J504" t="s">
        <v>1299</v>
      </c>
      <c r="K504" t="s">
        <v>354</v>
      </c>
      <c r="M504" t="s">
        <v>325</v>
      </c>
    </row>
    <row r="506" spans="1:13">
      <c r="A506" t="s">
        <v>1300</v>
      </c>
      <c r="B506" t="s">
        <v>1301</v>
      </c>
      <c r="C506" t="s">
        <v>35</v>
      </c>
      <c r="D506" t="s">
        <v>350</v>
      </c>
      <c r="E506" t="s">
        <v>1302</v>
      </c>
      <c r="F506" t="s">
        <v>892</v>
      </c>
      <c r="G506">
        <f>HYPERLINK("http://clipc-services.ceda.ac.uk/dreq/u/96a44ea6-b096-11e6-aab6-ac72891c3257.html","web")</f>
        <v>0</v>
      </c>
      <c r="J506" t="s">
        <v>1303</v>
      </c>
      <c r="K506" t="s">
        <v>69</v>
      </c>
      <c r="M506" t="s">
        <v>892</v>
      </c>
    </row>
    <row r="507" spans="1:13">
      <c r="A507" t="s">
        <v>1300</v>
      </c>
      <c r="B507" t="s">
        <v>1304</v>
      </c>
      <c r="C507" t="s">
        <v>35</v>
      </c>
      <c r="D507" t="s">
        <v>350</v>
      </c>
      <c r="E507" t="s">
        <v>1305</v>
      </c>
      <c r="F507" t="s">
        <v>892</v>
      </c>
      <c r="G507">
        <f>HYPERLINK("http://clipc-services.ceda.ac.uk/dreq/u/afef6490-b096-11e6-aab6-ac72891c3257.html","web")</f>
        <v>0</v>
      </c>
      <c r="J507" t="s">
        <v>1306</v>
      </c>
      <c r="K507" t="s">
        <v>69</v>
      </c>
      <c r="M507" t="s">
        <v>892</v>
      </c>
    </row>
    <row r="508" spans="1:13">
      <c r="A508" t="s">
        <v>1300</v>
      </c>
      <c r="B508" t="s">
        <v>985</v>
      </c>
      <c r="C508" t="s">
        <v>35</v>
      </c>
      <c r="D508" t="s">
        <v>350</v>
      </c>
      <c r="E508" t="s">
        <v>986</v>
      </c>
      <c r="F508" t="s">
        <v>35</v>
      </c>
      <c r="G508">
        <f>HYPERLINK("http://clipc-services.ceda.ac.uk/dreq/u/a7cf325e9bf994ade073a1297378a57c.html","web")</f>
        <v>0</v>
      </c>
      <c r="J508" t="s">
        <v>987</v>
      </c>
      <c r="K508" t="s">
        <v>69</v>
      </c>
      <c r="M508" t="s">
        <v>35</v>
      </c>
    </row>
    <row r="509" spans="1:13">
      <c r="A509" t="s">
        <v>1300</v>
      </c>
      <c r="B509" t="s">
        <v>988</v>
      </c>
      <c r="C509" t="s">
        <v>35</v>
      </c>
      <c r="D509" t="s">
        <v>350</v>
      </c>
      <c r="E509" t="s">
        <v>989</v>
      </c>
      <c r="F509" t="s">
        <v>892</v>
      </c>
      <c r="G509">
        <f>HYPERLINK("http://clipc-services.ceda.ac.uk/dreq/u/cc8f92a2635774d636748ec8007c4bab.html","web")</f>
        <v>0</v>
      </c>
      <c r="J509" t="s">
        <v>990</v>
      </c>
      <c r="K509" t="s">
        <v>69</v>
      </c>
      <c r="M509" t="s">
        <v>892</v>
      </c>
    </row>
    <row r="510" spans="1:13">
      <c r="A510" t="s">
        <v>1300</v>
      </c>
      <c r="B510" t="s">
        <v>1307</v>
      </c>
      <c r="C510" t="s">
        <v>35</v>
      </c>
      <c r="D510" t="s">
        <v>350</v>
      </c>
      <c r="E510" t="s">
        <v>1308</v>
      </c>
      <c r="F510" t="s">
        <v>960</v>
      </c>
      <c r="G510">
        <f>HYPERLINK("http://clipc-services.ceda.ac.uk/dreq/u/e703d0fcbdd5f975485b3404a331ed91.html","web")</f>
        <v>0</v>
      </c>
      <c r="J510" t="s">
        <v>1309</v>
      </c>
      <c r="K510" t="s">
        <v>1310</v>
      </c>
      <c r="M510" t="s">
        <v>960</v>
      </c>
    </row>
    <row r="511" spans="1:13">
      <c r="A511" t="s">
        <v>1300</v>
      </c>
      <c r="B511" t="s">
        <v>937</v>
      </c>
      <c r="C511" t="s">
        <v>35</v>
      </c>
      <c r="D511" t="s">
        <v>350</v>
      </c>
      <c r="E511" t="s">
        <v>938</v>
      </c>
      <c r="F511" t="s">
        <v>892</v>
      </c>
      <c r="G511">
        <f>HYPERLINK("http://clipc-services.ceda.ac.uk/dreq/u/942125e5a461fef57b1477b9a2bd5fa0.html","web")</f>
        <v>0</v>
      </c>
      <c r="J511" t="s">
        <v>939</v>
      </c>
      <c r="K511" t="s">
        <v>69</v>
      </c>
      <c r="M511" t="s">
        <v>892</v>
      </c>
    </row>
    <row r="512" spans="1:13">
      <c r="A512" t="s">
        <v>1300</v>
      </c>
      <c r="B512" t="s">
        <v>1311</v>
      </c>
      <c r="C512" t="s">
        <v>35</v>
      </c>
      <c r="D512" t="s">
        <v>1312</v>
      </c>
      <c r="E512" t="s">
        <v>1313</v>
      </c>
      <c r="F512" t="s">
        <v>74</v>
      </c>
      <c r="G512">
        <f>HYPERLINK("http://clipc-services.ceda.ac.uk/dreq/u/76248ae1d72c976495be67161d5a8d7d.html","web")</f>
        <v>0</v>
      </c>
      <c r="J512" t="s">
        <v>1314</v>
      </c>
      <c r="K512" t="s">
        <v>69</v>
      </c>
      <c r="M512" t="s">
        <v>74</v>
      </c>
    </row>
    <row r="514" spans="1:13">
      <c r="A514" t="s">
        <v>1315</v>
      </c>
      <c r="B514" t="s">
        <v>412</v>
      </c>
      <c r="C514" t="s">
        <v>35</v>
      </c>
      <c r="D514" t="s">
        <v>1084</v>
      </c>
      <c r="E514" t="s">
        <v>413</v>
      </c>
      <c r="F514" t="s">
        <v>35</v>
      </c>
      <c r="G514">
        <f>HYPERLINK("http://clipc-services.ceda.ac.uk/dreq/u/29fae9ea0f236a3eb144026e1bafde28.html","web")</f>
        <v>0</v>
      </c>
      <c r="J514" t="s">
        <v>414</v>
      </c>
      <c r="K514" t="s">
        <v>1046</v>
      </c>
      <c r="M514" t="s">
        <v>35</v>
      </c>
    </row>
    <row r="515" spans="1:13">
      <c r="A515" t="s">
        <v>1315</v>
      </c>
      <c r="B515" t="s">
        <v>549</v>
      </c>
      <c r="C515" t="s">
        <v>50</v>
      </c>
      <c r="D515" t="s">
        <v>1060</v>
      </c>
      <c r="E515" t="s">
        <v>551</v>
      </c>
      <c r="F515" t="s">
        <v>38</v>
      </c>
      <c r="G515">
        <f>HYPERLINK("http://clipc-services.ceda.ac.uk/dreq/u/1aefc13bd27020244fe1cfd706ce1041.html","web")</f>
        <v>0</v>
      </c>
      <c r="J515" t="s">
        <v>552</v>
      </c>
      <c r="K515" t="s">
        <v>1046</v>
      </c>
      <c r="M515" t="s">
        <v>38</v>
      </c>
    </row>
    <row r="516" spans="1:13">
      <c r="A516" t="s">
        <v>1315</v>
      </c>
      <c r="B516" t="s">
        <v>555</v>
      </c>
      <c r="C516" t="s">
        <v>50</v>
      </c>
      <c r="D516" t="s">
        <v>1060</v>
      </c>
      <c r="E516" t="s">
        <v>556</v>
      </c>
      <c r="F516" t="s">
        <v>35</v>
      </c>
      <c r="G516">
        <f>HYPERLINK("http://clipc-services.ceda.ac.uk/dreq/u/76f247229d5b524d94dfaedd577eeb84.html","web")</f>
        <v>0</v>
      </c>
      <c r="J516" t="s">
        <v>557</v>
      </c>
      <c r="K516" t="s">
        <v>1046</v>
      </c>
      <c r="M516" t="s">
        <v>35</v>
      </c>
    </row>
    <row r="517" spans="1:13">
      <c r="A517" t="s">
        <v>1315</v>
      </c>
      <c r="B517" t="s">
        <v>559</v>
      </c>
      <c r="C517" t="s">
        <v>50</v>
      </c>
      <c r="D517" t="s">
        <v>1060</v>
      </c>
      <c r="E517" t="s">
        <v>560</v>
      </c>
      <c r="F517" t="s">
        <v>35</v>
      </c>
      <c r="G517">
        <f>HYPERLINK("http://clipc-services.ceda.ac.uk/dreq/u/4dbe7bd9b38439125b341edba15aa66a.html","web")</f>
        <v>0</v>
      </c>
      <c r="J517" t="s">
        <v>561</v>
      </c>
      <c r="K517" t="s">
        <v>1046</v>
      </c>
      <c r="M517" t="s">
        <v>35</v>
      </c>
    </row>
    <row r="518" spans="1:13">
      <c r="A518" t="s">
        <v>1315</v>
      </c>
      <c r="B518" t="s">
        <v>563</v>
      </c>
      <c r="C518" t="s">
        <v>50</v>
      </c>
      <c r="D518" t="s">
        <v>1060</v>
      </c>
      <c r="E518" t="s">
        <v>564</v>
      </c>
      <c r="F518" t="s">
        <v>38</v>
      </c>
      <c r="G518">
        <f>HYPERLINK("http://clipc-services.ceda.ac.uk/dreq/u/2cd1940e7201d5adb02ba157a74fc33e.html","web")</f>
        <v>0</v>
      </c>
      <c r="J518" t="s">
        <v>565</v>
      </c>
      <c r="K518" t="s">
        <v>1046</v>
      </c>
      <c r="M518" t="s">
        <v>38</v>
      </c>
    </row>
    <row r="519" spans="1:13">
      <c r="A519" t="s">
        <v>1315</v>
      </c>
      <c r="B519" t="s">
        <v>567</v>
      </c>
      <c r="C519" t="s">
        <v>50</v>
      </c>
      <c r="D519" t="s">
        <v>1060</v>
      </c>
      <c r="E519" t="s">
        <v>568</v>
      </c>
      <c r="F519" t="s">
        <v>35</v>
      </c>
      <c r="G519">
        <f>HYPERLINK("http://clipc-services.ceda.ac.uk/dreq/u/9b75db3b829a01b02dfe952824150a33.html","web")</f>
        <v>0</v>
      </c>
      <c r="J519" t="s">
        <v>569</v>
      </c>
      <c r="K519" t="s">
        <v>1046</v>
      </c>
      <c r="M519" t="s">
        <v>35</v>
      </c>
    </row>
    <row r="520" spans="1:13">
      <c r="A520" t="s">
        <v>1315</v>
      </c>
      <c r="B520" t="s">
        <v>570</v>
      </c>
      <c r="C520" t="s">
        <v>50</v>
      </c>
      <c r="D520" t="s">
        <v>1060</v>
      </c>
      <c r="E520" t="s">
        <v>571</v>
      </c>
      <c r="F520" t="s">
        <v>35</v>
      </c>
      <c r="G520">
        <f>HYPERLINK("http://clipc-services.ceda.ac.uk/dreq/u/e4dc8fb121d8dc2cbc44f1f28eea183b.html","web")</f>
        <v>0</v>
      </c>
      <c r="J520" t="s">
        <v>572</v>
      </c>
      <c r="K520" t="s">
        <v>1046</v>
      </c>
      <c r="M520" t="s">
        <v>35</v>
      </c>
    </row>
    <row r="521" spans="1:13">
      <c r="A521" t="s">
        <v>1315</v>
      </c>
      <c r="B521" t="s">
        <v>1316</v>
      </c>
      <c r="C521" t="s">
        <v>50</v>
      </c>
      <c r="D521" t="s">
        <v>1060</v>
      </c>
      <c r="E521" t="s">
        <v>1317</v>
      </c>
      <c r="F521" t="s">
        <v>35</v>
      </c>
      <c r="G521">
        <f>HYPERLINK("http://clipc-services.ceda.ac.uk/dreq/u/583cc0e465e20507f5aff35387691c4b.html","web")</f>
        <v>0</v>
      </c>
      <c r="J521" t="s">
        <v>1318</v>
      </c>
      <c r="K521" t="s">
        <v>1046</v>
      </c>
      <c r="M521" t="s">
        <v>35</v>
      </c>
    </row>
    <row r="522" spans="1:13">
      <c r="A522" t="s">
        <v>1315</v>
      </c>
      <c r="B522" t="s">
        <v>1319</v>
      </c>
      <c r="C522" t="s">
        <v>50</v>
      </c>
      <c r="D522" t="s">
        <v>1060</v>
      </c>
      <c r="E522" t="s">
        <v>1320</v>
      </c>
      <c r="F522" t="s">
        <v>35</v>
      </c>
      <c r="G522">
        <f>HYPERLINK("http://clipc-services.ceda.ac.uk/dreq/u/04666369846efb977098a42584d9bd42.html","web")</f>
        <v>0</v>
      </c>
      <c r="J522" t="s">
        <v>1318</v>
      </c>
      <c r="K522" t="s">
        <v>1046</v>
      </c>
      <c r="M522" t="s">
        <v>35</v>
      </c>
    </row>
    <row r="523" spans="1:13">
      <c r="A523" t="s">
        <v>1315</v>
      </c>
      <c r="B523" t="s">
        <v>1204</v>
      </c>
      <c r="C523" t="s">
        <v>50</v>
      </c>
      <c r="D523" t="s">
        <v>1060</v>
      </c>
      <c r="E523" t="s">
        <v>1205</v>
      </c>
      <c r="F523" t="s">
        <v>35</v>
      </c>
      <c r="G523">
        <f>HYPERLINK("http://clipc-services.ceda.ac.uk/dreq/u/7c0c62d0dc4787a601a1bc1c4e3f7597.html","web")</f>
        <v>0</v>
      </c>
      <c r="J523" t="s">
        <v>1206</v>
      </c>
      <c r="K523" t="s">
        <v>1046</v>
      </c>
      <c r="M523" t="s">
        <v>35</v>
      </c>
    </row>
    <row r="524" spans="1:13">
      <c r="A524" t="s">
        <v>1315</v>
      </c>
      <c r="B524" t="s">
        <v>1207</v>
      </c>
      <c r="C524" t="s">
        <v>50</v>
      </c>
      <c r="D524" t="s">
        <v>1060</v>
      </c>
      <c r="E524" t="s">
        <v>1208</v>
      </c>
      <c r="F524" t="s">
        <v>35</v>
      </c>
      <c r="G524">
        <f>HYPERLINK("http://clipc-services.ceda.ac.uk/dreq/u/ffa75c4442ad340cb0cdeb11aa19f044.html","web")</f>
        <v>0</v>
      </c>
      <c r="J524" t="s">
        <v>1209</v>
      </c>
      <c r="K524" t="s">
        <v>1046</v>
      </c>
      <c r="M524" t="s">
        <v>35</v>
      </c>
    </row>
    <row r="525" spans="1:13">
      <c r="A525" t="s">
        <v>1315</v>
      </c>
      <c r="B525" t="s">
        <v>1321</v>
      </c>
      <c r="C525" t="s">
        <v>50</v>
      </c>
      <c r="D525" t="s">
        <v>1073</v>
      </c>
      <c r="E525" t="s">
        <v>1322</v>
      </c>
      <c r="F525" t="s">
        <v>182</v>
      </c>
      <c r="G525">
        <f>HYPERLINK("http://clipc-services.ceda.ac.uk/dreq/u/e2574373178c92d41bbc0f8516c16016.html","web")</f>
        <v>0</v>
      </c>
      <c r="J525" t="s">
        <v>1323</v>
      </c>
      <c r="K525" t="s">
        <v>1046</v>
      </c>
      <c r="M525" t="s">
        <v>182</v>
      </c>
    </row>
    <row r="526" spans="1:13">
      <c r="A526" t="s">
        <v>1315</v>
      </c>
      <c r="B526" t="s">
        <v>985</v>
      </c>
      <c r="C526" t="s">
        <v>50</v>
      </c>
      <c r="D526" t="s">
        <v>1060</v>
      </c>
      <c r="E526" t="s">
        <v>986</v>
      </c>
      <c r="F526" t="s">
        <v>35</v>
      </c>
      <c r="G526">
        <f>HYPERLINK("http://clipc-services.ceda.ac.uk/dreq/u/a7cf325e9bf994ade073a1297378a57c.html","web")</f>
        <v>0</v>
      </c>
      <c r="J526" t="s">
        <v>987</v>
      </c>
      <c r="K526" t="s">
        <v>1046</v>
      </c>
      <c r="M526" t="s">
        <v>35</v>
      </c>
    </row>
    <row r="527" spans="1:13">
      <c r="A527" t="s">
        <v>1315</v>
      </c>
      <c r="B527" t="s">
        <v>1324</v>
      </c>
      <c r="C527" t="s">
        <v>50</v>
      </c>
      <c r="D527" t="s">
        <v>1073</v>
      </c>
      <c r="E527" t="s">
        <v>1325</v>
      </c>
      <c r="F527" t="s">
        <v>182</v>
      </c>
      <c r="G527">
        <f>HYPERLINK("http://clipc-services.ceda.ac.uk/dreq/u/efca52ebca27f2ee5c0c7926f776ac1d.html","web")</f>
        <v>0</v>
      </c>
      <c r="J527" t="s">
        <v>950</v>
      </c>
      <c r="K527" t="s">
        <v>1046</v>
      </c>
      <c r="M527" t="s">
        <v>182</v>
      </c>
    </row>
    <row r="528" spans="1:13">
      <c r="A528" t="s">
        <v>1315</v>
      </c>
      <c r="B528" t="s">
        <v>1326</v>
      </c>
      <c r="C528" t="s">
        <v>50</v>
      </c>
      <c r="D528" t="s">
        <v>1073</v>
      </c>
      <c r="E528" t="s">
        <v>1327</v>
      </c>
      <c r="F528" t="s">
        <v>182</v>
      </c>
      <c r="G528">
        <f>HYPERLINK("http://clipc-services.ceda.ac.uk/dreq/u/f7aec4279a79220660f26a558ed5672c.html","web")</f>
        <v>0</v>
      </c>
      <c r="J528" t="s">
        <v>1328</v>
      </c>
      <c r="K528" t="s">
        <v>1046</v>
      </c>
      <c r="M528" t="s">
        <v>182</v>
      </c>
    </row>
    <row r="529" spans="1:13">
      <c r="A529" t="s">
        <v>1315</v>
      </c>
      <c r="B529" t="s">
        <v>1329</v>
      </c>
      <c r="C529" t="s">
        <v>50</v>
      </c>
      <c r="D529" t="s">
        <v>1073</v>
      </c>
      <c r="E529" t="s">
        <v>1330</v>
      </c>
      <c r="F529" t="s">
        <v>182</v>
      </c>
      <c r="G529">
        <f>HYPERLINK("http://clipc-services.ceda.ac.uk/dreq/u/1e53b0fda8f2186407bb29f802c0aa93.html","web")</f>
        <v>0</v>
      </c>
      <c r="J529" t="s">
        <v>1331</v>
      </c>
      <c r="K529" t="s">
        <v>1046</v>
      </c>
      <c r="M529" t="s">
        <v>182</v>
      </c>
    </row>
    <row r="530" spans="1:13">
      <c r="A530" t="s">
        <v>1315</v>
      </c>
      <c r="B530" t="s">
        <v>1332</v>
      </c>
      <c r="C530" t="s">
        <v>50</v>
      </c>
      <c r="D530" t="s">
        <v>1073</v>
      </c>
      <c r="E530" t="s">
        <v>1333</v>
      </c>
      <c r="F530" t="s">
        <v>182</v>
      </c>
      <c r="G530">
        <f>HYPERLINK("http://clipc-services.ceda.ac.uk/dreq/u/27b742af91660071179e5440d83ddc37.html","web")</f>
        <v>0</v>
      </c>
      <c r="J530" t="s">
        <v>1334</v>
      </c>
      <c r="K530" t="s">
        <v>1046</v>
      </c>
      <c r="M530" t="s">
        <v>182</v>
      </c>
    </row>
    <row r="531" spans="1:13">
      <c r="A531" t="s">
        <v>1315</v>
      </c>
      <c r="B531" t="s">
        <v>1120</v>
      </c>
      <c r="C531" t="s">
        <v>50</v>
      </c>
      <c r="D531" t="s">
        <v>1060</v>
      </c>
      <c r="E531" t="s">
        <v>1121</v>
      </c>
      <c r="F531" t="s">
        <v>57</v>
      </c>
      <c r="G531">
        <f>HYPERLINK("http://clipc-services.ceda.ac.uk/dreq/u/d80ff3a0dec0b1256a0943aadab66813.html","web")</f>
        <v>0</v>
      </c>
      <c r="J531" t="s">
        <v>1122</v>
      </c>
      <c r="K531" t="s">
        <v>1046</v>
      </c>
      <c r="M531" t="s">
        <v>57</v>
      </c>
    </row>
    <row r="532" spans="1:13">
      <c r="A532" t="s">
        <v>1315</v>
      </c>
      <c r="B532" t="s">
        <v>1123</v>
      </c>
      <c r="C532" t="s">
        <v>50</v>
      </c>
      <c r="D532" t="s">
        <v>1060</v>
      </c>
      <c r="E532" t="s">
        <v>1124</v>
      </c>
      <c r="F532" t="s">
        <v>57</v>
      </c>
      <c r="G532">
        <f>HYPERLINK("http://clipc-services.ceda.ac.uk/dreq/u/c2270065bb39bfa4fbf0d13a78dfa8a1.html","web")</f>
        <v>0</v>
      </c>
      <c r="J532" t="s">
        <v>1122</v>
      </c>
      <c r="K532" t="s">
        <v>1046</v>
      </c>
      <c r="M532" t="s">
        <v>57</v>
      </c>
    </row>
    <row r="533" spans="1:13">
      <c r="A533" t="s">
        <v>1315</v>
      </c>
      <c r="B533" t="s">
        <v>1125</v>
      </c>
      <c r="C533" t="s">
        <v>50</v>
      </c>
      <c r="D533" t="s">
        <v>1060</v>
      </c>
      <c r="E533" t="s">
        <v>1126</v>
      </c>
      <c r="F533" t="s">
        <v>57</v>
      </c>
      <c r="G533">
        <f>HYPERLINK("http://clipc-services.ceda.ac.uk/dreq/u/7aa8f285b17a5bcfce416f19c29d6d72.html","web")</f>
        <v>0</v>
      </c>
      <c r="J533" t="s">
        <v>1127</v>
      </c>
      <c r="K533" t="s">
        <v>1046</v>
      </c>
      <c r="M533" t="s">
        <v>57</v>
      </c>
    </row>
    <row r="534" spans="1:13">
      <c r="A534" t="s">
        <v>1315</v>
      </c>
      <c r="B534" t="s">
        <v>1128</v>
      </c>
      <c r="C534" t="s">
        <v>50</v>
      </c>
      <c r="D534" t="s">
        <v>1060</v>
      </c>
      <c r="E534" t="s">
        <v>1129</v>
      </c>
      <c r="F534" t="s">
        <v>57</v>
      </c>
      <c r="G534">
        <f>HYPERLINK("http://clipc-services.ceda.ac.uk/dreq/u/ed2fff61c68d8a09d5034168e82ae862.html","web")</f>
        <v>0</v>
      </c>
      <c r="J534" t="s">
        <v>1127</v>
      </c>
      <c r="K534" t="s">
        <v>1046</v>
      </c>
      <c r="M534" t="s">
        <v>57</v>
      </c>
    </row>
    <row r="535" spans="1:13">
      <c r="A535" t="s">
        <v>1315</v>
      </c>
      <c r="B535" t="s">
        <v>1335</v>
      </c>
      <c r="C535" t="s">
        <v>50</v>
      </c>
      <c r="D535" t="s">
        <v>1060</v>
      </c>
      <c r="E535" t="s">
        <v>1336</v>
      </c>
      <c r="F535" t="s">
        <v>57</v>
      </c>
      <c r="G535">
        <f>HYPERLINK("http://clipc-services.ceda.ac.uk/dreq/u/cbd8a804ef6ec2ec45913e74f25d973f.html","web")</f>
        <v>0</v>
      </c>
      <c r="J535" t="s">
        <v>1122</v>
      </c>
      <c r="K535" t="s">
        <v>1046</v>
      </c>
      <c r="M535" t="s">
        <v>57</v>
      </c>
    </row>
    <row r="536" spans="1:13">
      <c r="A536" t="s">
        <v>1315</v>
      </c>
      <c r="B536" t="s">
        <v>1337</v>
      </c>
      <c r="C536" t="s">
        <v>50</v>
      </c>
      <c r="D536" t="s">
        <v>1060</v>
      </c>
      <c r="E536" t="s">
        <v>1338</v>
      </c>
      <c r="F536" t="s">
        <v>57</v>
      </c>
      <c r="G536">
        <f>HYPERLINK("http://clipc-services.ceda.ac.uk/dreq/u/60439f9beed734902e807ce8c572291c.html","web")</f>
        <v>0</v>
      </c>
      <c r="J536" t="s">
        <v>1122</v>
      </c>
      <c r="K536" t="s">
        <v>1046</v>
      </c>
      <c r="M536" t="s">
        <v>57</v>
      </c>
    </row>
    <row r="537" spans="1:13">
      <c r="A537" t="s">
        <v>1315</v>
      </c>
      <c r="B537" t="s">
        <v>1339</v>
      </c>
      <c r="C537" t="s">
        <v>50</v>
      </c>
      <c r="D537" t="s">
        <v>1060</v>
      </c>
      <c r="E537" t="s">
        <v>1340</v>
      </c>
      <c r="F537" t="s">
        <v>57</v>
      </c>
      <c r="G537">
        <f>HYPERLINK("http://clipc-services.ceda.ac.uk/dreq/u/d7f5ed6071c26983b8097d0d4a29a4d0.html","web")</f>
        <v>0</v>
      </c>
      <c r="J537" t="s">
        <v>1122</v>
      </c>
      <c r="K537" t="s">
        <v>1046</v>
      </c>
      <c r="M537" t="s">
        <v>57</v>
      </c>
    </row>
    <row r="538" spans="1:13">
      <c r="A538" t="s">
        <v>1315</v>
      </c>
      <c r="B538" t="s">
        <v>1341</v>
      </c>
      <c r="C538" t="s">
        <v>50</v>
      </c>
      <c r="D538" t="s">
        <v>1060</v>
      </c>
      <c r="E538" t="s">
        <v>1342</v>
      </c>
      <c r="F538" t="s">
        <v>57</v>
      </c>
      <c r="G538">
        <f>HYPERLINK("http://clipc-services.ceda.ac.uk/dreq/u/40386a39f65c07f0fbb689b89eb3a004.html","web")</f>
        <v>0</v>
      </c>
      <c r="J538" t="s">
        <v>1122</v>
      </c>
      <c r="K538" t="s">
        <v>1046</v>
      </c>
      <c r="M538" t="s">
        <v>57</v>
      </c>
    </row>
    <row r="539" spans="1:13">
      <c r="A539" t="s">
        <v>1315</v>
      </c>
      <c r="B539" t="s">
        <v>1343</v>
      </c>
      <c r="C539" t="s">
        <v>50</v>
      </c>
      <c r="D539" t="s">
        <v>1060</v>
      </c>
      <c r="E539" t="s">
        <v>1344</v>
      </c>
      <c r="F539" t="s">
        <v>57</v>
      </c>
      <c r="G539">
        <f>HYPERLINK("http://clipc-services.ceda.ac.uk/dreq/u/3723cf3c0aef7741d065625c75d34d9a.html","web")</f>
        <v>0</v>
      </c>
      <c r="J539" t="s">
        <v>1122</v>
      </c>
      <c r="K539" t="s">
        <v>1046</v>
      </c>
      <c r="M539" t="s">
        <v>57</v>
      </c>
    </row>
    <row r="540" spans="1:13">
      <c r="A540" t="s">
        <v>1315</v>
      </c>
      <c r="B540" t="s">
        <v>459</v>
      </c>
      <c r="C540" t="s">
        <v>35</v>
      </c>
      <c r="D540" t="s">
        <v>1084</v>
      </c>
      <c r="E540" t="s">
        <v>460</v>
      </c>
      <c r="F540" t="s">
        <v>35</v>
      </c>
      <c r="G540">
        <f>HYPERLINK("http://clipc-services.ceda.ac.uk/dreq/u/8de0f30b91b15720398fc10fd712a182.html","web")</f>
        <v>0</v>
      </c>
      <c r="J540" t="s">
        <v>461</v>
      </c>
      <c r="K540" t="s">
        <v>1046</v>
      </c>
      <c r="M540" t="s">
        <v>35</v>
      </c>
    </row>
    <row r="541" spans="1:13">
      <c r="A541" t="s">
        <v>1315</v>
      </c>
      <c r="B541" t="s">
        <v>1345</v>
      </c>
      <c r="C541" t="s">
        <v>50</v>
      </c>
      <c r="D541" t="s">
        <v>1060</v>
      </c>
      <c r="E541" t="s">
        <v>1346</v>
      </c>
      <c r="F541" t="s">
        <v>57</v>
      </c>
      <c r="G541">
        <f>HYPERLINK("http://clipc-services.ceda.ac.uk/dreq/u/216ab26c-b89b-11e6-a189-5404a60d96b5.html","web")</f>
        <v>0</v>
      </c>
      <c r="J541" t="s">
        <v>1347</v>
      </c>
      <c r="K541" t="s">
        <v>1348</v>
      </c>
      <c r="M541" t="s">
        <v>57</v>
      </c>
    </row>
    <row r="542" spans="1:13">
      <c r="A542" t="s">
        <v>1315</v>
      </c>
      <c r="B542" t="s">
        <v>1349</v>
      </c>
      <c r="C542" t="s">
        <v>50</v>
      </c>
      <c r="D542" t="s">
        <v>1073</v>
      </c>
      <c r="E542" t="s">
        <v>1350</v>
      </c>
      <c r="F542" t="s">
        <v>57</v>
      </c>
      <c r="G542">
        <f>HYPERLINK("http://clipc-services.ceda.ac.uk/dreq/u/211dfdaa-b89b-11e6-a189-5404a60d96b5.html","web")</f>
        <v>0</v>
      </c>
      <c r="J542" t="s">
        <v>1351</v>
      </c>
      <c r="K542" t="s">
        <v>1348</v>
      </c>
      <c r="M542" t="s">
        <v>57</v>
      </c>
    </row>
    <row r="544" spans="1:13">
      <c r="A544" t="s">
        <v>1352</v>
      </c>
      <c r="B544" t="s">
        <v>1353</v>
      </c>
      <c r="C544" t="s">
        <v>35</v>
      </c>
      <c r="D544" t="s">
        <v>152</v>
      </c>
      <c r="E544" t="s">
        <v>1354</v>
      </c>
      <c r="F544" t="s">
        <v>182</v>
      </c>
      <c r="G544">
        <f>HYPERLINK("http://clipc-services.ceda.ac.uk/dreq/u/590d6e02-9e49-11e5-803c-0d0b866b59f3.html","web")</f>
        <v>0</v>
      </c>
      <c r="J544" t="s">
        <v>1355</v>
      </c>
      <c r="K544" t="s">
        <v>21</v>
      </c>
      <c r="M544" t="s">
        <v>182</v>
      </c>
    </row>
    <row r="545" spans="1:13">
      <c r="A545" t="s">
        <v>1352</v>
      </c>
      <c r="B545" t="s">
        <v>1356</v>
      </c>
      <c r="C545" t="s">
        <v>35</v>
      </c>
      <c r="D545" t="s">
        <v>152</v>
      </c>
      <c r="E545" t="s">
        <v>1357</v>
      </c>
      <c r="F545" t="s">
        <v>182</v>
      </c>
      <c r="G545">
        <f>HYPERLINK("http://clipc-services.ceda.ac.uk/dreq/u/5917e2ba-9e49-11e5-803c-0d0b866b59f3.html","web")</f>
        <v>0</v>
      </c>
      <c r="J545" t="s">
        <v>950</v>
      </c>
      <c r="K545" t="s">
        <v>40</v>
      </c>
      <c r="M545" t="s">
        <v>182</v>
      </c>
    </row>
    <row r="546" spans="1:13">
      <c r="A546" t="s">
        <v>1352</v>
      </c>
      <c r="B546" t="s">
        <v>1332</v>
      </c>
      <c r="C546" t="s">
        <v>50</v>
      </c>
      <c r="D546" t="s">
        <v>152</v>
      </c>
      <c r="E546" t="s">
        <v>1333</v>
      </c>
      <c r="F546" t="s">
        <v>182</v>
      </c>
      <c r="G546">
        <f>HYPERLINK("http://clipc-services.ceda.ac.uk/dreq/u/27b742af91660071179e5440d83ddc37.html","web")</f>
        <v>0</v>
      </c>
      <c r="J546" t="s">
        <v>1334</v>
      </c>
      <c r="K546" t="s">
        <v>40</v>
      </c>
      <c r="M546" t="s">
        <v>182</v>
      </c>
    </row>
    <row r="548" spans="1:13">
      <c r="A548" t="s">
        <v>1358</v>
      </c>
      <c r="B548" t="s">
        <v>1359</v>
      </c>
      <c r="C548" t="s">
        <v>50</v>
      </c>
      <c r="D548" t="s">
        <v>152</v>
      </c>
      <c r="E548" t="s">
        <v>1360</v>
      </c>
      <c r="F548" t="s">
        <v>47</v>
      </c>
      <c r="G548">
        <f>HYPERLINK("http://clipc-services.ceda.ac.uk/dreq/u/590f49fc-9e49-11e5-803c-0d0b866b59f3.html","web")</f>
        <v>0</v>
      </c>
      <c r="J548" t="s">
        <v>1361</v>
      </c>
      <c r="K548" t="s">
        <v>1362</v>
      </c>
      <c r="M548" t="s">
        <v>47</v>
      </c>
    </row>
    <row r="549" spans="1:13">
      <c r="A549" t="s">
        <v>1358</v>
      </c>
      <c r="B549" t="s">
        <v>1363</v>
      </c>
      <c r="C549" t="s">
        <v>50</v>
      </c>
      <c r="D549" t="s">
        <v>152</v>
      </c>
      <c r="E549" t="s">
        <v>1364</v>
      </c>
      <c r="F549" t="s">
        <v>47</v>
      </c>
      <c r="G549">
        <f>HYPERLINK("http://clipc-services.ceda.ac.uk/dreq/u/590de850-9e49-11e5-803c-0d0b866b59f3.html","web")</f>
        <v>0</v>
      </c>
      <c r="J549" t="s">
        <v>1365</v>
      </c>
      <c r="K549" t="s">
        <v>1362</v>
      </c>
      <c r="M549" t="s">
        <v>47</v>
      </c>
    </row>
    <row r="550" spans="1:13">
      <c r="A550" t="s">
        <v>1358</v>
      </c>
      <c r="B550" t="s">
        <v>1366</v>
      </c>
      <c r="C550" t="s">
        <v>50</v>
      </c>
      <c r="D550" t="s">
        <v>152</v>
      </c>
      <c r="E550" t="s">
        <v>1367</v>
      </c>
      <c r="F550" t="s">
        <v>47</v>
      </c>
      <c r="G550">
        <f>HYPERLINK("http://clipc-services.ceda.ac.uk/dreq/u/590f5e1a-9e49-11e5-803c-0d0b866b59f3.html","web")</f>
        <v>0</v>
      </c>
      <c r="J550" t="s">
        <v>1368</v>
      </c>
      <c r="K550" t="s">
        <v>1362</v>
      </c>
      <c r="M550" t="s">
        <v>47</v>
      </c>
    </row>
    <row r="551" spans="1:13">
      <c r="A551" t="s">
        <v>1358</v>
      </c>
      <c r="B551" t="s">
        <v>1369</v>
      </c>
      <c r="C551" t="s">
        <v>50</v>
      </c>
      <c r="D551" t="s">
        <v>152</v>
      </c>
      <c r="E551" t="s">
        <v>1370</v>
      </c>
      <c r="F551" t="s">
        <v>47</v>
      </c>
      <c r="G551">
        <f>HYPERLINK("http://clipc-services.ceda.ac.uk/dreq/u/59144c36-9e49-11e5-803c-0d0b866b59f3.html","web")</f>
        <v>0</v>
      </c>
      <c r="J551" t="s">
        <v>1371</v>
      </c>
      <c r="K551" t="s">
        <v>1362</v>
      </c>
      <c r="M551" t="s">
        <v>47</v>
      </c>
    </row>
    <row r="552" spans="1:13">
      <c r="A552" t="s">
        <v>1358</v>
      </c>
      <c r="B552" t="s">
        <v>1372</v>
      </c>
      <c r="C552" t="s">
        <v>50</v>
      </c>
      <c r="D552" t="s">
        <v>152</v>
      </c>
      <c r="E552" t="s">
        <v>1373</v>
      </c>
      <c r="F552" t="s">
        <v>47</v>
      </c>
      <c r="G552">
        <f>HYPERLINK("http://clipc-services.ceda.ac.uk/dreq/u/590f885e-9e49-11e5-803c-0d0b866b59f3.html","web")</f>
        <v>0</v>
      </c>
      <c r="J552" t="s">
        <v>1374</v>
      </c>
      <c r="K552" t="s">
        <v>1362</v>
      </c>
      <c r="M552" t="s">
        <v>47</v>
      </c>
    </row>
    <row r="553" spans="1:13">
      <c r="A553" t="s">
        <v>1358</v>
      </c>
      <c r="B553" t="s">
        <v>1375</v>
      </c>
      <c r="C553" t="s">
        <v>50</v>
      </c>
      <c r="D553" t="s">
        <v>152</v>
      </c>
      <c r="E553" t="s">
        <v>1376</v>
      </c>
      <c r="F553" t="s">
        <v>47</v>
      </c>
      <c r="G553">
        <f>HYPERLINK("http://clipc-services.ceda.ac.uk/dreq/u/590e29c8-9e49-11e5-803c-0d0b866b59f3.html","web")</f>
        <v>0</v>
      </c>
      <c r="J553" t="s">
        <v>1377</v>
      </c>
      <c r="K553" t="s">
        <v>1362</v>
      </c>
      <c r="M553" t="s">
        <v>47</v>
      </c>
    </row>
    <row r="554" spans="1:13">
      <c r="A554" t="s">
        <v>1358</v>
      </c>
      <c r="B554" t="s">
        <v>1378</v>
      </c>
      <c r="C554" t="s">
        <v>50</v>
      </c>
      <c r="D554" t="s">
        <v>152</v>
      </c>
      <c r="E554" t="s">
        <v>1379</v>
      </c>
      <c r="F554" t="s">
        <v>47</v>
      </c>
      <c r="G554">
        <f>HYPERLINK("http://clipc-services.ceda.ac.uk/dreq/u/5913d382-9e49-11e5-803c-0d0b866b59f3.html","web")</f>
        <v>0</v>
      </c>
      <c r="J554" t="s">
        <v>1380</v>
      </c>
      <c r="K554" t="s">
        <v>1362</v>
      </c>
      <c r="M554" t="s">
        <v>47</v>
      </c>
    </row>
    <row r="555" spans="1:13">
      <c r="A555" t="s">
        <v>1358</v>
      </c>
      <c r="B555" t="s">
        <v>1381</v>
      </c>
      <c r="C555" t="s">
        <v>50</v>
      </c>
      <c r="D555" t="s">
        <v>152</v>
      </c>
      <c r="E555" t="s">
        <v>1382</v>
      </c>
      <c r="F555" t="s">
        <v>47</v>
      </c>
      <c r="G555">
        <f>HYPERLINK("http://clipc-services.ceda.ac.uk/dreq/u/59149524-9e49-11e5-803c-0d0b866b59f3.html","web")</f>
        <v>0</v>
      </c>
      <c r="J555" t="s">
        <v>1383</v>
      </c>
      <c r="K555" t="s">
        <v>1362</v>
      </c>
      <c r="M555" t="s">
        <v>47</v>
      </c>
    </row>
    <row r="556" spans="1:13">
      <c r="A556" t="s">
        <v>1358</v>
      </c>
      <c r="B556" t="s">
        <v>1384</v>
      </c>
      <c r="C556" t="s">
        <v>50</v>
      </c>
      <c r="D556" t="s">
        <v>152</v>
      </c>
      <c r="E556" t="s">
        <v>1385</v>
      </c>
      <c r="F556" t="s">
        <v>47</v>
      </c>
      <c r="G556">
        <f>HYPERLINK("http://clipc-services.ceda.ac.uk/dreq/u/84f0f62e-acb7-11e6-b5ee-ac72891c3257.html","web")</f>
        <v>0</v>
      </c>
      <c r="J556" t="s">
        <v>1386</v>
      </c>
      <c r="K556" t="s">
        <v>1387</v>
      </c>
      <c r="M556" t="s">
        <v>47</v>
      </c>
    </row>
    <row r="557" spans="1:13">
      <c r="A557" t="s">
        <v>1358</v>
      </c>
      <c r="B557" t="s">
        <v>1388</v>
      </c>
      <c r="C557" t="s">
        <v>50</v>
      </c>
      <c r="D557" t="s">
        <v>152</v>
      </c>
      <c r="E557" t="s">
        <v>1389</v>
      </c>
      <c r="F557" t="s">
        <v>47</v>
      </c>
      <c r="G557">
        <f>HYPERLINK("http://clipc-services.ceda.ac.uk/dreq/u/84efa3fa-acb7-11e6-b5ee-ac72891c3257.html","web")</f>
        <v>0</v>
      </c>
      <c r="J557" t="s">
        <v>1386</v>
      </c>
      <c r="K557" t="s">
        <v>1387</v>
      </c>
      <c r="M557" t="s">
        <v>47</v>
      </c>
    </row>
    <row r="558" spans="1:13">
      <c r="A558" t="s">
        <v>1358</v>
      </c>
      <c r="B558" t="s">
        <v>1390</v>
      </c>
      <c r="C558" t="s">
        <v>50</v>
      </c>
      <c r="D558" t="s">
        <v>152</v>
      </c>
      <c r="E558" t="s">
        <v>1391</v>
      </c>
      <c r="F558" t="s">
        <v>47</v>
      </c>
      <c r="G558">
        <f>HYPERLINK("http://clipc-services.ceda.ac.uk/dreq/u/84f0a5d4-acb7-11e6-b5ee-ac72891c3257.html","web")</f>
        <v>0</v>
      </c>
      <c r="J558" t="s">
        <v>1386</v>
      </c>
      <c r="K558" t="s">
        <v>1387</v>
      </c>
      <c r="M558" t="s">
        <v>47</v>
      </c>
    </row>
    <row r="559" spans="1:13">
      <c r="A559" t="s">
        <v>1358</v>
      </c>
      <c r="B559" t="s">
        <v>1392</v>
      </c>
      <c r="C559" t="s">
        <v>50</v>
      </c>
      <c r="D559" t="s">
        <v>152</v>
      </c>
      <c r="E559" t="s">
        <v>1393</v>
      </c>
      <c r="F559" t="s">
        <v>47</v>
      </c>
      <c r="G559">
        <f>HYPERLINK("http://clipc-services.ceda.ac.uk/dreq/u/f3532407075647328e7da9c24f00193d.html","web")</f>
        <v>0</v>
      </c>
      <c r="J559" t="s">
        <v>1394</v>
      </c>
      <c r="K559" t="s">
        <v>1395</v>
      </c>
      <c r="M559" t="s">
        <v>47</v>
      </c>
    </row>
    <row r="560" spans="1:13">
      <c r="A560" t="s">
        <v>1358</v>
      </c>
      <c r="B560" t="s">
        <v>1396</v>
      </c>
      <c r="C560" t="s">
        <v>35</v>
      </c>
      <c r="D560" t="s">
        <v>1397</v>
      </c>
      <c r="E560" t="s">
        <v>1398</v>
      </c>
      <c r="F560" t="s">
        <v>47</v>
      </c>
      <c r="G560">
        <f>HYPERLINK("http://clipc-services.ceda.ac.uk/dreq/u/84f0f91c-acb7-11e6-b5ee-ac72891c3257.html","web")</f>
        <v>0</v>
      </c>
      <c r="J560" t="s">
        <v>1399</v>
      </c>
      <c r="K560" t="s">
        <v>1387</v>
      </c>
      <c r="M560" t="s">
        <v>47</v>
      </c>
    </row>
    <row r="561" spans="1:13">
      <c r="A561" t="s">
        <v>1358</v>
      </c>
      <c r="B561" t="s">
        <v>1400</v>
      </c>
      <c r="C561" t="s">
        <v>50</v>
      </c>
      <c r="D561" t="s">
        <v>152</v>
      </c>
      <c r="E561" t="s">
        <v>1401</v>
      </c>
      <c r="F561" t="s">
        <v>47</v>
      </c>
      <c r="G561">
        <f>HYPERLINK("http://clipc-services.ceda.ac.uk/dreq/u/84f0d158-acb7-11e6-b5ee-ac72891c3257.html","web")</f>
        <v>0</v>
      </c>
      <c r="J561" t="s">
        <v>1402</v>
      </c>
      <c r="K561" t="s">
        <v>1387</v>
      </c>
      <c r="M561" t="s">
        <v>47</v>
      </c>
    </row>
    <row r="562" spans="1:13">
      <c r="A562" t="s">
        <v>1358</v>
      </c>
      <c r="B562" t="s">
        <v>1403</v>
      </c>
      <c r="C562" t="s">
        <v>50</v>
      </c>
      <c r="D562" t="s">
        <v>1270</v>
      </c>
      <c r="E562" t="s">
        <v>1404</v>
      </c>
      <c r="F562" t="s">
        <v>47</v>
      </c>
      <c r="G562">
        <f>HYPERLINK("http://clipc-services.ceda.ac.uk/dreq/u/84f0a8f4-acb7-11e6-b5ee-ac72891c3257.html","web")</f>
        <v>0</v>
      </c>
      <c r="J562" t="s">
        <v>1405</v>
      </c>
      <c r="K562" t="s">
        <v>1387</v>
      </c>
      <c r="M562" t="s">
        <v>47</v>
      </c>
    </row>
    <row r="563" spans="1:13">
      <c r="A563" t="s">
        <v>1358</v>
      </c>
      <c r="B563" t="s">
        <v>1406</v>
      </c>
      <c r="C563" t="s">
        <v>50</v>
      </c>
      <c r="D563" t="s">
        <v>1407</v>
      </c>
      <c r="E563" t="s">
        <v>1408</v>
      </c>
      <c r="F563" t="s">
        <v>47</v>
      </c>
      <c r="G563">
        <f>HYPERLINK("http://clipc-services.ceda.ac.uk/dreq/u/84f0fc3c-acb7-11e6-b5ee-ac72891c3257.html","web")</f>
        <v>0</v>
      </c>
      <c r="J563" t="s">
        <v>1409</v>
      </c>
      <c r="K563" t="s">
        <v>1387</v>
      </c>
      <c r="M563" t="s">
        <v>47</v>
      </c>
    </row>
    <row r="564" spans="1:13">
      <c r="A564" t="s">
        <v>1358</v>
      </c>
      <c r="B564" t="s">
        <v>1410</v>
      </c>
      <c r="C564" t="s">
        <v>50</v>
      </c>
      <c r="D564" t="s">
        <v>152</v>
      </c>
      <c r="E564" t="s">
        <v>1411</v>
      </c>
      <c r="F564" t="s">
        <v>47</v>
      </c>
      <c r="G564">
        <f>HYPERLINK("http://clipc-services.ceda.ac.uk/dreq/u/84f10b8c-acb7-11e6-b5ee-ac72891c3257.html","web")</f>
        <v>0</v>
      </c>
      <c r="J564" t="s">
        <v>1402</v>
      </c>
      <c r="K564" t="s">
        <v>1387</v>
      </c>
      <c r="M564" t="s">
        <v>47</v>
      </c>
    </row>
    <row r="565" spans="1:13">
      <c r="A565" t="s">
        <v>1358</v>
      </c>
      <c r="B565" t="s">
        <v>1412</v>
      </c>
      <c r="C565" t="s">
        <v>50</v>
      </c>
      <c r="D565" t="s">
        <v>152</v>
      </c>
      <c r="E565" t="s">
        <v>1413</v>
      </c>
      <c r="F565" t="s">
        <v>47</v>
      </c>
      <c r="G565">
        <f>HYPERLINK("http://clipc-services.ceda.ac.uk/dreq/u/84f0e418-acb7-11e6-b5ee-ac72891c3257.html","web")</f>
        <v>0</v>
      </c>
      <c r="J565" t="s">
        <v>1402</v>
      </c>
      <c r="K565" t="s">
        <v>1387</v>
      </c>
      <c r="M565" t="s">
        <v>47</v>
      </c>
    </row>
    <row r="566" spans="1:13">
      <c r="A566" t="s">
        <v>1358</v>
      </c>
      <c r="B566" t="s">
        <v>1414</v>
      </c>
      <c r="C566" t="s">
        <v>50</v>
      </c>
      <c r="D566" t="s">
        <v>152</v>
      </c>
      <c r="E566" t="s">
        <v>1415</v>
      </c>
      <c r="F566" t="s">
        <v>47</v>
      </c>
      <c r="G566">
        <f>HYPERLINK("http://clipc-services.ceda.ac.uk/dreq/u/84f0ac28-acb7-11e6-b5ee-ac72891c3257.html","web")</f>
        <v>0</v>
      </c>
      <c r="J566" t="s">
        <v>1416</v>
      </c>
      <c r="K566" t="s">
        <v>1387</v>
      </c>
      <c r="M566" t="s">
        <v>47</v>
      </c>
    </row>
    <row r="567" spans="1:13">
      <c r="A567" t="s">
        <v>1358</v>
      </c>
      <c r="B567" t="s">
        <v>1417</v>
      </c>
      <c r="C567" t="s">
        <v>50</v>
      </c>
      <c r="D567" t="s">
        <v>152</v>
      </c>
      <c r="E567" t="s">
        <v>1418</v>
      </c>
      <c r="F567" t="s">
        <v>47</v>
      </c>
      <c r="G567">
        <f>HYPERLINK("http://clipc-services.ceda.ac.uk/dreq/u/84f0c19a-acb7-11e6-b5ee-ac72891c3257.html","web")</f>
        <v>0</v>
      </c>
      <c r="J567" t="s">
        <v>1416</v>
      </c>
      <c r="K567" t="s">
        <v>1387</v>
      </c>
      <c r="M567" t="s">
        <v>47</v>
      </c>
    </row>
    <row r="568" spans="1:13">
      <c r="A568" t="s">
        <v>1358</v>
      </c>
      <c r="B568" t="s">
        <v>1419</v>
      </c>
      <c r="C568" t="s">
        <v>50</v>
      </c>
      <c r="D568" t="s">
        <v>152</v>
      </c>
      <c r="E568" t="s">
        <v>1420</v>
      </c>
      <c r="F568" t="s">
        <v>47</v>
      </c>
      <c r="G568">
        <f>HYPERLINK("http://clipc-services.ceda.ac.uk/dreq/u/84f0ff48-acb7-11e6-b5ee-ac72891c3257.html","web")</f>
        <v>0</v>
      </c>
      <c r="J568" t="s">
        <v>1416</v>
      </c>
      <c r="K568" t="s">
        <v>1387</v>
      </c>
      <c r="M568" t="s">
        <v>47</v>
      </c>
    </row>
    <row r="569" spans="1:13">
      <c r="A569" t="s">
        <v>1358</v>
      </c>
      <c r="B569" t="s">
        <v>1042</v>
      </c>
      <c r="C569" t="s">
        <v>35</v>
      </c>
      <c r="D569" t="s">
        <v>1421</v>
      </c>
      <c r="E569" t="s">
        <v>1044</v>
      </c>
      <c r="F569" t="s">
        <v>35</v>
      </c>
      <c r="G569">
        <f>HYPERLINK("http://clipc-services.ceda.ac.uk/dreq/u/5a6730cdd3fef77dc53ea1f61b23821f.html","web")</f>
        <v>0</v>
      </c>
      <c r="J569" t="s">
        <v>1045</v>
      </c>
      <c r="K569" t="s">
        <v>1046</v>
      </c>
      <c r="M569" t="s">
        <v>35</v>
      </c>
    </row>
    <row r="570" spans="1:13">
      <c r="A570" t="s">
        <v>1358</v>
      </c>
      <c r="B570" t="s">
        <v>1047</v>
      </c>
      <c r="C570" t="s">
        <v>35</v>
      </c>
      <c r="D570" t="s">
        <v>1422</v>
      </c>
      <c r="E570" t="s">
        <v>1049</v>
      </c>
      <c r="F570" t="s">
        <v>35</v>
      </c>
      <c r="G570">
        <f>HYPERLINK("http://clipc-services.ceda.ac.uk/dreq/u/823b0a0d39e3f3f3a992c49948fde77c.html","web")</f>
        <v>0</v>
      </c>
      <c r="J570" t="s">
        <v>1050</v>
      </c>
      <c r="K570" t="s">
        <v>1046</v>
      </c>
      <c r="M570" t="s">
        <v>35</v>
      </c>
    </row>
    <row r="571" spans="1:13">
      <c r="A571" t="s">
        <v>1358</v>
      </c>
      <c r="B571" t="s">
        <v>1423</v>
      </c>
      <c r="C571" t="s">
        <v>35</v>
      </c>
      <c r="D571" t="s">
        <v>332</v>
      </c>
      <c r="E571" t="s">
        <v>1424</v>
      </c>
      <c r="F571" t="s">
        <v>38</v>
      </c>
      <c r="G571">
        <f>HYPERLINK("http://clipc-services.ceda.ac.uk/dreq/u/590eb9ec-9e49-11e5-803c-0d0b866b59f3.html","web")</f>
        <v>0</v>
      </c>
      <c r="J571" t="s">
        <v>334</v>
      </c>
      <c r="K571" t="s">
        <v>1046</v>
      </c>
      <c r="M571" t="s">
        <v>38</v>
      </c>
    </row>
    <row r="572" spans="1:13">
      <c r="A572" t="s">
        <v>1358</v>
      </c>
      <c r="B572" t="s">
        <v>1425</v>
      </c>
      <c r="C572" t="s">
        <v>35</v>
      </c>
      <c r="D572" t="s">
        <v>332</v>
      </c>
      <c r="E572" t="s">
        <v>1426</v>
      </c>
      <c r="F572" t="s">
        <v>38</v>
      </c>
      <c r="G572">
        <f>HYPERLINK("http://clipc-services.ceda.ac.uk/dreq/u/590f43f8-9e49-11e5-803c-0d0b866b59f3.html","web")</f>
        <v>0</v>
      </c>
      <c r="J572" t="s">
        <v>1427</v>
      </c>
      <c r="K572" t="s">
        <v>1046</v>
      </c>
      <c r="M572" t="s">
        <v>38</v>
      </c>
    </row>
    <row r="573" spans="1:13">
      <c r="A573" t="s">
        <v>1358</v>
      </c>
      <c r="B573" t="s">
        <v>1198</v>
      </c>
      <c r="C573" t="s">
        <v>50</v>
      </c>
      <c r="D573" t="s">
        <v>1428</v>
      </c>
      <c r="E573" t="s">
        <v>1199</v>
      </c>
      <c r="F573" t="s">
        <v>35</v>
      </c>
      <c r="G573">
        <f>HYPERLINK("http://clipc-services.ceda.ac.uk/dreq/u/5913a2fe-9e49-11e5-803c-0d0b866b59f3.html","web")</f>
        <v>0</v>
      </c>
      <c r="J573" t="s">
        <v>1200</v>
      </c>
      <c r="K573" t="s">
        <v>21</v>
      </c>
      <c r="M573" t="s">
        <v>35</v>
      </c>
    </row>
    <row r="574" spans="1:13">
      <c r="A574" t="s">
        <v>1358</v>
      </c>
      <c r="B574" t="s">
        <v>1226</v>
      </c>
      <c r="C574" t="s">
        <v>35</v>
      </c>
      <c r="D574" t="s">
        <v>152</v>
      </c>
      <c r="E574" t="s">
        <v>1227</v>
      </c>
      <c r="F574" t="s">
        <v>967</v>
      </c>
      <c r="G574">
        <f>HYPERLINK("http://clipc-services.ceda.ac.uk/dreq/u/59d5c1ca37702f3ab916f1c9096d8f7f.html","web")</f>
        <v>0</v>
      </c>
      <c r="J574" t="s">
        <v>1228</v>
      </c>
      <c r="K574" t="s">
        <v>1429</v>
      </c>
      <c r="M574" t="s">
        <v>967</v>
      </c>
    </row>
    <row r="575" spans="1:13">
      <c r="A575" t="s">
        <v>1358</v>
      </c>
      <c r="B575" t="s">
        <v>1430</v>
      </c>
      <c r="C575" t="s">
        <v>35</v>
      </c>
      <c r="D575" t="s">
        <v>152</v>
      </c>
      <c r="E575" t="s">
        <v>1431</v>
      </c>
      <c r="F575" t="s">
        <v>967</v>
      </c>
      <c r="G575">
        <f>HYPERLINK("http://clipc-services.ceda.ac.uk/dreq/u/069ed8a3f93e92dab9e61f59b4d5338e.html","web")</f>
        <v>0</v>
      </c>
      <c r="J575" t="s">
        <v>1432</v>
      </c>
      <c r="K575" t="s">
        <v>1433</v>
      </c>
      <c r="M575" t="s">
        <v>967</v>
      </c>
    </row>
    <row r="576" spans="1:13">
      <c r="A576" t="s">
        <v>1358</v>
      </c>
      <c r="B576" t="s">
        <v>1229</v>
      </c>
      <c r="C576" t="s">
        <v>35</v>
      </c>
      <c r="D576" t="s">
        <v>152</v>
      </c>
      <c r="E576" t="s">
        <v>1230</v>
      </c>
      <c r="F576" t="s">
        <v>1231</v>
      </c>
      <c r="G576">
        <f>HYPERLINK("http://clipc-services.ceda.ac.uk/dreq/u/f946653cd518e221676f263a895c7852.html","web")</f>
        <v>0</v>
      </c>
      <c r="J576" t="s">
        <v>1232</v>
      </c>
      <c r="K576" t="s">
        <v>1433</v>
      </c>
      <c r="M576" t="s">
        <v>1231</v>
      </c>
    </row>
    <row r="577" spans="1:13">
      <c r="A577" t="s">
        <v>1358</v>
      </c>
      <c r="B577" t="s">
        <v>1201</v>
      </c>
      <c r="C577" t="s">
        <v>50</v>
      </c>
      <c r="D577" t="s">
        <v>1428</v>
      </c>
      <c r="E577" t="s">
        <v>1202</v>
      </c>
      <c r="F577" t="s">
        <v>35</v>
      </c>
      <c r="G577">
        <f>HYPERLINK("http://clipc-services.ceda.ac.uk/dreq/u/59151288-9e49-11e5-803c-0d0b866b59f3.html","web")</f>
        <v>0</v>
      </c>
      <c r="J577" t="s">
        <v>1203</v>
      </c>
      <c r="K577" t="s">
        <v>21</v>
      </c>
      <c r="M577" t="s">
        <v>35</v>
      </c>
    </row>
    <row r="578" spans="1:13">
      <c r="A578" t="s">
        <v>1358</v>
      </c>
      <c r="B578" t="s">
        <v>1434</v>
      </c>
      <c r="C578" t="s">
        <v>35</v>
      </c>
      <c r="D578" t="s">
        <v>152</v>
      </c>
      <c r="E578" t="s">
        <v>1435</v>
      </c>
      <c r="F578" t="s">
        <v>38</v>
      </c>
      <c r="G578">
        <f>HYPERLINK("http://clipc-services.ceda.ac.uk/dreq/u/5914308e-9e49-11e5-803c-0d0b866b59f3.html","web")</f>
        <v>0</v>
      </c>
      <c r="J578" t="s">
        <v>1436</v>
      </c>
      <c r="K578" t="s">
        <v>1046</v>
      </c>
      <c r="M578" t="s">
        <v>38</v>
      </c>
    </row>
    <row r="579" spans="1:13">
      <c r="A579" t="s">
        <v>1358</v>
      </c>
      <c r="B579" t="s">
        <v>1056</v>
      </c>
      <c r="C579" t="s">
        <v>35</v>
      </c>
      <c r="D579" t="s">
        <v>1437</v>
      </c>
      <c r="E579" t="s">
        <v>1058</v>
      </c>
      <c r="F579" t="s">
        <v>38</v>
      </c>
      <c r="G579">
        <f>HYPERLINK("http://clipc-services.ceda.ac.uk/dreq/u/59151ed6-9e49-11e5-803c-0d0b866b59f3.html","web")</f>
        <v>0</v>
      </c>
      <c r="J579" t="s">
        <v>1059</v>
      </c>
      <c r="K579" t="s">
        <v>1046</v>
      </c>
      <c r="M579" t="s">
        <v>38</v>
      </c>
    </row>
    <row r="580" spans="1:13">
      <c r="A580" t="s">
        <v>1358</v>
      </c>
      <c r="B580" t="s">
        <v>1438</v>
      </c>
      <c r="C580" t="s">
        <v>35</v>
      </c>
      <c r="D580" t="s">
        <v>152</v>
      </c>
      <c r="E580" t="s">
        <v>1439</v>
      </c>
      <c r="F580" t="s">
        <v>38</v>
      </c>
      <c r="G580">
        <f>HYPERLINK("http://clipc-services.ceda.ac.uk/dreq/u/5912dd74-9e49-11e5-803c-0d0b866b59f3.html","web")</f>
        <v>0</v>
      </c>
      <c r="J580" t="s">
        <v>1440</v>
      </c>
      <c r="K580" t="s">
        <v>1046</v>
      </c>
      <c r="M580" t="s">
        <v>38</v>
      </c>
    </row>
    <row r="581" spans="1:13">
      <c r="A581" t="s">
        <v>1358</v>
      </c>
      <c r="B581" t="s">
        <v>1441</v>
      </c>
      <c r="C581" t="s">
        <v>35</v>
      </c>
      <c r="D581" t="s">
        <v>152</v>
      </c>
      <c r="E581" t="s">
        <v>1442</v>
      </c>
      <c r="F581" t="s">
        <v>38</v>
      </c>
      <c r="G581">
        <f>HYPERLINK("http://clipc-services.ceda.ac.uk/dreq/u/590e9c50-9e49-11e5-803c-0d0b866b59f3.html","web")</f>
        <v>0</v>
      </c>
      <c r="J581" t="s">
        <v>1443</v>
      </c>
      <c r="K581" t="s">
        <v>1046</v>
      </c>
      <c r="M581" t="s">
        <v>38</v>
      </c>
    </row>
    <row r="582" spans="1:13">
      <c r="A582" t="s">
        <v>1358</v>
      </c>
      <c r="B582" t="s">
        <v>1236</v>
      </c>
      <c r="C582" t="s">
        <v>35</v>
      </c>
      <c r="D582" t="s">
        <v>152</v>
      </c>
      <c r="E582" t="s">
        <v>1237</v>
      </c>
      <c r="F582" t="s">
        <v>47</v>
      </c>
      <c r="G582">
        <f>HYPERLINK("http://clipc-services.ceda.ac.uk/dreq/u/590ef7b8-9e49-11e5-803c-0d0b866b59f3.html","web")</f>
        <v>0</v>
      </c>
      <c r="J582" t="s">
        <v>1238</v>
      </c>
      <c r="K582" t="s">
        <v>21</v>
      </c>
      <c r="M582" t="s">
        <v>47</v>
      </c>
    </row>
    <row r="583" spans="1:13">
      <c r="A583" t="s">
        <v>1358</v>
      </c>
      <c r="B583" t="s">
        <v>1444</v>
      </c>
      <c r="C583" t="s">
        <v>50</v>
      </c>
      <c r="D583" t="s">
        <v>550</v>
      </c>
      <c r="E583" t="s">
        <v>1445</v>
      </c>
      <c r="F583" t="s">
        <v>1446</v>
      </c>
      <c r="G583">
        <f>HYPERLINK("http://clipc-services.ceda.ac.uk/dreq/u/712473d6-c7b6-11e6-bb2a-ac72891c3257.html","web")</f>
        <v>0</v>
      </c>
      <c r="J583" t="s">
        <v>1447</v>
      </c>
      <c r="K583" t="s">
        <v>1273</v>
      </c>
      <c r="M583" t="s">
        <v>1446</v>
      </c>
    </row>
    <row r="584" spans="1:13">
      <c r="A584" t="s">
        <v>1358</v>
      </c>
      <c r="B584" t="s">
        <v>1448</v>
      </c>
      <c r="C584" t="s">
        <v>50</v>
      </c>
      <c r="D584" t="s">
        <v>152</v>
      </c>
      <c r="E584" t="s">
        <v>1449</v>
      </c>
      <c r="F584" t="s">
        <v>1450</v>
      </c>
      <c r="G584">
        <f>HYPERLINK("http://clipc-services.ceda.ac.uk/dreq/u/591469b4-9e49-11e5-803c-0d0b866b59f3.html","web")</f>
        <v>0</v>
      </c>
      <c r="J584" t="s">
        <v>1451</v>
      </c>
      <c r="K584" t="s">
        <v>951</v>
      </c>
      <c r="M584" t="s">
        <v>1450</v>
      </c>
    </row>
    <row r="585" spans="1:13">
      <c r="A585" t="s">
        <v>1358</v>
      </c>
      <c r="B585" t="s">
        <v>1452</v>
      </c>
      <c r="C585" t="s">
        <v>50</v>
      </c>
      <c r="D585" t="s">
        <v>152</v>
      </c>
      <c r="E585" t="s">
        <v>1453</v>
      </c>
      <c r="F585" t="s">
        <v>182</v>
      </c>
      <c r="G585">
        <f>HYPERLINK("http://clipc-services.ceda.ac.uk/dreq/u/590d8018-9e49-11e5-803c-0d0b866b59f3.html","web")</f>
        <v>0</v>
      </c>
      <c r="J585" t="s">
        <v>1454</v>
      </c>
      <c r="K585" t="s">
        <v>21</v>
      </c>
      <c r="M585" t="s">
        <v>182</v>
      </c>
    </row>
    <row r="586" spans="1:13">
      <c r="A586" t="s">
        <v>1358</v>
      </c>
      <c r="B586" t="s">
        <v>1455</v>
      </c>
      <c r="C586" t="s">
        <v>35</v>
      </c>
      <c r="D586" t="s">
        <v>550</v>
      </c>
      <c r="E586" t="s">
        <v>1456</v>
      </c>
      <c r="F586" t="s">
        <v>967</v>
      </c>
      <c r="G586">
        <f>HYPERLINK("http://clipc-services.ceda.ac.uk/dreq/u/73f9d7b26beaacf47a2be4ab14f875b8.html","web")</f>
        <v>0</v>
      </c>
      <c r="J586" t="s">
        <v>1457</v>
      </c>
      <c r="K586" t="s">
        <v>1429</v>
      </c>
      <c r="M586" t="s">
        <v>967</v>
      </c>
    </row>
    <row r="587" spans="1:13">
      <c r="A587" t="s">
        <v>1358</v>
      </c>
      <c r="B587" t="s">
        <v>1458</v>
      </c>
      <c r="C587" t="s">
        <v>35</v>
      </c>
      <c r="D587" t="s">
        <v>550</v>
      </c>
      <c r="E587" t="s">
        <v>1459</v>
      </c>
      <c r="F587" t="s">
        <v>967</v>
      </c>
      <c r="G587">
        <f>HYPERLINK("http://clipc-services.ceda.ac.uk/dreq/u/70b0b8239a6ffb48b4a4f3086da12150.html","web")</f>
        <v>0</v>
      </c>
      <c r="J587" t="s">
        <v>1460</v>
      </c>
      <c r="K587" t="s">
        <v>1433</v>
      </c>
      <c r="M587" t="s">
        <v>967</v>
      </c>
    </row>
    <row r="588" spans="1:13">
      <c r="A588" t="s">
        <v>1358</v>
      </c>
      <c r="B588" t="s">
        <v>1461</v>
      </c>
      <c r="C588" t="s">
        <v>35</v>
      </c>
      <c r="D588" t="s">
        <v>550</v>
      </c>
      <c r="E588" t="s">
        <v>1462</v>
      </c>
      <c r="F588" t="s">
        <v>967</v>
      </c>
      <c r="G588">
        <f>HYPERLINK("http://clipc-services.ceda.ac.uk/dreq/u/f2ab103442d41c890bc004ef71dc71f2.html","web")</f>
        <v>0</v>
      </c>
      <c r="J588" t="s">
        <v>1463</v>
      </c>
      <c r="K588" t="s">
        <v>1429</v>
      </c>
      <c r="M588" t="s">
        <v>967</v>
      </c>
    </row>
    <row r="589" spans="1:13">
      <c r="A589" t="s">
        <v>1358</v>
      </c>
      <c r="B589" t="s">
        <v>1464</v>
      </c>
      <c r="C589" t="s">
        <v>35</v>
      </c>
      <c r="D589" t="s">
        <v>919</v>
      </c>
      <c r="E589" t="s">
        <v>1465</v>
      </c>
      <c r="F589" t="s">
        <v>24</v>
      </c>
      <c r="G589">
        <f>HYPERLINK("http://clipc-services.ceda.ac.uk/dreq/u/5d432c16b179052a4e94c63af356c67c.html","web")</f>
        <v>0</v>
      </c>
      <c r="J589" t="s">
        <v>1466</v>
      </c>
      <c r="K589" t="s">
        <v>880</v>
      </c>
      <c r="M589" t="s">
        <v>24</v>
      </c>
    </row>
    <row r="590" spans="1:13">
      <c r="A590" t="s">
        <v>1358</v>
      </c>
      <c r="B590" t="s">
        <v>1467</v>
      </c>
      <c r="C590" t="s">
        <v>50</v>
      </c>
      <c r="D590" t="s">
        <v>85</v>
      </c>
      <c r="E590" t="s">
        <v>1468</v>
      </c>
      <c r="F590" t="s">
        <v>87</v>
      </c>
      <c r="G590">
        <f>HYPERLINK("http://clipc-services.ceda.ac.uk/dreq/u/59144254-9e49-11e5-803c-0d0b866b59f3.html","web")</f>
        <v>0</v>
      </c>
      <c r="J590" t="s">
        <v>1469</v>
      </c>
      <c r="K590" t="s">
        <v>1362</v>
      </c>
      <c r="M590" t="s">
        <v>87</v>
      </c>
    </row>
    <row r="591" spans="1:13">
      <c r="A591" t="s">
        <v>1358</v>
      </c>
      <c r="B591" t="s">
        <v>170</v>
      </c>
      <c r="C591" t="s">
        <v>50</v>
      </c>
      <c r="D591" t="s">
        <v>85</v>
      </c>
      <c r="E591" t="s">
        <v>171</v>
      </c>
      <c r="F591" t="s">
        <v>172</v>
      </c>
      <c r="G591">
        <f>HYPERLINK("http://clipc-services.ceda.ac.uk/dreq/u/684d3f3543045a89ecbb0ca81ba6705f.html","web")</f>
        <v>0</v>
      </c>
      <c r="J591" t="s">
        <v>173</v>
      </c>
      <c r="K591" t="s">
        <v>1273</v>
      </c>
      <c r="M591" t="s">
        <v>172</v>
      </c>
    </row>
    <row r="592" spans="1:13">
      <c r="A592" t="s">
        <v>1358</v>
      </c>
      <c r="B592" t="s">
        <v>1470</v>
      </c>
      <c r="C592" t="s">
        <v>35</v>
      </c>
      <c r="D592" t="s">
        <v>152</v>
      </c>
      <c r="E592" t="s">
        <v>1471</v>
      </c>
      <c r="F592" t="s">
        <v>182</v>
      </c>
      <c r="G592">
        <f>HYPERLINK("http://clipc-services.ceda.ac.uk/dreq/u/5917a796-9e49-11e5-803c-0d0b866b59f3.html","web")</f>
        <v>0</v>
      </c>
      <c r="J592" t="s">
        <v>1472</v>
      </c>
      <c r="K592" t="s">
        <v>1387</v>
      </c>
      <c r="M592" t="s">
        <v>182</v>
      </c>
    </row>
    <row r="593" spans="1:13">
      <c r="A593" t="s">
        <v>1358</v>
      </c>
      <c r="B593" t="s">
        <v>1473</v>
      </c>
      <c r="C593" t="s">
        <v>35</v>
      </c>
      <c r="D593" t="s">
        <v>152</v>
      </c>
      <c r="E593" t="s">
        <v>1474</v>
      </c>
      <c r="F593" t="s">
        <v>182</v>
      </c>
      <c r="G593">
        <f>HYPERLINK("http://clipc-services.ceda.ac.uk/dreq/u/5912cf78-9e49-11e5-803c-0d0b866b59f3.html","web")</f>
        <v>0</v>
      </c>
      <c r="J593" t="s">
        <v>1475</v>
      </c>
      <c r="K593" t="s">
        <v>1362</v>
      </c>
      <c r="M593" t="s">
        <v>182</v>
      </c>
    </row>
    <row r="594" spans="1:13">
      <c r="A594" t="s">
        <v>1358</v>
      </c>
      <c r="B594" t="s">
        <v>1476</v>
      </c>
      <c r="C594" t="s">
        <v>50</v>
      </c>
      <c r="D594" t="s">
        <v>152</v>
      </c>
      <c r="E594" t="s">
        <v>1477</v>
      </c>
      <c r="F594" t="s">
        <v>182</v>
      </c>
      <c r="G594">
        <f>HYPERLINK("http://clipc-services.ceda.ac.uk/dreq/u/590f097e-9e49-11e5-803c-0d0b866b59f3.html","web")</f>
        <v>0</v>
      </c>
      <c r="J594" t="s">
        <v>1478</v>
      </c>
      <c r="K594" t="s">
        <v>1387</v>
      </c>
      <c r="M594" t="s">
        <v>182</v>
      </c>
    </row>
    <row r="595" spans="1:13">
      <c r="A595" t="s">
        <v>1358</v>
      </c>
      <c r="B595" t="s">
        <v>1479</v>
      </c>
      <c r="C595" t="s">
        <v>35</v>
      </c>
      <c r="D595" t="s">
        <v>152</v>
      </c>
      <c r="E595" t="s">
        <v>1480</v>
      </c>
      <c r="F595" t="s">
        <v>182</v>
      </c>
      <c r="G595">
        <f>HYPERLINK("http://clipc-services.ceda.ac.uk/dreq/u/5912d5ea-9e49-11e5-803c-0d0b866b59f3.html","web")</f>
        <v>0</v>
      </c>
      <c r="J595" t="s">
        <v>1481</v>
      </c>
      <c r="K595" t="s">
        <v>1387</v>
      </c>
      <c r="M595" t="s">
        <v>182</v>
      </c>
    </row>
    <row r="596" spans="1:13">
      <c r="A596" t="s">
        <v>1358</v>
      </c>
      <c r="B596" t="s">
        <v>1482</v>
      </c>
      <c r="C596" t="s">
        <v>50</v>
      </c>
      <c r="D596" t="s">
        <v>152</v>
      </c>
      <c r="E596" t="s">
        <v>1483</v>
      </c>
      <c r="F596" t="s">
        <v>182</v>
      </c>
      <c r="G596">
        <f>HYPERLINK("http://clipc-services.ceda.ac.uk/dreq/u/5913a696-9e49-11e5-803c-0d0b866b59f3.html","web")</f>
        <v>0</v>
      </c>
      <c r="J596" t="s">
        <v>1484</v>
      </c>
      <c r="K596" t="s">
        <v>1387</v>
      </c>
      <c r="M596" t="s">
        <v>182</v>
      </c>
    </row>
    <row r="597" spans="1:13">
      <c r="A597" t="s">
        <v>1358</v>
      </c>
      <c r="B597" t="s">
        <v>1485</v>
      </c>
      <c r="C597" t="s">
        <v>50</v>
      </c>
      <c r="D597" t="s">
        <v>152</v>
      </c>
      <c r="E597" t="s">
        <v>1486</v>
      </c>
      <c r="F597" t="s">
        <v>182</v>
      </c>
      <c r="G597">
        <f>HYPERLINK("http://clipc-services.ceda.ac.uk/dreq/u/591348fe-9e49-11e5-803c-0d0b866b59f3.html","web")</f>
        <v>0</v>
      </c>
      <c r="J597" t="s">
        <v>1484</v>
      </c>
      <c r="K597" t="s">
        <v>1387</v>
      </c>
      <c r="M597" t="s">
        <v>182</v>
      </c>
    </row>
    <row r="598" spans="1:13">
      <c r="A598" t="s">
        <v>1358</v>
      </c>
      <c r="B598" t="s">
        <v>1487</v>
      </c>
      <c r="C598" t="s">
        <v>50</v>
      </c>
      <c r="D598" t="s">
        <v>152</v>
      </c>
      <c r="E598" t="s">
        <v>1488</v>
      </c>
      <c r="F598" t="s">
        <v>182</v>
      </c>
      <c r="G598">
        <f>HYPERLINK("http://clipc-services.ceda.ac.uk/dreq/u/84ef402c-acb7-11e6-b5ee-ac72891c3257.html","web")</f>
        <v>0</v>
      </c>
      <c r="J598" t="s">
        <v>1484</v>
      </c>
      <c r="K598" t="s">
        <v>1387</v>
      </c>
      <c r="M598" t="s">
        <v>182</v>
      </c>
    </row>
    <row r="599" spans="1:13">
      <c r="A599" t="s">
        <v>1358</v>
      </c>
      <c r="B599" t="s">
        <v>1489</v>
      </c>
      <c r="C599" t="s">
        <v>50</v>
      </c>
      <c r="D599" t="s">
        <v>152</v>
      </c>
      <c r="E599" t="s">
        <v>1490</v>
      </c>
      <c r="F599" t="s">
        <v>182</v>
      </c>
      <c r="G599">
        <f>HYPERLINK("http://clipc-services.ceda.ac.uk/dreq/u/84f0ddec-acb7-11e6-b5ee-ac72891c3257.html","web")</f>
        <v>0</v>
      </c>
      <c r="J599" t="s">
        <v>1484</v>
      </c>
      <c r="K599" t="s">
        <v>1387</v>
      </c>
      <c r="M599" t="s">
        <v>182</v>
      </c>
    </row>
    <row r="600" spans="1:13">
      <c r="A600" t="s">
        <v>1358</v>
      </c>
      <c r="B600" t="s">
        <v>1491</v>
      </c>
      <c r="C600" t="s">
        <v>35</v>
      </c>
      <c r="D600" t="s">
        <v>1492</v>
      </c>
      <c r="E600" t="s">
        <v>1493</v>
      </c>
      <c r="F600" t="s">
        <v>74</v>
      </c>
      <c r="G600">
        <f>HYPERLINK("http://clipc-services.ceda.ac.uk/dreq/u/3f30557c-b89b-11e6-be04-ac72891c3257.html","web")</f>
        <v>0</v>
      </c>
      <c r="J600" t="s">
        <v>1494</v>
      </c>
      <c r="K600" t="s">
        <v>1495</v>
      </c>
      <c r="M600" t="s">
        <v>74</v>
      </c>
    </row>
    <row r="601" spans="1:13">
      <c r="A601" t="s">
        <v>1358</v>
      </c>
      <c r="B601" t="s">
        <v>1496</v>
      </c>
      <c r="C601" t="s">
        <v>50</v>
      </c>
      <c r="D601" t="s">
        <v>152</v>
      </c>
      <c r="E601" t="s">
        <v>1497</v>
      </c>
      <c r="F601" t="s">
        <v>182</v>
      </c>
      <c r="G601">
        <f>HYPERLINK("http://clipc-services.ceda.ac.uk/dreq/u/5917788e-9e49-11e5-803c-0d0b866b59f3.html","web")</f>
        <v>0</v>
      </c>
      <c r="J601" t="s">
        <v>1498</v>
      </c>
      <c r="K601" t="s">
        <v>1362</v>
      </c>
      <c r="M601" t="s">
        <v>182</v>
      </c>
    </row>
    <row r="602" spans="1:13">
      <c r="A602" t="s">
        <v>1358</v>
      </c>
      <c r="B602" t="s">
        <v>1499</v>
      </c>
      <c r="C602" t="s">
        <v>50</v>
      </c>
      <c r="D602" t="s">
        <v>152</v>
      </c>
      <c r="E602" t="s">
        <v>1500</v>
      </c>
      <c r="F602" t="s">
        <v>182</v>
      </c>
      <c r="G602">
        <f>HYPERLINK("http://clipc-services.ceda.ac.uk/dreq/u/84f0c47e-acb7-11e6-b5ee-ac72891c3257.html","web")</f>
        <v>0</v>
      </c>
      <c r="J602" t="s">
        <v>1501</v>
      </c>
      <c r="K602" t="s">
        <v>1387</v>
      </c>
      <c r="M602" t="s">
        <v>182</v>
      </c>
    </row>
    <row r="603" spans="1:13">
      <c r="A603" t="s">
        <v>1358</v>
      </c>
      <c r="B603" t="s">
        <v>1502</v>
      </c>
      <c r="C603" t="s">
        <v>50</v>
      </c>
      <c r="D603" t="s">
        <v>152</v>
      </c>
      <c r="E603" t="s">
        <v>1503</v>
      </c>
      <c r="F603" t="s">
        <v>182</v>
      </c>
      <c r="G603">
        <f>HYPERLINK("http://clipc-services.ceda.ac.uk/dreq/u/590f9ace-9e49-11e5-803c-0d0b866b59f3.html","web")</f>
        <v>0</v>
      </c>
      <c r="J603" t="s">
        <v>1504</v>
      </c>
      <c r="K603" t="s">
        <v>1362</v>
      </c>
      <c r="M603" t="s">
        <v>182</v>
      </c>
    </row>
    <row r="604" spans="1:13">
      <c r="A604" t="s">
        <v>1358</v>
      </c>
      <c r="B604" t="s">
        <v>1505</v>
      </c>
      <c r="C604" t="s">
        <v>50</v>
      </c>
      <c r="D604" t="s">
        <v>152</v>
      </c>
      <c r="E604" t="s">
        <v>1506</v>
      </c>
      <c r="F604" t="s">
        <v>182</v>
      </c>
      <c r="G604">
        <f>HYPERLINK("http://clipc-services.ceda.ac.uk/dreq/u/590f95c4-9e49-11e5-803c-0d0b866b59f3.html","web")</f>
        <v>0</v>
      </c>
      <c r="J604" t="s">
        <v>1507</v>
      </c>
      <c r="K604" t="s">
        <v>1362</v>
      </c>
      <c r="M604" t="s">
        <v>182</v>
      </c>
    </row>
    <row r="605" spans="1:13">
      <c r="A605" t="s">
        <v>1358</v>
      </c>
      <c r="B605" t="s">
        <v>1210</v>
      </c>
      <c r="C605" t="s">
        <v>50</v>
      </c>
      <c r="D605" t="s">
        <v>1428</v>
      </c>
      <c r="E605" t="s">
        <v>1211</v>
      </c>
      <c r="F605" t="s">
        <v>35</v>
      </c>
      <c r="G605">
        <f>HYPERLINK("http://clipc-services.ceda.ac.uk/dreq/u/590f21d4-9e49-11e5-803c-0d0b866b59f3.html","web")</f>
        <v>0</v>
      </c>
      <c r="J605" t="s">
        <v>1212</v>
      </c>
      <c r="K605" t="s">
        <v>21</v>
      </c>
      <c r="M605" t="s">
        <v>35</v>
      </c>
    </row>
    <row r="606" spans="1:13">
      <c r="A606" t="s">
        <v>1358</v>
      </c>
      <c r="B606" t="s">
        <v>1508</v>
      </c>
      <c r="C606" t="s">
        <v>35</v>
      </c>
      <c r="D606" t="s">
        <v>1492</v>
      </c>
      <c r="E606" t="s">
        <v>1509</v>
      </c>
      <c r="F606" t="s">
        <v>74</v>
      </c>
      <c r="G606">
        <f>HYPERLINK("http://clipc-services.ceda.ac.uk/dreq/u/590ee804-9e49-11e5-803c-0d0b866b59f3.html","web")</f>
        <v>0</v>
      </c>
      <c r="J606" t="s">
        <v>1510</v>
      </c>
      <c r="K606" t="s">
        <v>1495</v>
      </c>
      <c r="M606" t="s">
        <v>74</v>
      </c>
    </row>
    <row r="607" spans="1:13">
      <c r="A607" t="s">
        <v>1358</v>
      </c>
      <c r="B607" t="s">
        <v>1511</v>
      </c>
      <c r="C607" t="s">
        <v>35</v>
      </c>
      <c r="D607" t="s">
        <v>1492</v>
      </c>
      <c r="E607" t="s">
        <v>1512</v>
      </c>
      <c r="F607" t="s">
        <v>74</v>
      </c>
      <c r="G607">
        <f>HYPERLINK("http://clipc-services.ceda.ac.uk/dreq/u/590e590c-9e49-11e5-803c-0d0b866b59f3.html","web")</f>
        <v>0</v>
      </c>
      <c r="J607" t="s">
        <v>1513</v>
      </c>
      <c r="K607" t="s">
        <v>1495</v>
      </c>
      <c r="M607" t="s">
        <v>74</v>
      </c>
    </row>
    <row r="608" spans="1:13">
      <c r="A608" t="s">
        <v>1358</v>
      </c>
      <c r="B608" t="s">
        <v>1239</v>
      </c>
      <c r="C608" t="s">
        <v>35</v>
      </c>
      <c r="D608" t="s">
        <v>1240</v>
      </c>
      <c r="E608" t="s">
        <v>1241</v>
      </c>
      <c r="F608" t="s">
        <v>38</v>
      </c>
      <c r="G608">
        <f>HYPERLINK("http://clipc-services.ceda.ac.uk/dreq/u/bf56baca-c14c-11e6-bb6a-ac72891c3257.html","web")</f>
        <v>0</v>
      </c>
      <c r="J608" t="s">
        <v>1242</v>
      </c>
      <c r="K608" t="s">
        <v>956</v>
      </c>
      <c r="M608" t="s">
        <v>38</v>
      </c>
    </row>
    <row r="609" spans="1:13">
      <c r="A609" t="s">
        <v>1358</v>
      </c>
      <c r="B609" t="s">
        <v>1514</v>
      </c>
      <c r="C609" t="s">
        <v>35</v>
      </c>
      <c r="D609" t="s">
        <v>1515</v>
      </c>
      <c r="E609" t="s">
        <v>1516</v>
      </c>
      <c r="F609" t="s">
        <v>35</v>
      </c>
      <c r="G609">
        <f>HYPERLINK("http://clipc-services.ceda.ac.uk/dreq/u/59178a72-9e49-11e5-803c-0d0b866b59f3.html","web")</f>
        <v>0</v>
      </c>
      <c r="J609" t="s">
        <v>1517</v>
      </c>
      <c r="K609" t="s">
        <v>1495</v>
      </c>
      <c r="M609" t="s">
        <v>35</v>
      </c>
    </row>
    <row r="610" spans="1:13">
      <c r="A610" t="s">
        <v>1358</v>
      </c>
      <c r="B610" t="s">
        <v>1518</v>
      </c>
      <c r="C610" t="s">
        <v>35</v>
      </c>
      <c r="D610" t="s">
        <v>152</v>
      </c>
      <c r="E610" t="s">
        <v>1519</v>
      </c>
      <c r="F610" t="s">
        <v>1520</v>
      </c>
      <c r="G610">
        <f>HYPERLINK("http://clipc-services.ceda.ac.uk/dreq/u/5917acf0-9e49-11e5-803c-0d0b866b59f3.html","web")</f>
        <v>0</v>
      </c>
      <c r="J610" t="s">
        <v>1521</v>
      </c>
      <c r="K610" t="s">
        <v>1522</v>
      </c>
      <c r="M610" t="s">
        <v>1520</v>
      </c>
    </row>
    <row r="611" spans="1:13">
      <c r="A611" t="s">
        <v>1358</v>
      </c>
      <c r="B611" t="s">
        <v>1523</v>
      </c>
      <c r="C611" t="s">
        <v>35</v>
      </c>
      <c r="D611" t="s">
        <v>152</v>
      </c>
      <c r="E611" t="s">
        <v>1524</v>
      </c>
      <c r="F611" t="s">
        <v>1525</v>
      </c>
      <c r="G611">
        <f>HYPERLINK("http://clipc-services.ceda.ac.uk/dreq/u/590de58a-9e49-11e5-803c-0d0b866b59f3.html","web")</f>
        <v>0</v>
      </c>
      <c r="J611" t="s">
        <v>1526</v>
      </c>
      <c r="K611" t="s">
        <v>1522</v>
      </c>
      <c r="M611" t="s">
        <v>1525</v>
      </c>
    </row>
    <row r="612" spans="1:13">
      <c r="A612" t="s">
        <v>1358</v>
      </c>
      <c r="B612" t="s">
        <v>1527</v>
      </c>
      <c r="C612" t="s">
        <v>35</v>
      </c>
      <c r="D612" t="s">
        <v>152</v>
      </c>
      <c r="E612" t="s">
        <v>1528</v>
      </c>
      <c r="F612" t="s">
        <v>1520</v>
      </c>
      <c r="G612">
        <f>HYPERLINK("http://clipc-services.ceda.ac.uk/dreq/u/59147b48-9e49-11e5-803c-0d0b866b59f3.html","web")</f>
        <v>0</v>
      </c>
      <c r="J612" t="s">
        <v>1529</v>
      </c>
      <c r="K612" t="s">
        <v>1522</v>
      </c>
      <c r="M612" t="s">
        <v>1520</v>
      </c>
    </row>
    <row r="613" spans="1:13">
      <c r="A613" t="s">
        <v>1358</v>
      </c>
      <c r="B613" t="s">
        <v>1530</v>
      </c>
      <c r="C613" t="s">
        <v>35</v>
      </c>
      <c r="D613" t="s">
        <v>152</v>
      </c>
      <c r="E613" t="s">
        <v>1531</v>
      </c>
      <c r="F613" t="s">
        <v>1525</v>
      </c>
      <c r="G613">
        <f>HYPERLINK("http://clipc-services.ceda.ac.uk/dreq/u/591444ca-9e49-11e5-803c-0d0b866b59f3.html","web")</f>
        <v>0</v>
      </c>
      <c r="J613" t="s">
        <v>1532</v>
      </c>
      <c r="K613" t="s">
        <v>1522</v>
      </c>
      <c r="M613" t="s">
        <v>1525</v>
      </c>
    </row>
    <row r="614" spans="1:13">
      <c r="A614" t="s">
        <v>1358</v>
      </c>
      <c r="B614" t="s">
        <v>1061</v>
      </c>
      <c r="C614" t="s">
        <v>35</v>
      </c>
      <c r="D614" t="s">
        <v>1243</v>
      </c>
      <c r="E614" t="s">
        <v>1063</v>
      </c>
      <c r="F614" t="s">
        <v>38</v>
      </c>
      <c r="G614">
        <f>HYPERLINK("http://clipc-services.ceda.ac.uk/dreq/u/59149a10-9e49-11e5-803c-0d0b866b59f3.html","web")</f>
        <v>0</v>
      </c>
      <c r="J614" t="s">
        <v>1064</v>
      </c>
      <c r="K614" t="s">
        <v>1046</v>
      </c>
      <c r="M614" t="s">
        <v>38</v>
      </c>
    </row>
    <row r="615" spans="1:13">
      <c r="A615" t="s">
        <v>1358</v>
      </c>
      <c r="B615" t="s">
        <v>1065</v>
      </c>
      <c r="C615" t="s">
        <v>35</v>
      </c>
      <c r="D615" t="s">
        <v>1244</v>
      </c>
      <c r="E615" t="s">
        <v>1067</v>
      </c>
      <c r="F615" t="s">
        <v>38</v>
      </c>
      <c r="G615">
        <f>HYPERLINK("http://clipc-services.ceda.ac.uk/dreq/u/5912eff8-9e49-11e5-803c-0d0b866b59f3.html","web")</f>
        <v>0</v>
      </c>
      <c r="J615" t="s">
        <v>1068</v>
      </c>
      <c r="K615" t="s">
        <v>1046</v>
      </c>
      <c r="M615" t="s">
        <v>38</v>
      </c>
    </row>
    <row r="616" spans="1:13">
      <c r="A616" t="s">
        <v>1358</v>
      </c>
      <c r="B616" t="s">
        <v>1260</v>
      </c>
      <c r="C616" t="s">
        <v>35</v>
      </c>
      <c r="D616" t="s">
        <v>152</v>
      </c>
      <c r="E616" t="s">
        <v>1261</v>
      </c>
      <c r="F616" t="s">
        <v>47</v>
      </c>
      <c r="G616">
        <f>HYPERLINK("http://clipc-services.ceda.ac.uk/dreq/u/a17b2a3bcad6c41455a7e2474fb1fdcb.html","web")</f>
        <v>0</v>
      </c>
      <c r="J616" t="s">
        <v>1262</v>
      </c>
      <c r="K616" t="s">
        <v>1433</v>
      </c>
      <c r="M616" t="s">
        <v>47</v>
      </c>
    </row>
    <row r="617" spans="1:13">
      <c r="A617" t="s">
        <v>1358</v>
      </c>
      <c r="B617" t="s">
        <v>1266</v>
      </c>
      <c r="C617" t="s">
        <v>35</v>
      </c>
      <c r="D617" t="s">
        <v>152</v>
      </c>
      <c r="E617" t="s">
        <v>1267</v>
      </c>
      <c r="F617" t="s">
        <v>47</v>
      </c>
      <c r="G617">
        <f>HYPERLINK("http://clipc-services.ceda.ac.uk/dreq/u/e8d9deb887c24ae8008ca2179208f99d.html","web")</f>
        <v>0</v>
      </c>
      <c r="J617" t="s">
        <v>1268</v>
      </c>
      <c r="K617" t="s">
        <v>1433</v>
      </c>
      <c r="M617" t="s">
        <v>47</v>
      </c>
    </row>
    <row r="618" spans="1:13">
      <c r="A618" t="s">
        <v>1358</v>
      </c>
      <c r="B618" t="s">
        <v>1533</v>
      </c>
      <c r="C618" t="s">
        <v>35</v>
      </c>
      <c r="D618" t="s">
        <v>152</v>
      </c>
      <c r="E618" t="s">
        <v>1534</v>
      </c>
      <c r="F618" t="s">
        <v>74</v>
      </c>
      <c r="G618">
        <f>HYPERLINK("http://clipc-services.ceda.ac.uk/dreq/u/5914ede4-9e49-11e5-803c-0d0b866b59f3.html","web")</f>
        <v>0</v>
      </c>
      <c r="J618" t="s">
        <v>1535</v>
      </c>
      <c r="K618" t="s">
        <v>1522</v>
      </c>
      <c r="M618" t="s">
        <v>74</v>
      </c>
    </row>
    <row r="619" spans="1:13">
      <c r="A619" t="s">
        <v>1358</v>
      </c>
      <c r="B619" t="s">
        <v>1536</v>
      </c>
      <c r="C619" t="s">
        <v>35</v>
      </c>
      <c r="D619" t="s">
        <v>152</v>
      </c>
      <c r="E619" t="s">
        <v>1537</v>
      </c>
      <c r="F619" t="s">
        <v>74</v>
      </c>
      <c r="G619">
        <f>HYPERLINK("http://clipc-services.ceda.ac.uk/dreq/u/591497a4-9e49-11e5-803c-0d0b866b59f3.html","web")</f>
        <v>0</v>
      </c>
      <c r="J619" t="s">
        <v>1538</v>
      </c>
      <c r="K619" t="s">
        <v>1522</v>
      </c>
      <c r="M619" t="s">
        <v>74</v>
      </c>
    </row>
    <row r="620" spans="1:13">
      <c r="A620" t="s">
        <v>1358</v>
      </c>
      <c r="B620" t="s">
        <v>1539</v>
      </c>
      <c r="C620" t="s">
        <v>35</v>
      </c>
      <c r="D620" t="s">
        <v>152</v>
      </c>
      <c r="E620" t="s">
        <v>1540</v>
      </c>
      <c r="F620" t="s">
        <v>74</v>
      </c>
      <c r="G620">
        <f>HYPERLINK("http://clipc-services.ceda.ac.uk/dreq/u/f9f66ff437154f86913937f9e2d9a26d.html","web")</f>
        <v>0</v>
      </c>
      <c r="J620" t="s">
        <v>1541</v>
      </c>
      <c r="K620" t="s">
        <v>1522</v>
      </c>
      <c r="M620" t="s">
        <v>74</v>
      </c>
    </row>
    <row r="621" spans="1:13">
      <c r="A621" t="s">
        <v>1358</v>
      </c>
      <c r="B621" t="s">
        <v>1542</v>
      </c>
      <c r="C621" t="s">
        <v>35</v>
      </c>
      <c r="D621" t="s">
        <v>152</v>
      </c>
      <c r="E621" t="s">
        <v>1543</v>
      </c>
      <c r="F621" t="s">
        <v>74</v>
      </c>
      <c r="G621">
        <f>HYPERLINK("http://clipc-services.ceda.ac.uk/dreq/u/ab57604d6acd918c08aa6252145c608e.html","web")</f>
        <v>0</v>
      </c>
      <c r="J621" t="s">
        <v>1541</v>
      </c>
      <c r="K621" t="s">
        <v>1522</v>
      </c>
      <c r="M621" t="s">
        <v>74</v>
      </c>
    </row>
    <row r="622" spans="1:13">
      <c r="A622" t="s">
        <v>1358</v>
      </c>
      <c r="B622" t="s">
        <v>1544</v>
      </c>
      <c r="C622" t="s">
        <v>35</v>
      </c>
      <c r="D622" t="s">
        <v>152</v>
      </c>
      <c r="E622" t="s">
        <v>1545</v>
      </c>
      <c r="F622" t="s">
        <v>74</v>
      </c>
      <c r="G622">
        <f>HYPERLINK("http://clipc-services.ceda.ac.uk/dreq/u/59134bf6-9e49-11e5-803c-0d0b866b59f3.html","web")</f>
        <v>0</v>
      </c>
      <c r="J622" t="s">
        <v>1535</v>
      </c>
      <c r="K622" t="s">
        <v>1522</v>
      </c>
      <c r="M622" t="s">
        <v>74</v>
      </c>
    </row>
    <row r="623" spans="1:13">
      <c r="A623" t="s">
        <v>1358</v>
      </c>
      <c r="B623" t="s">
        <v>1546</v>
      </c>
      <c r="C623" t="s">
        <v>35</v>
      </c>
      <c r="D623" t="s">
        <v>152</v>
      </c>
      <c r="E623" t="s">
        <v>1547</v>
      </c>
      <c r="F623" t="s">
        <v>47</v>
      </c>
      <c r="G623">
        <f>HYPERLINK("http://clipc-services.ceda.ac.uk/dreq/u/59130e98-9e49-11e5-803c-0d0b866b59f3.html","web")</f>
        <v>0</v>
      </c>
      <c r="J623" t="s">
        <v>1548</v>
      </c>
      <c r="K623" t="s">
        <v>1362</v>
      </c>
      <c r="M623" t="s">
        <v>47</v>
      </c>
    </row>
    <row r="624" spans="1:13">
      <c r="A624" t="s">
        <v>1358</v>
      </c>
      <c r="B624" t="s">
        <v>1269</v>
      </c>
      <c r="C624" t="s">
        <v>35</v>
      </c>
      <c r="D624" t="s">
        <v>1270</v>
      </c>
      <c r="E624" t="s">
        <v>1271</v>
      </c>
      <c r="F624" t="s">
        <v>47</v>
      </c>
      <c r="G624">
        <f>HYPERLINK("http://clipc-services.ceda.ac.uk/dreq/u/590d17f4-9e49-11e5-803c-0d0b866b59f3.html","web")</f>
        <v>0</v>
      </c>
      <c r="J624" t="s">
        <v>1272</v>
      </c>
      <c r="K624" t="s">
        <v>1362</v>
      </c>
      <c r="M624" t="s">
        <v>47</v>
      </c>
    </row>
    <row r="625" spans="1:13">
      <c r="A625" t="s">
        <v>1358</v>
      </c>
      <c r="B625" t="s">
        <v>1549</v>
      </c>
      <c r="C625" t="s">
        <v>50</v>
      </c>
      <c r="D625" t="s">
        <v>152</v>
      </c>
      <c r="E625" t="s">
        <v>1550</v>
      </c>
      <c r="F625" t="s">
        <v>47</v>
      </c>
      <c r="G625">
        <f>HYPERLINK("http://clipc-services.ceda.ac.uk/dreq/u/590d24c4-9e49-11e5-803c-0d0b866b59f3.html","web")</f>
        <v>0</v>
      </c>
      <c r="J625" t="s">
        <v>1551</v>
      </c>
      <c r="K625" t="s">
        <v>1362</v>
      </c>
      <c r="M625" t="s">
        <v>47</v>
      </c>
    </row>
    <row r="626" spans="1:13">
      <c r="A626" t="s">
        <v>1358</v>
      </c>
      <c r="B626" t="s">
        <v>1552</v>
      </c>
      <c r="C626" t="s">
        <v>50</v>
      </c>
      <c r="D626" t="s">
        <v>152</v>
      </c>
      <c r="E626" t="s">
        <v>1553</v>
      </c>
      <c r="F626" t="s">
        <v>182</v>
      </c>
      <c r="G626">
        <f>HYPERLINK("http://clipc-services.ceda.ac.uk/dreq/u/59176d94-9e49-11e5-803c-0d0b866b59f3.html","web")</f>
        <v>0</v>
      </c>
      <c r="J626" t="s">
        <v>1554</v>
      </c>
      <c r="K626" t="s">
        <v>1362</v>
      </c>
      <c r="M626" t="s">
        <v>182</v>
      </c>
    </row>
    <row r="627" spans="1:13">
      <c r="A627" t="s">
        <v>1358</v>
      </c>
      <c r="B627" t="s">
        <v>1555</v>
      </c>
      <c r="C627" t="s">
        <v>50</v>
      </c>
      <c r="D627" t="s">
        <v>152</v>
      </c>
      <c r="E627" t="s">
        <v>1556</v>
      </c>
      <c r="F627" t="s">
        <v>182</v>
      </c>
      <c r="G627">
        <f>HYPERLINK("http://clipc-services.ceda.ac.uk/dreq/u/59132b58-9e49-11e5-803c-0d0b866b59f3.html","web")</f>
        <v>0</v>
      </c>
      <c r="J627" t="s">
        <v>1557</v>
      </c>
      <c r="K627" t="s">
        <v>1362</v>
      </c>
      <c r="M627" t="s">
        <v>182</v>
      </c>
    </row>
    <row r="628" spans="1:13">
      <c r="A628" t="s">
        <v>1358</v>
      </c>
      <c r="B628" t="s">
        <v>1558</v>
      </c>
      <c r="C628" t="s">
        <v>50</v>
      </c>
      <c r="D628" t="s">
        <v>152</v>
      </c>
      <c r="E628" t="s">
        <v>1559</v>
      </c>
      <c r="F628" t="s">
        <v>182</v>
      </c>
      <c r="G628">
        <f>HYPERLINK("http://clipc-services.ceda.ac.uk/dreq/u/84f0bbbe-acb7-11e6-b5ee-ac72891c3257.html","web")</f>
        <v>0</v>
      </c>
      <c r="J628" t="s">
        <v>1560</v>
      </c>
      <c r="K628" t="s">
        <v>1387</v>
      </c>
      <c r="M628" t="s">
        <v>182</v>
      </c>
    </row>
    <row r="629" spans="1:13">
      <c r="A629" t="s">
        <v>1358</v>
      </c>
      <c r="B629" t="s">
        <v>1561</v>
      </c>
      <c r="C629" t="s">
        <v>50</v>
      </c>
      <c r="D629" t="s">
        <v>152</v>
      </c>
      <c r="E629" t="s">
        <v>1562</v>
      </c>
      <c r="F629" t="s">
        <v>182</v>
      </c>
      <c r="G629">
        <f>HYPERLINK("http://clipc-services.ceda.ac.uk/dreq/u/84f0f052-acb7-11e6-b5ee-ac72891c3257.html","web")</f>
        <v>0</v>
      </c>
      <c r="J629" t="s">
        <v>1563</v>
      </c>
      <c r="K629" t="s">
        <v>1387</v>
      </c>
      <c r="M629" t="s">
        <v>182</v>
      </c>
    </row>
    <row r="630" spans="1:13">
      <c r="A630" t="s">
        <v>1358</v>
      </c>
      <c r="B630" t="s">
        <v>1564</v>
      </c>
      <c r="C630" t="s">
        <v>50</v>
      </c>
      <c r="D630" t="s">
        <v>152</v>
      </c>
      <c r="E630" t="s">
        <v>1565</v>
      </c>
      <c r="F630" t="s">
        <v>182</v>
      </c>
      <c r="G630">
        <f>HYPERLINK("http://clipc-services.ceda.ac.uk/dreq/u/84f09f30-acb7-11e6-b5ee-ac72891c3257.html","web")</f>
        <v>0</v>
      </c>
      <c r="J630" t="s">
        <v>1560</v>
      </c>
      <c r="K630" t="s">
        <v>1387</v>
      </c>
      <c r="M630" t="s">
        <v>182</v>
      </c>
    </row>
    <row r="631" spans="1:13">
      <c r="A631" t="s">
        <v>1358</v>
      </c>
      <c r="B631" t="s">
        <v>196</v>
      </c>
      <c r="C631" t="s">
        <v>35</v>
      </c>
      <c r="D631" t="s">
        <v>152</v>
      </c>
      <c r="E631" t="s">
        <v>197</v>
      </c>
      <c r="F631" t="s">
        <v>198</v>
      </c>
      <c r="G631">
        <f>HYPERLINK("http://clipc-services.ceda.ac.uk/dreq/u/117c89cc-b574-11e6-9ed4-5404a60d96b5.html","web")</f>
        <v>0</v>
      </c>
      <c r="J631" t="s">
        <v>199</v>
      </c>
      <c r="K631" t="s">
        <v>1566</v>
      </c>
      <c r="M631" t="s">
        <v>198</v>
      </c>
    </row>
    <row r="632" spans="1:13">
      <c r="A632" t="s">
        <v>1358</v>
      </c>
      <c r="B632" t="s">
        <v>200</v>
      </c>
      <c r="C632" t="s">
        <v>50</v>
      </c>
      <c r="D632" t="s">
        <v>85</v>
      </c>
      <c r="E632" t="s">
        <v>201</v>
      </c>
      <c r="F632" t="s">
        <v>74</v>
      </c>
      <c r="G632">
        <f>HYPERLINK("http://clipc-services.ceda.ac.uk/dreq/u/1742f769c80d35356bf80ab91789eec6.html","web")</f>
        <v>0</v>
      </c>
      <c r="J632" t="s">
        <v>202</v>
      </c>
      <c r="K632" t="s">
        <v>1566</v>
      </c>
      <c r="M632" t="s">
        <v>74</v>
      </c>
    </row>
    <row r="633" spans="1:13">
      <c r="A633" t="s">
        <v>1358</v>
      </c>
      <c r="B633" t="s">
        <v>1567</v>
      </c>
      <c r="C633" t="s">
        <v>35</v>
      </c>
      <c r="D633" t="s">
        <v>152</v>
      </c>
      <c r="E633" t="s">
        <v>1568</v>
      </c>
      <c r="F633" t="s">
        <v>35</v>
      </c>
      <c r="G633">
        <f>HYPERLINK("http://clipc-services.ceda.ac.uk/dreq/u/59130948-9e49-11e5-803c-0d0b866b59f3.html","web")</f>
        <v>0</v>
      </c>
      <c r="J633" t="s">
        <v>1569</v>
      </c>
      <c r="K633" t="s">
        <v>1522</v>
      </c>
      <c r="M633" t="s">
        <v>35</v>
      </c>
    </row>
    <row r="634" spans="1:13">
      <c r="A634" t="s">
        <v>1358</v>
      </c>
      <c r="B634" t="s">
        <v>1570</v>
      </c>
      <c r="C634" t="s">
        <v>35</v>
      </c>
      <c r="D634" t="s">
        <v>998</v>
      </c>
      <c r="E634" t="s">
        <v>1571</v>
      </c>
      <c r="F634" t="s">
        <v>35</v>
      </c>
      <c r="G634">
        <f>HYPERLINK("http://clipc-services.ceda.ac.uk/dreq/u/591720a0-9e49-11e5-803c-0d0b866b59f3.html","web")</f>
        <v>0</v>
      </c>
      <c r="J634" t="s">
        <v>1572</v>
      </c>
      <c r="K634" t="s">
        <v>1573</v>
      </c>
      <c r="M634" t="s">
        <v>35</v>
      </c>
    </row>
    <row r="635" spans="1:13">
      <c r="A635" t="s">
        <v>1358</v>
      </c>
      <c r="B635" t="s">
        <v>1574</v>
      </c>
      <c r="C635" t="s">
        <v>35</v>
      </c>
      <c r="D635" t="s">
        <v>998</v>
      </c>
      <c r="E635" t="s">
        <v>1575</v>
      </c>
      <c r="F635" t="s">
        <v>35</v>
      </c>
      <c r="G635">
        <f>HYPERLINK("http://clipc-services.ceda.ac.uk/dreq/u/5914cf30-9e49-11e5-803c-0d0b866b59f3.html","web")</f>
        <v>0</v>
      </c>
      <c r="J635" t="s">
        <v>1576</v>
      </c>
      <c r="K635" t="s">
        <v>1522</v>
      </c>
      <c r="M635" t="s">
        <v>35</v>
      </c>
    </row>
    <row r="636" spans="1:13">
      <c r="A636" t="s">
        <v>1358</v>
      </c>
      <c r="B636" t="s">
        <v>1577</v>
      </c>
      <c r="C636" t="s">
        <v>35</v>
      </c>
      <c r="D636" t="s">
        <v>152</v>
      </c>
      <c r="E636" t="s">
        <v>1578</v>
      </c>
      <c r="F636" t="s">
        <v>35</v>
      </c>
      <c r="G636">
        <f>HYPERLINK("http://clipc-services.ceda.ac.uk/dreq/u/5914c0ee-9e49-11e5-803c-0d0b866b59f3.html","web")</f>
        <v>0</v>
      </c>
      <c r="J636" t="s">
        <v>1579</v>
      </c>
      <c r="K636" t="s">
        <v>1522</v>
      </c>
      <c r="M636" t="s">
        <v>35</v>
      </c>
    </row>
    <row r="637" spans="1:13">
      <c r="A637" t="s">
        <v>1358</v>
      </c>
      <c r="B637" t="s">
        <v>203</v>
      </c>
      <c r="C637" t="s">
        <v>50</v>
      </c>
      <c r="D637" t="s">
        <v>85</v>
      </c>
      <c r="E637" t="s">
        <v>204</v>
      </c>
      <c r="F637" t="s">
        <v>74</v>
      </c>
      <c r="G637">
        <f>HYPERLINK("http://clipc-services.ceda.ac.uk/dreq/u/2aa31f177542022b5d6ca809cf01eff5.html","web")</f>
        <v>0</v>
      </c>
      <c r="J637" t="s">
        <v>205</v>
      </c>
      <c r="K637" t="s">
        <v>1566</v>
      </c>
      <c r="M637" t="s">
        <v>74</v>
      </c>
    </row>
    <row r="638" spans="1:13">
      <c r="A638" t="s">
        <v>1358</v>
      </c>
      <c r="B638" t="s">
        <v>206</v>
      </c>
      <c r="C638" t="s">
        <v>35</v>
      </c>
      <c r="D638" t="s">
        <v>152</v>
      </c>
      <c r="E638" t="s">
        <v>207</v>
      </c>
      <c r="F638" t="s">
        <v>198</v>
      </c>
      <c r="G638">
        <f>HYPERLINK("http://clipc-services.ceda.ac.uk/dreq/u/59133ddc-9e49-11e5-803c-0d0b866b59f3.html","web")</f>
        <v>0</v>
      </c>
      <c r="J638" t="s">
        <v>208</v>
      </c>
      <c r="K638" t="s">
        <v>1566</v>
      </c>
      <c r="M638" t="s">
        <v>198</v>
      </c>
    </row>
    <row r="639" spans="1:13">
      <c r="A639" t="s">
        <v>1358</v>
      </c>
      <c r="B639" t="s">
        <v>209</v>
      </c>
      <c r="C639" t="s">
        <v>50</v>
      </c>
      <c r="D639" t="s">
        <v>85</v>
      </c>
      <c r="E639" t="s">
        <v>210</v>
      </c>
      <c r="F639" t="s">
        <v>74</v>
      </c>
      <c r="G639">
        <f>HYPERLINK("http://clipc-services.ceda.ac.uk/dreq/u/8530ec1d1281da71f660df7c61571e38.html","web")</f>
        <v>0</v>
      </c>
      <c r="J639" t="s">
        <v>211</v>
      </c>
      <c r="K639" t="s">
        <v>1566</v>
      </c>
      <c r="M639" t="s">
        <v>74</v>
      </c>
    </row>
    <row r="640" spans="1:13">
      <c r="A640" t="s">
        <v>1358</v>
      </c>
      <c r="B640" t="s">
        <v>212</v>
      </c>
      <c r="C640" t="s">
        <v>50</v>
      </c>
      <c r="D640" t="s">
        <v>85</v>
      </c>
      <c r="E640" t="s">
        <v>213</v>
      </c>
      <c r="F640" t="s">
        <v>74</v>
      </c>
      <c r="G640">
        <f>HYPERLINK("http://clipc-services.ceda.ac.uk/dreq/u/bf9968cc511b92e99f89e9856bd38fb6.html","web")</f>
        <v>0</v>
      </c>
      <c r="J640" t="s">
        <v>214</v>
      </c>
      <c r="K640" t="s">
        <v>1566</v>
      </c>
      <c r="M640" t="s">
        <v>74</v>
      </c>
    </row>
    <row r="641" spans="1:13">
      <c r="A641" t="s">
        <v>1358</v>
      </c>
      <c r="B641" t="s">
        <v>215</v>
      </c>
      <c r="C641" t="s">
        <v>50</v>
      </c>
      <c r="D641" t="s">
        <v>85</v>
      </c>
      <c r="E641" t="s">
        <v>216</v>
      </c>
      <c r="F641" t="s">
        <v>74</v>
      </c>
      <c r="G641">
        <f>HYPERLINK("http://clipc-services.ceda.ac.uk/dreq/u/64c745ab7c8597bb0afed2bafd12c20c.html","web")</f>
        <v>0</v>
      </c>
      <c r="J641" t="s">
        <v>217</v>
      </c>
      <c r="K641" t="s">
        <v>1566</v>
      </c>
      <c r="M641" t="s">
        <v>74</v>
      </c>
    </row>
    <row r="642" spans="1:13">
      <c r="A642" t="s">
        <v>1358</v>
      </c>
      <c r="B642" t="s">
        <v>218</v>
      </c>
      <c r="C642" t="s">
        <v>50</v>
      </c>
      <c r="D642" t="s">
        <v>85</v>
      </c>
      <c r="E642" t="s">
        <v>219</v>
      </c>
      <c r="F642" t="s">
        <v>74</v>
      </c>
      <c r="G642">
        <f>HYPERLINK("http://clipc-services.ceda.ac.uk/dreq/u/3cbe53c2-12cc-11e6-b2bc-ac72891c3257.html","web")</f>
        <v>0</v>
      </c>
      <c r="J642" t="s">
        <v>220</v>
      </c>
      <c r="K642" t="s">
        <v>1566</v>
      </c>
      <c r="M642" t="s">
        <v>74</v>
      </c>
    </row>
    <row r="643" spans="1:13">
      <c r="A643" t="s">
        <v>1358</v>
      </c>
      <c r="B643" t="s">
        <v>221</v>
      </c>
      <c r="C643" t="s">
        <v>50</v>
      </c>
      <c r="D643" t="s">
        <v>85</v>
      </c>
      <c r="E643" t="s">
        <v>222</v>
      </c>
      <c r="F643" t="s">
        <v>74</v>
      </c>
      <c r="G643">
        <f>HYPERLINK("http://clipc-services.ceda.ac.uk/dreq/u/d447c41b5f4e8c44f1fe64503cb4caa1.html","web")</f>
        <v>0</v>
      </c>
      <c r="J643" t="s">
        <v>223</v>
      </c>
      <c r="K643" t="s">
        <v>1566</v>
      </c>
      <c r="M643" t="s">
        <v>74</v>
      </c>
    </row>
    <row r="644" spans="1:13">
      <c r="A644" t="s">
        <v>1358</v>
      </c>
      <c r="B644" t="s">
        <v>224</v>
      </c>
      <c r="C644" t="s">
        <v>50</v>
      </c>
      <c r="D644" t="s">
        <v>85</v>
      </c>
      <c r="E644" t="s">
        <v>225</v>
      </c>
      <c r="F644" t="s">
        <v>182</v>
      </c>
      <c r="G644">
        <f>HYPERLINK("http://clipc-services.ceda.ac.uk/dreq/u/9259f1caedb47c287bc1c9dfc3c6f756.html","web")</f>
        <v>0</v>
      </c>
      <c r="J644" t="s">
        <v>226</v>
      </c>
      <c r="K644" t="s">
        <v>1566</v>
      </c>
      <c r="M644" t="s">
        <v>182</v>
      </c>
    </row>
    <row r="645" spans="1:13">
      <c r="A645" t="s">
        <v>1358</v>
      </c>
      <c r="B645" t="s">
        <v>1580</v>
      </c>
      <c r="C645" t="s">
        <v>35</v>
      </c>
      <c r="D645" t="s">
        <v>85</v>
      </c>
      <c r="E645" t="s">
        <v>1581</v>
      </c>
      <c r="F645" t="s">
        <v>1582</v>
      </c>
      <c r="G645">
        <f>HYPERLINK("http://clipc-services.ceda.ac.uk/dreq/u/15410a16-f746-11e5-950e-5404a60d96b5.html","web")</f>
        <v>0</v>
      </c>
      <c r="J645" t="s">
        <v>1583</v>
      </c>
      <c r="K645" t="s">
        <v>1566</v>
      </c>
      <c r="M645" t="s">
        <v>1582</v>
      </c>
    </row>
    <row r="646" spans="1:13">
      <c r="A646" t="s">
        <v>1358</v>
      </c>
      <c r="B646" t="s">
        <v>1069</v>
      </c>
      <c r="C646" t="s">
        <v>35</v>
      </c>
      <c r="D646" t="s">
        <v>1274</v>
      </c>
      <c r="E646" t="s">
        <v>1071</v>
      </c>
      <c r="F646" t="s">
        <v>35</v>
      </c>
      <c r="G646">
        <f>HYPERLINK("http://clipc-services.ceda.ac.uk/dreq/u/a06b8e83250b870d9f39dc1f6534efcb.html","web")</f>
        <v>0</v>
      </c>
      <c r="J646" t="s">
        <v>1072</v>
      </c>
      <c r="K646" t="s">
        <v>327</v>
      </c>
      <c r="M646" t="s">
        <v>35</v>
      </c>
    </row>
    <row r="647" spans="1:13">
      <c r="A647" t="s">
        <v>1358</v>
      </c>
      <c r="B647" t="s">
        <v>1584</v>
      </c>
      <c r="C647" t="s">
        <v>35</v>
      </c>
      <c r="D647" t="s">
        <v>85</v>
      </c>
      <c r="E647" t="s">
        <v>1585</v>
      </c>
      <c r="F647" t="s">
        <v>1582</v>
      </c>
      <c r="G647">
        <f>HYPERLINK("http://clipc-services.ceda.ac.uk/dreq/u/590df00c-9e49-11e5-803c-0d0b866b59f3.html","web")</f>
        <v>0</v>
      </c>
      <c r="J647" t="s">
        <v>1586</v>
      </c>
      <c r="K647" t="s">
        <v>1566</v>
      </c>
      <c r="M647" t="s">
        <v>1582</v>
      </c>
    </row>
    <row r="648" spans="1:13">
      <c r="A648" t="s">
        <v>1358</v>
      </c>
      <c r="B648" t="s">
        <v>257</v>
      </c>
      <c r="C648" t="s">
        <v>16</v>
      </c>
      <c r="D648" t="s">
        <v>85</v>
      </c>
      <c r="E648" t="s">
        <v>258</v>
      </c>
      <c r="F648" t="s">
        <v>95</v>
      </c>
      <c r="G648">
        <f>HYPERLINK("http://clipc-services.ceda.ac.uk/dreq/u/e526caea-dd83-11e5-9194-ac72891c3257.html","web")</f>
        <v>0</v>
      </c>
      <c r="J648" t="s">
        <v>259</v>
      </c>
      <c r="K648" t="s">
        <v>1273</v>
      </c>
      <c r="M648" t="s">
        <v>95</v>
      </c>
    </row>
    <row r="649" spans="1:13">
      <c r="A649" t="s">
        <v>1358</v>
      </c>
      <c r="B649" t="s">
        <v>260</v>
      </c>
      <c r="C649" t="s">
        <v>16</v>
      </c>
      <c r="D649" t="s">
        <v>85</v>
      </c>
      <c r="E649" t="s">
        <v>261</v>
      </c>
      <c r="F649" t="s">
        <v>95</v>
      </c>
      <c r="G649">
        <f>HYPERLINK("http://clipc-services.ceda.ac.uk/dreq/u/e52644bc-dd83-11e5-9194-ac72891c3257.html","web")</f>
        <v>0</v>
      </c>
      <c r="J649" t="s">
        <v>262</v>
      </c>
      <c r="K649" t="s">
        <v>1273</v>
      </c>
      <c r="M649" t="s">
        <v>95</v>
      </c>
    </row>
    <row r="650" spans="1:13">
      <c r="A650" t="s">
        <v>1358</v>
      </c>
      <c r="B650" t="s">
        <v>263</v>
      </c>
      <c r="C650" t="s">
        <v>16</v>
      </c>
      <c r="D650" t="s">
        <v>85</v>
      </c>
      <c r="E650" t="s">
        <v>264</v>
      </c>
      <c r="F650" t="s">
        <v>95</v>
      </c>
      <c r="G650">
        <f>HYPERLINK("http://clipc-services.ceda.ac.uk/dreq/u/e527532a-dd83-11e5-9194-ac72891c3257.html","web")</f>
        <v>0</v>
      </c>
      <c r="J650" t="s">
        <v>265</v>
      </c>
      <c r="K650" t="s">
        <v>1273</v>
      </c>
      <c r="M650" t="s">
        <v>95</v>
      </c>
    </row>
    <row r="651" spans="1:13">
      <c r="A651" t="s">
        <v>1358</v>
      </c>
      <c r="B651" t="s">
        <v>1587</v>
      </c>
      <c r="C651" t="s">
        <v>35</v>
      </c>
      <c r="D651" t="s">
        <v>152</v>
      </c>
      <c r="E651" t="s">
        <v>1588</v>
      </c>
      <c r="F651" t="s">
        <v>182</v>
      </c>
      <c r="G651">
        <f>HYPERLINK("http://clipc-services.ceda.ac.uk/dreq/u/590f10b8-9e49-11e5-803c-0d0b866b59f3.html","web")</f>
        <v>0</v>
      </c>
      <c r="J651" t="s">
        <v>1589</v>
      </c>
      <c r="K651" t="s">
        <v>1522</v>
      </c>
      <c r="M651" t="s">
        <v>182</v>
      </c>
    </row>
    <row r="652" spans="1:13">
      <c r="A652" t="s">
        <v>1358</v>
      </c>
      <c r="B652" t="s">
        <v>1590</v>
      </c>
      <c r="C652" t="s">
        <v>35</v>
      </c>
      <c r="D652" t="s">
        <v>152</v>
      </c>
      <c r="E652" t="s">
        <v>1591</v>
      </c>
      <c r="F652" t="s">
        <v>182</v>
      </c>
      <c r="G652">
        <f>HYPERLINK("http://clipc-services.ceda.ac.uk/dreq/u/590e4408-9e49-11e5-803c-0d0b866b59f3.html","web")</f>
        <v>0</v>
      </c>
      <c r="J652" t="s">
        <v>1592</v>
      </c>
      <c r="K652" t="s">
        <v>1522</v>
      </c>
      <c r="M652" t="s">
        <v>182</v>
      </c>
    </row>
    <row r="653" spans="1:13">
      <c r="A653" t="s">
        <v>1358</v>
      </c>
      <c r="B653" t="s">
        <v>1593</v>
      </c>
      <c r="C653" t="s">
        <v>35</v>
      </c>
      <c r="D653" t="s">
        <v>152</v>
      </c>
      <c r="E653" t="s">
        <v>1594</v>
      </c>
      <c r="F653" t="s">
        <v>182</v>
      </c>
      <c r="G653">
        <f>HYPERLINK("http://clipc-services.ceda.ac.uk/dreq/u/590e105a-9e49-11e5-803c-0d0b866b59f3.html","web")</f>
        <v>0</v>
      </c>
      <c r="J653" t="s">
        <v>1595</v>
      </c>
      <c r="K653" t="s">
        <v>1522</v>
      </c>
      <c r="M653" t="s">
        <v>182</v>
      </c>
    </row>
    <row r="654" spans="1:13">
      <c r="A654" t="s">
        <v>1358</v>
      </c>
      <c r="B654" t="s">
        <v>1596</v>
      </c>
      <c r="C654" t="s">
        <v>35</v>
      </c>
      <c r="D654" t="s">
        <v>85</v>
      </c>
      <c r="E654" t="s">
        <v>1597</v>
      </c>
      <c r="F654" t="s">
        <v>1582</v>
      </c>
      <c r="G654">
        <f>HYPERLINK("http://clipc-services.ceda.ac.uk/dreq/u/11806b1e-f747-11e5-950e-5404a60d96b5.html","web")</f>
        <v>0</v>
      </c>
      <c r="J654" t="s">
        <v>1598</v>
      </c>
      <c r="K654" t="s">
        <v>1566</v>
      </c>
      <c r="M654" t="s">
        <v>1582</v>
      </c>
    </row>
    <row r="655" spans="1:13">
      <c r="A655" t="s">
        <v>1358</v>
      </c>
      <c r="B655" t="s">
        <v>948</v>
      </c>
      <c r="C655" t="s">
        <v>35</v>
      </c>
      <c r="D655" t="s">
        <v>152</v>
      </c>
      <c r="E655" t="s">
        <v>949</v>
      </c>
      <c r="F655" t="s">
        <v>182</v>
      </c>
      <c r="G655">
        <f>HYPERLINK("http://clipc-services.ceda.ac.uk/dreq/u/7553003ead183dd3276108b6311a337f.html","web")</f>
        <v>0</v>
      </c>
      <c r="J655" t="s">
        <v>950</v>
      </c>
      <c r="K655" t="s">
        <v>951</v>
      </c>
      <c r="M655" t="s">
        <v>182</v>
      </c>
    </row>
    <row r="656" spans="1:13">
      <c r="A656" t="s">
        <v>1358</v>
      </c>
      <c r="B656" t="s">
        <v>1599</v>
      </c>
      <c r="C656" t="s">
        <v>35</v>
      </c>
      <c r="D656" t="s">
        <v>152</v>
      </c>
      <c r="E656" t="s">
        <v>1600</v>
      </c>
      <c r="F656" t="s">
        <v>182</v>
      </c>
      <c r="G656">
        <f>HYPERLINK("http://clipc-services.ceda.ac.uk/dreq/u/591401a4-9e49-11e5-803c-0d0b866b59f3.html","web")</f>
        <v>0</v>
      </c>
      <c r="J656" t="s">
        <v>1601</v>
      </c>
      <c r="K656" t="s">
        <v>1522</v>
      </c>
      <c r="M656" t="s">
        <v>182</v>
      </c>
    </row>
    <row r="657" spans="1:13">
      <c r="A657" t="s">
        <v>1358</v>
      </c>
      <c r="B657" t="s">
        <v>1602</v>
      </c>
      <c r="C657" t="s">
        <v>35</v>
      </c>
      <c r="D657" t="s">
        <v>152</v>
      </c>
      <c r="E657" t="s">
        <v>1603</v>
      </c>
      <c r="F657" t="s">
        <v>182</v>
      </c>
      <c r="G657">
        <f>HYPERLINK("http://clipc-services.ceda.ac.uk/dreq/u/591763b2-9e49-11e5-803c-0d0b866b59f3.html","web")</f>
        <v>0</v>
      </c>
      <c r="J657" t="s">
        <v>1604</v>
      </c>
      <c r="K657" t="s">
        <v>1522</v>
      </c>
      <c r="M657" t="s">
        <v>182</v>
      </c>
    </row>
    <row r="658" spans="1:13">
      <c r="A658" t="s">
        <v>1358</v>
      </c>
      <c r="B658" t="s">
        <v>1605</v>
      </c>
      <c r="C658" t="s">
        <v>35</v>
      </c>
      <c r="D658" t="s">
        <v>152</v>
      </c>
      <c r="E658" t="s">
        <v>1606</v>
      </c>
      <c r="F658" t="s">
        <v>182</v>
      </c>
      <c r="G658">
        <f>HYPERLINK("http://clipc-services.ceda.ac.uk/dreq/u/5912fb88-9e49-11e5-803c-0d0b866b59f3.html","web")</f>
        <v>0</v>
      </c>
      <c r="J658" t="s">
        <v>1607</v>
      </c>
      <c r="K658" t="s">
        <v>1522</v>
      </c>
      <c r="M658" t="s">
        <v>182</v>
      </c>
    </row>
    <row r="659" spans="1:13">
      <c r="A659" t="s">
        <v>1358</v>
      </c>
      <c r="B659" t="s">
        <v>1608</v>
      </c>
      <c r="C659" t="s">
        <v>35</v>
      </c>
      <c r="D659" t="s">
        <v>85</v>
      </c>
      <c r="E659" t="s">
        <v>1609</v>
      </c>
      <c r="F659" t="s">
        <v>1582</v>
      </c>
      <c r="G659">
        <f>HYPERLINK("http://clipc-services.ceda.ac.uk/dreq/u/5914af46-9e49-11e5-803c-0d0b866b59f3.html","web")</f>
        <v>0</v>
      </c>
      <c r="J659" t="s">
        <v>1610</v>
      </c>
      <c r="K659" t="s">
        <v>1566</v>
      </c>
      <c r="M659" t="s">
        <v>1582</v>
      </c>
    </row>
    <row r="660" spans="1:13">
      <c r="A660" t="s">
        <v>1358</v>
      </c>
      <c r="B660" t="s">
        <v>1611</v>
      </c>
      <c r="C660" t="s">
        <v>35</v>
      </c>
      <c r="D660" t="s">
        <v>550</v>
      </c>
      <c r="E660" t="s">
        <v>1612</v>
      </c>
      <c r="F660" t="s">
        <v>47</v>
      </c>
      <c r="G660">
        <f>HYPERLINK("http://clipc-services.ceda.ac.uk/dreq/u/590f7e72-9e49-11e5-803c-0d0b866b59f3.html","web")</f>
        <v>0</v>
      </c>
      <c r="J660" t="s">
        <v>1613</v>
      </c>
      <c r="K660" t="s">
        <v>1522</v>
      </c>
      <c r="M660" t="s">
        <v>47</v>
      </c>
    </row>
    <row r="661" spans="1:13">
      <c r="A661" t="s">
        <v>1358</v>
      </c>
      <c r="B661" t="s">
        <v>1614</v>
      </c>
      <c r="C661" t="s">
        <v>35</v>
      </c>
      <c r="D661" t="s">
        <v>85</v>
      </c>
      <c r="E661" t="s">
        <v>1615</v>
      </c>
      <c r="F661" t="s">
        <v>47</v>
      </c>
      <c r="G661">
        <f>HYPERLINK("http://clipc-services.ceda.ac.uk/dreq/u/590e0dd0-9e49-11e5-803c-0d0b866b59f3.html","web")</f>
        <v>0</v>
      </c>
      <c r="J661" t="s">
        <v>1616</v>
      </c>
      <c r="K661" t="s">
        <v>1522</v>
      </c>
      <c r="M661" t="s">
        <v>47</v>
      </c>
    </row>
    <row r="662" spans="1:13">
      <c r="A662" t="s">
        <v>1358</v>
      </c>
      <c r="B662" t="s">
        <v>1617</v>
      </c>
      <c r="C662" t="s">
        <v>35</v>
      </c>
      <c r="D662" t="s">
        <v>550</v>
      </c>
      <c r="E662" t="s">
        <v>1618</v>
      </c>
      <c r="F662" t="s">
        <v>47</v>
      </c>
      <c r="G662">
        <f>HYPERLINK("http://clipc-services.ceda.ac.uk/dreq/u/5914fd52-9e49-11e5-803c-0d0b866b59f3.html","web")</f>
        <v>0</v>
      </c>
      <c r="J662" t="s">
        <v>1619</v>
      </c>
      <c r="K662" t="s">
        <v>1522</v>
      </c>
      <c r="M662" t="s">
        <v>47</v>
      </c>
    </row>
    <row r="663" spans="1:13">
      <c r="A663" t="s">
        <v>1358</v>
      </c>
      <c r="B663" t="s">
        <v>1620</v>
      </c>
      <c r="C663" t="s">
        <v>50</v>
      </c>
      <c r="D663" t="s">
        <v>152</v>
      </c>
      <c r="E663" t="s">
        <v>1621</v>
      </c>
      <c r="F663" t="s">
        <v>182</v>
      </c>
      <c r="G663">
        <f>HYPERLINK("http://clipc-services.ceda.ac.uk/dreq/u/84f108a8-acb7-11e6-b5ee-ac72891c3257.html","web")</f>
        <v>0</v>
      </c>
      <c r="J663" t="s">
        <v>1622</v>
      </c>
      <c r="K663" t="s">
        <v>1387</v>
      </c>
      <c r="M663" t="s">
        <v>182</v>
      </c>
    </row>
    <row r="664" spans="1:13">
      <c r="A664" t="s">
        <v>1358</v>
      </c>
      <c r="B664" t="s">
        <v>1623</v>
      </c>
      <c r="C664" t="s">
        <v>50</v>
      </c>
      <c r="D664" t="s">
        <v>152</v>
      </c>
      <c r="E664" t="s">
        <v>1624</v>
      </c>
      <c r="F664" t="s">
        <v>182</v>
      </c>
      <c r="G664">
        <f>HYPERLINK("http://clipc-services.ceda.ac.uk/dreq/u/590dd13a-9e49-11e5-803c-0d0b866b59f3.html","web")</f>
        <v>0</v>
      </c>
      <c r="J664" t="s">
        <v>1625</v>
      </c>
      <c r="K664" t="s">
        <v>1362</v>
      </c>
      <c r="M664" t="s">
        <v>182</v>
      </c>
    </row>
    <row r="665" spans="1:13">
      <c r="A665" t="s">
        <v>1358</v>
      </c>
      <c r="B665" t="s">
        <v>1626</v>
      </c>
      <c r="C665" t="s">
        <v>50</v>
      </c>
      <c r="D665" t="s">
        <v>152</v>
      </c>
      <c r="E665" t="s">
        <v>1627</v>
      </c>
      <c r="F665" t="s">
        <v>182</v>
      </c>
      <c r="G665">
        <f>HYPERLINK("http://clipc-services.ceda.ac.uk/dreq/u/5914517c-9e49-11e5-803c-0d0b866b59f3.html","web")</f>
        <v>0</v>
      </c>
      <c r="J665" t="s">
        <v>1628</v>
      </c>
      <c r="K665" t="s">
        <v>1362</v>
      </c>
      <c r="M665" t="s">
        <v>182</v>
      </c>
    </row>
    <row r="666" spans="1:13">
      <c r="A666" t="s">
        <v>1358</v>
      </c>
      <c r="B666" t="s">
        <v>1213</v>
      </c>
      <c r="C666" t="s">
        <v>50</v>
      </c>
      <c r="D666" t="s">
        <v>1428</v>
      </c>
      <c r="E666" t="s">
        <v>1214</v>
      </c>
      <c r="F666" t="s">
        <v>35</v>
      </c>
      <c r="G666">
        <f>HYPERLINK("http://clipc-services.ceda.ac.uk/dreq/u/5914b9be-9e49-11e5-803c-0d0b866b59f3.html","web")</f>
        <v>0</v>
      </c>
      <c r="J666" t="s">
        <v>1215</v>
      </c>
      <c r="K666" t="s">
        <v>21</v>
      </c>
      <c r="M666" t="s">
        <v>35</v>
      </c>
    </row>
    <row r="667" spans="1:13">
      <c r="A667" t="s">
        <v>1358</v>
      </c>
      <c r="B667" t="s">
        <v>1120</v>
      </c>
      <c r="C667" t="s">
        <v>50</v>
      </c>
      <c r="D667" t="s">
        <v>550</v>
      </c>
      <c r="E667" t="s">
        <v>1121</v>
      </c>
      <c r="F667" t="s">
        <v>57</v>
      </c>
      <c r="G667">
        <f>HYPERLINK("http://clipc-services.ceda.ac.uk/dreq/u/d80ff3a0dec0b1256a0943aadab66813.html","web")</f>
        <v>0</v>
      </c>
      <c r="J667" t="s">
        <v>1122</v>
      </c>
      <c r="K667" t="s">
        <v>1046</v>
      </c>
      <c r="M667" t="s">
        <v>57</v>
      </c>
    </row>
    <row r="668" spans="1:13">
      <c r="A668" t="s">
        <v>1358</v>
      </c>
      <c r="B668" t="s">
        <v>1123</v>
      </c>
      <c r="C668" t="s">
        <v>50</v>
      </c>
      <c r="D668" t="s">
        <v>550</v>
      </c>
      <c r="E668" t="s">
        <v>1124</v>
      </c>
      <c r="F668" t="s">
        <v>57</v>
      </c>
      <c r="G668">
        <f>HYPERLINK("http://clipc-services.ceda.ac.uk/dreq/u/c2270065bb39bfa4fbf0d13a78dfa8a1.html","web")</f>
        <v>0</v>
      </c>
      <c r="J668" t="s">
        <v>1122</v>
      </c>
      <c r="K668" t="s">
        <v>1046</v>
      </c>
      <c r="M668" t="s">
        <v>57</v>
      </c>
    </row>
    <row r="669" spans="1:13">
      <c r="A669" t="s">
        <v>1358</v>
      </c>
      <c r="B669" t="s">
        <v>1125</v>
      </c>
      <c r="C669" t="s">
        <v>50</v>
      </c>
      <c r="D669" t="s">
        <v>550</v>
      </c>
      <c r="E669" t="s">
        <v>1126</v>
      </c>
      <c r="F669" t="s">
        <v>57</v>
      </c>
      <c r="G669">
        <f>HYPERLINK("http://clipc-services.ceda.ac.uk/dreq/u/7aa8f285b17a5bcfce416f19c29d6d72.html","web")</f>
        <v>0</v>
      </c>
      <c r="J669" t="s">
        <v>1127</v>
      </c>
      <c r="K669" t="s">
        <v>1629</v>
      </c>
      <c r="M669" t="s">
        <v>57</v>
      </c>
    </row>
    <row r="670" spans="1:13">
      <c r="A670" t="s">
        <v>1358</v>
      </c>
      <c r="B670" t="s">
        <v>1128</v>
      </c>
      <c r="C670" t="s">
        <v>50</v>
      </c>
      <c r="D670" t="s">
        <v>550</v>
      </c>
      <c r="E670" t="s">
        <v>1129</v>
      </c>
      <c r="F670" t="s">
        <v>57</v>
      </c>
      <c r="G670">
        <f>HYPERLINK("http://clipc-services.ceda.ac.uk/dreq/u/ed2fff61c68d8a09d5034168e82ae862.html","web")</f>
        <v>0</v>
      </c>
      <c r="J670" t="s">
        <v>1127</v>
      </c>
      <c r="K670" t="s">
        <v>1629</v>
      </c>
      <c r="M670" t="s">
        <v>57</v>
      </c>
    </row>
    <row r="671" spans="1:13">
      <c r="A671" t="s">
        <v>1358</v>
      </c>
      <c r="B671" t="s">
        <v>1630</v>
      </c>
      <c r="C671" t="s">
        <v>50</v>
      </c>
      <c r="D671" t="s">
        <v>152</v>
      </c>
      <c r="E671" t="s">
        <v>1631</v>
      </c>
      <c r="F671" t="s">
        <v>182</v>
      </c>
      <c r="G671">
        <f>HYPERLINK("http://clipc-services.ceda.ac.uk/dreq/u/84f0beac-acb7-11e6-b5ee-ac72891c3257.html","web")</f>
        <v>0</v>
      </c>
      <c r="J671" t="s">
        <v>1632</v>
      </c>
      <c r="K671" t="s">
        <v>1387</v>
      </c>
      <c r="M671" t="s">
        <v>182</v>
      </c>
    </row>
    <row r="672" spans="1:13">
      <c r="A672" t="s">
        <v>1358</v>
      </c>
      <c r="B672" t="s">
        <v>1633</v>
      </c>
      <c r="C672" t="s">
        <v>50</v>
      </c>
      <c r="D672" t="s">
        <v>152</v>
      </c>
      <c r="E672" t="s">
        <v>1634</v>
      </c>
      <c r="F672" t="s">
        <v>182</v>
      </c>
      <c r="G672">
        <f>HYPERLINK("http://clipc-services.ceda.ac.uk/dreq/u/84f0f354-acb7-11e6-b5ee-ac72891c3257.html","web")</f>
        <v>0</v>
      </c>
      <c r="J672" t="s">
        <v>1635</v>
      </c>
      <c r="K672" t="s">
        <v>1387</v>
      </c>
      <c r="M672" t="s">
        <v>182</v>
      </c>
    </row>
    <row r="673" spans="1:13">
      <c r="A673" t="s">
        <v>1358</v>
      </c>
      <c r="B673" t="s">
        <v>1636</v>
      </c>
      <c r="C673" t="s">
        <v>50</v>
      </c>
      <c r="D673" t="s">
        <v>152</v>
      </c>
      <c r="E673" t="s">
        <v>1637</v>
      </c>
      <c r="F673" t="s">
        <v>182</v>
      </c>
      <c r="G673">
        <f>HYPERLINK("http://clipc-services.ceda.ac.uk/dreq/u/84f1117c-acb7-11e6-b5ee-ac72891c3257.html","web")</f>
        <v>0</v>
      </c>
      <c r="J673" t="s">
        <v>1638</v>
      </c>
      <c r="K673" t="s">
        <v>1387</v>
      </c>
      <c r="M673" t="s">
        <v>182</v>
      </c>
    </row>
    <row r="674" spans="1:13">
      <c r="A674" t="s">
        <v>1358</v>
      </c>
      <c r="B674" t="s">
        <v>1639</v>
      </c>
      <c r="C674" t="s">
        <v>50</v>
      </c>
      <c r="D674" t="s">
        <v>152</v>
      </c>
      <c r="E674" t="s">
        <v>1640</v>
      </c>
      <c r="F674" t="s">
        <v>182</v>
      </c>
      <c r="G674">
        <f>HYPERLINK("http://clipc-services.ceda.ac.uk/dreq/u/590f1f68-9e49-11e5-803c-0d0b866b59f3.html","web")</f>
        <v>0</v>
      </c>
      <c r="J674" t="s">
        <v>1641</v>
      </c>
      <c r="K674" t="s">
        <v>1362</v>
      </c>
      <c r="M674" t="s">
        <v>182</v>
      </c>
    </row>
    <row r="675" spans="1:13">
      <c r="A675" t="s">
        <v>1358</v>
      </c>
      <c r="B675" t="s">
        <v>1642</v>
      </c>
      <c r="C675" t="s">
        <v>50</v>
      </c>
      <c r="D675" t="s">
        <v>152</v>
      </c>
      <c r="E675" t="s">
        <v>1643</v>
      </c>
      <c r="F675" t="s">
        <v>182</v>
      </c>
      <c r="G675">
        <f>HYPERLINK("http://clipc-services.ceda.ac.uk/dreq/u/590f2436-9e49-11e5-803c-0d0b866b59f3.html","web")</f>
        <v>0</v>
      </c>
      <c r="J675" t="s">
        <v>1641</v>
      </c>
      <c r="K675" t="s">
        <v>1362</v>
      </c>
      <c r="M675" t="s">
        <v>182</v>
      </c>
    </row>
    <row r="676" spans="1:13">
      <c r="A676" t="s">
        <v>1358</v>
      </c>
      <c r="B676" t="s">
        <v>1644</v>
      </c>
      <c r="C676" t="s">
        <v>35</v>
      </c>
      <c r="D676" t="s">
        <v>1492</v>
      </c>
      <c r="E676" t="s">
        <v>1645</v>
      </c>
      <c r="F676" t="s">
        <v>74</v>
      </c>
      <c r="G676">
        <f>HYPERLINK("http://clipc-services.ceda.ac.uk/dreq/u/5912c3de-9e49-11e5-803c-0d0b866b59f3.html","web")</f>
        <v>0</v>
      </c>
      <c r="J676" t="s">
        <v>1646</v>
      </c>
      <c r="K676" t="s">
        <v>1495</v>
      </c>
      <c r="M676" t="s">
        <v>74</v>
      </c>
    </row>
    <row r="677" spans="1:13">
      <c r="A677" t="s">
        <v>1358</v>
      </c>
      <c r="B677" t="s">
        <v>266</v>
      </c>
      <c r="C677" t="s">
        <v>50</v>
      </c>
      <c r="D677" t="s">
        <v>85</v>
      </c>
      <c r="E677" t="s">
        <v>267</v>
      </c>
      <c r="F677" t="s">
        <v>74</v>
      </c>
      <c r="G677">
        <f>HYPERLINK("http://clipc-services.ceda.ac.uk/dreq/u/b2f82090-fbed-11e5-8f03-5404a60d96b5.html","web")</f>
        <v>0</v>
      </c>
      <c r="J677" t="s">
        <v>268</v>
      </c>
      <c r="K677" t="s">
        <v>1566</v>
      </c>
      <c r="M677" t="s">
        <v>74</v>
      </c>
    </row>
    <row r="678" spans="1:13">
      <c r="A678" t="s">
        <v>1358</v>
      </c>
      <c r="B678" t="s">
        <v>1282</v>
      </c>
      <c r="C678" t="s">
        <v>35</v>
      </c>
      <c r="D678" t="s">
        <v>152</v>
      </c>
      <c r="E678" t="s">
        <v>1283</v>
      </c>
      <c r="F678" t="s">
        <v>74</v>
      </c>
      <c r="G678">
        <f>HYPERLINK("http://clipc-services.ceda.ac.uk/dreq/u/6ca9dd8a089b15fb96841e9fe56411cf.html","web")</f>
        <v>0</v>
      </c>
      <c r="J678" t="s">
        <v>1284</v>
      </c>
      <c r="K678" t="s">
        <v>1433</v>
      </c>
      <c r="M678" t="s">
        <v>74</v>
      </c>
    </row>
    <row r="679" spans="1:13">
      <c r="A679" t="s">
        <v>1358</v>
      </c>
      <c r="B679" t="s">
        <v>481</v>
      </c>
      <c r="C679" t="s">
        <v>35</v>
      </c>
      <c r="D679" t="s">
        <v>152</v>
      </c>
      <c r="E679" t="s">
        <v>482</v>
      </c>
      <c r="F679" t="s">
        <v>74</v>
      </c>
      <c r="G679">
        <f>HYPERLINK("http://clipc-services.ceda.ac.uk/dreq/u/f27656eeae247192e82aa1032c911399.html","web")</f>
        <v>0</v>
      </c>
      <c r="J679" t="s">
        <v>483</v>
      </c>
      <c r="K679" t="s">
        <v>1433</v>
      </c>
      <c r="M679" t="s">
        <v>74</v>
      </c>
    </row>
    <row r="680" spans="1:13">
      <c r="A680" t="s">
        <v>1358</v>
      </c>
      <c r="B680" t="s">
        <v>1647</v>
      </c>
      <c r="C680" t="s">
        <v>35</v>
      </c>
      <c r="D680" t="s">
        <v>1492</v>
      </c>
      <c r="E680" t="s">
        <v>1648</v>
      </c>
      <c r="F680" t="s">
        <v>74</v>
      </c>
      <c r="G680">
        <f>HYPERLINK("http://clipc-services.ceda.ac.uk/dreq/u/5912e6d4-9e49-11e5-803c-0d0b866b59f3.html","web")</f>
        <v>0</v>
      </c>
      <c r="J680" t="s">
        <v>1649</v>
      </c>
      <c r="K680" t="s">
        <v>1495</v>
      </c>
      <c r="M680" t="s">
        <v>74</v>
      </c>
    </row>
    <row r="681" spans="1:13">
      <c r="A681" t="s">
        <v>1358</v>
      </c>
      <c r="B681" t="s">
        <v>1650</v>
      </c>
      <c r="C681" t="s">
        <v>35</v>
      </c>
      <c r="D681" t="s">
        <v>152</v>
      </c>
      <c r="E681" t="s">
        <v>1651</v>
      </c>
      <c r="F681" t="s">
        <v>115</v>
      </c>
      <c r="G681">
        <f>HYPERLINK("http://clipc-services.ceda.ac.uk/dreq/u/1ca290c839426f31f70a0d2862e1c611.html","web")</f>
        <v>0</v>
      </c>
      <c r="J681" t="s">
        <v>1652</v>
      </c>
      <c r="K681" t="s">
        <v>1429</v>
      </c>
      <c r="M681" t="s">
        <v>115</v>
      </c>
    </row>
    <row r="682" spans="1:13">
      <c r="A682" t="s">
        <v>1358</v>
      </c>
      <c r="B682" t="s">
        <v>1653</v>
      </c>
      <c r="C682" t="s">
        <v>35</v>
      </c>
      <c r="D682" t="s">
        <v>152</v>
      </c>
      <c r="E682" t="s">
        <v>1654</v>
      </c>
      <c r="F682" t="s">
        <v>115</v>
      </c>
      <c r="G682">
        <f>HYPERLINK("http://clipc-services.ceda.ac.uk/dreq/u/96435c8c0c0a8a7423d6abb6c027da69.html","web")</f>
        <v>0</v>
      </c>
      <c r="J682" t="s">
        <v>1655</v>
      </c>
      <c r="K682" t="s">
        <v>1429</v>
      </c>
      <c r="M682" t="s">
        <v>115</v>
      </c>
    </row>
    <row r="683" spans="1:13">
      <c r="A683" t="s">
        <v>1358</v>
      </c>
      <c r="B683" t="s">
        <v>1656</v>
      </c>
      <c r="C683" t="s">
        <v>35</v>
      </c>
      <c r="D683" t="s">
        <v>152</v>
      </c>
      <c r="E683" t="s">
        <v>1657</v>
      </c>
      <c r="F683" t="s">
        <v>115</v>
      </c>
      <c r="G683">
        <f>HYPERLINK("http://clipc-services.ceda.ac.uk/dreq/u/31a3caf70db7a8ed71e8d0a226365105.html","web")</f>
        <v>0</v>
      </c>
      <c r="J683" t="s">
        <v>1658</v>
      </c>
      <c r="K683" t="s">
        <v>1433</v>
      </c>
      <c r="M683" t="s">
        <v>115</v>
      </c>
    </row>
    <row r="684" spans="1:13">
      <c r="A684" t="s">
        <v>1358</v>
      </c>
      <c r="B684" t="s">
        <v>1216</v>
      </c>
      <c r="C684" t="s">
        <v>50</v>
      </c>
      <c r="D684" t="s">
        <v>1428</v>
      </c>
      <c r="E684" t="s">
        <v>1217</v>
      </c>
      <c r="F684" t="s">
        <v>35</v>
      </c>
      <c r="G684">
        <f>HYPERLINK("http://clipc-services.ceda.ac.uk/dreq/u/5917d1d0-9e49-11e5-803c-0d0b866b59f3.html","web")</f>
        <v>0</v>
      </c>
      <c r="J684" t="s">
        <v>1218</v>
      </c>
      <c r="K684" t="s">
        <v>21</v>
      </c>
      <c r="M684" t="s">
        <v>35</v>
      </c>
    </row>
    <row r="685" spans="1:13">
      <c r="A685" t="s">
        <v>1358</v>
      </c>
      <c r="B685" t="s">
        <v>1659</v>
      </c>
      <c r="C685" t="s">
        <v>35</v>
      </c>
      <c r="D685" t="s">
        <v>85</v>
      </c>
      <c r="E685" t="s">
        <v>1660</v>
      </c>
      <c r="F685" t="s">
        <v>35</v>
      </c>
      <c r="G685">
        <f>HYPERLINK("http://clipc-services.ceda.ac.uk/dreq/u/fdca5cbf-4d35-11e8-be0a-1c4d70487308.html","web")</f>
        <v>0</v>
      </c>
      <c r="J685" t="s">
        <v>1661</v>
      </c>
      <c r="K685" t="s">
        <v>1522</v>
      </c>
      <c r="M685" t="s">
        <v>35</v>
      </c>
    </row>
    <row r="686" spans="1:13">
      <c r="A686" t="s">
        <v>1358</v>
      </c>
      <c r="B686" t="s">
        <v>1662</v>
      </c>
      <c r="C686" t="s">
        <v>35</v>
      </c>
      <c r="D686" t="s">
        <v>550</v>
      </c>
      <c r="E686" t="s">
        <v>1663</v>
      </c>
      <c r="F686" t="s">
        <v>35</v>
      </c>
      <c r="G686">
        <f>HYPERLINK("http://clipc-services.ceda.ac.uk/dreq/u/590d4440-9e49-11e5-803c-0d0b866b59f3.html","web")</f>
        <v>0</v>
      </c>
      <c r="J686" t="s">
        <v>1616</v>
      </c>
      <c r="K686" t="s">
        <v>1522</v>
      </c>
      <c r="M686" t="s">
        <v>35</v>
      </c>
    </row>
    <row r="687" spans="1:13">
      <c r="A687" t="s">
        <v>1358</v>
      </c>
      <c r="B687" t="s">
        <v>1664</v>
      </c>
      <c r="C687" t="s">
        <v>35</v>
      </c>
      <c r="D687" t="s">
        <v>85</v>
      </c>
      <c r="E687" t="s">
        <v>1665</v>
      </c>
      <c r="F687" t="s">
        <v>35</v>
      </c>
      <c r="G687">
        <f>HYPERLINK("http://clipc-services.ceda.ac.uk/dreq/u/fdca5cc0-4d35-11e8-be0a-1c4d70487308.html","web")</f>
        <v>0</v>
      </c>
      <c r="J687" t="s">
        <v>1666</v>
      </c>
      <c r="K687" t="s">
        <v>1522</v>
      </c>
      <c r="M687" t="s">
        <v>35</v>
      </c>
    </row>
    <row r="688" spans="1:13">
      <c r="A688" t="s">
        <v>1358</v>
      </c>
      <c r="B688" t="s">
        <v>1667</v>
      </c>
      <c r="C688" t="s">
        <v>35</v>
      </c>
      <c r="D688" t="s">
        <v>1492</v>
      </c>
      <c r="E688" t="s">
        <v>1668</v>
      </c>
      <c r="F688" t="s">
        <v>57</v>
      </c>
      <c r="G688">
        <f>HYPERLINK("http://clipc-services.ceda.ac.uk/dreq/u/590e379c-9e49-11e5-803c-0d0b866b59f3.html","web")</f>
        <v>0</v>
      </c>
      <c r="J688" t="s">
        <v>1669</v>
      </c>
      <c r="K688" t="s">
        <v>1495</v>
      </c>
      <c r="M688" t="s">
        <v>57</v>
      </c>
    </row>
    <row r="689" spans="1:13">
      <c r="A689" t="s">
        <v>1358</v>
      </c>
      <c r="B689" t="s">
        <v>1670</v>
      </c>
      <c r="C689" t="s">
        <v>35</v>
      </c>
      <c r="D689" t="s">
        <v>152</v>
      </c>
      <c r="E689" t="s">
        <v>1671</v>
      </c>
      <c r="F689" t="s">
        <v>74</v>
      </c>
      <c r="G689">
        <f>HYPERLINK("http://clipc-services.ceda.ac.uk/dreq/u/590f465a-9e49-11e5-803c-0d0b866b59f3.html","web")</f>
        <v>0</v>
      </c>
      <c r="J689" t="s">
        <v>1535</v>
      </c>
      <c r="K689" t="s">
        <v>1522</v>
      </c>
      <c r="M689" t="s">
        <v>74</v>
      </c>
    </row>
    <row r="690" spans="1:13">
      <c r="A690" t="s">
        <v>1358</v>
      </c>
      <c r="B690" t="s">
        <v>1672</v>
      </c>
      <c r="C690" t="s">
        <v>35</v>
      </c>
      <c r="D690" t="s">
        <v>152</v>
      </c>
      <c r="E690" t="s">
        <v>1673</v>
      </c>
      <c r="F690" t="s">
        <v>74</v>
      </c>
      <c r="G690">
        <f>HYPERLINK("http://clipc-services.ceda.ac.uk/dreq/u/5917cf46-9e49-11e5-803c-0d0b866b59f3.html","web")</f>
        <v>0</v>
      </c>
      <c r="J690" t="s">
        <v>1674</v>
      </c>
      <c r="K690" t="s">
        <v>1522</v>
      </c>
      <c r="M690" t="s">
        <v>74</v>
      </c>
    </row>
    <row r="691" spans="1:13">
      <c r="A691" t="s">
        <v>1358</v>
      </c>
      <c r="B691" t="s">
        <v>1675</v>
      </c>
      <c r="C691" t="s">
        <v>35</v>
      </c>
      <c r="D691" t="s">
        <v>152</v>
      </c>
      <c r="E691" t="s">
        <v>1676</v>
      </c>
      <c r="F691" t="s">
        <v>74</v>
      </c>
      <c r="G691">
        <f>HYPERLINK("http://clipc-services.ceda.ac.uk/dreq/u/4cabf9607859a83bcb3bc00fa8d0698c.html","web")</f>
        <v>0</v>
      </c>
      <c r="J691" t="s">
        <v>1541</v>
      </c>
      <c r="K691" t="s">
        <v>1522</v>
      </c>
      <c r="M691" t="s">
        <v>74</v>
      </c>
    </row>
    <row r="692" spans="1:13">
      <c r="A692" t="s">
        <v>1358</v>
      </c>
      <c r="B692" t="s">
        <v>1677</v>
      </c>
      <c r="C692" t="s">
        <v>35</v>
      </c>
      <c r="D692" t="s">
        <v>152</v>
      </c>
      <c r="E692" t="s">
        <v>1678</v>
      </c>
      <c r="F692" t="s">
        <v>74</v>
      </c>
      <c r="G692">
        <f>HYPERLINK("http://clipc-services.ceda.ac.uk/dreq/u/332db812bf06c7af2de1b9d1e0cf58c9.html","web")</f>
        <v>0</v>
      </c>
      <c r="J692" t="s">
        <v>1541</v>
      </c>
      <c r="K692" t="s">
        <v>1522</v>
      </c>
      <c r="M692" t="s">
        <v>74</v>
      </c>
    </row>
    <row r="693" spans="1:13">
      <c r="A693" t="s">
        <v>1358</v>
      </c>
      <c r="B693" t="s">
        <v>1679</v>
      </c>
      <c r="C693" t="s">
        <v>50</v>
      </c>
      <c r="D693" t="s">
        <v>1407</v>
      </c>
      <c r="E693" t="s">
        <v>1680</v>
      </c>
      <c r="F693" t="s">
        <v>464</v>
      </c>
      <c r="G693">
        <f>HYPERLINK("http://clipc-services.ceda.ac.uk/dreq/u/84f1146a-acb7-11e6-b5ee-ac72891c3257.html","web")</f>
        <v>0</v>
      </c>
      <c r="J693" t="s">
        <v>1681</v>
      </c>
      <c r="K693" t="s">
        <v>1387</v>
      </c>
      <c r="M693" t="s">
        <v>464</v>
      </c>
    </row>
    <row r="694" spans="1:13">
      <c r="A694" t="s">
        <v>1358</v>
      </c>
      <c r="B694" t="s">
        <v>1682</v>
      </c>
      <c r="C694" t="s">
        <v>35</v>
      </c>
      <c r="D694" t="s">
        <v>1515</v>
      </c>
      <c r="E694" t="s">
        <v>1683</v>
      </c>
      <c r="F694" t="s">
        <v>305</v>
      </c>
      <c r="G694">
        <f>HYPERLINK("http://clipc-services.ceda.ac.uk/dreq/u/590f1a90-9e49-11e5-803c-0d0b866b59f3.html","web")</f>
        <v>0</v>
      </c>
      <c r="J694" t="s">
        <v>1684</v>
      </c>
      <c r="K694" t="s">
        <v>1495</v>
      </c>
      <c r="M694" t="s">
        <v>305</v>
      </c>
    </row>
    <row r="695" spans="1:13">
      <c r="A695" t="s">
        <v>1358</v>
      </c>
      <c r="B695" t="s">
        <v>1288</v>
      </c>
      <c r="C695" t="s">
        <v>35</v>
      </c>
      <c r="D695" t="s">
        <v>1240</v>
      </c>
      <c r="E695" t="s">
        <v>1289</v>
      </c>
      <c r="F695" t="s">
        <v>305</v>
      </c>
      <c r="G695">
        <f>HYPERLINK("http://clipc-services.ceda.ac.uk/dreq/u/170ff384-b622-11e6-bbe2-ac72891c3257.html","web")</f>
        <v>0</v>
      </c>
      <c r="J695" t="s">
        <v>1290</v>
      </c>
      <c r="K695" t="s">
        <v>956</v>
      </c>
      <c r="M695" t="s">
        <v>305</v>
      </c>
    </row>
    <row r="696" spans="1:13">
      <c r="A696" t="s">
        <v>1358</v>
      </c>
      <c r="B696" t="s">
        <v>1291</v>
      </c>
      <c r="C696" t="s">
        <v>35</v>
      </c>
      <c r="D696" t="s">
        <v>1240</v>
      </c>
      <c r="E696" t="s">
        <v>1292</v>
      </c>
      <c r="F696" t="s">
        <v>305</v>
      </c>
      <c r="G696">
        <f>HYPERLINK("http://clipc-services.ceda.ac.uk/dreq/u/1758307c-b622-11e6-bbe2-ac72891c3257.html","web")</f>
        <v>0</v>
      </c>
      <c r="J696" t="s">
        <v>1293</v>
      </c>
      <c r="K696" t="s">
        <v>956</v>
      </c>
      <c r="M696" t="s">
        <v>305</v>
      </c>
    </row>
    <row r="697" spans="1:13">
      <c r="A697" t="s">
        <v>1358</v>
      </c>
      <c r="B697" t="s">
        <v>1130</v>
      </c>
      <c r="C697" t="s">
        <v>35</v>
      </c>
      <c r="D697" t="s">
        <v>550</v>
      </c>
      <c r="E697" t="s">
        <v>1131</v>
      </c>
      <c r="F697" t="s">
        <v>464</v>
      </c>
      <c r="G697">
        <f>HYPERLINK("http://clipc-services.ceda.ac.uk/dreq/u/590ec6bc-9e49-11e5-803c-0d0b866b59f3.html","web")</f>
        <v>0</v>
      </c>
      <c r="J697" t="s">
        <v>1132</v>
      </c>
      <c r="K697" t="s">
        <v>1046</v>
      </c>
      <c r="M697" t="s">
        <v>464</v>
      </c>
    </row>
    <row r="698" spans="1:13">
      <c r="A698" t="s">
        <v>1358</v>
      </c>
      <c r="B698" t="s">
        <v>1133</v>
      </c>
      <c r="C698" t="s">
        <v>35</v>
      </c>
      <c r="D698" t="s">
        <v>550</v>
      </c>
      <c r="E698" t="s">
        <v>1134</v>
      </c>
      <c r="F698" t="s">
        <v>464</v>
      </c>
      <c r="G698">
        <f>HYPERLINK("http://clipc-services.ceda.ac.uk/dreq/u/59135d8a-9e49-11e5-803c-0d0b866b59f3.html","web")</f>
        <v>0</v>
      </c>
      <c r="J698" t="s">
        <v>1135</v>
      </c>
      <c r="K698" t="s">
        <v>1046</v>
      </c>
      <c r="M698" t="s">
        <v>464</v>
      </c>
    </row>
    <row r="699" spans="1:13">
      <c r="A699" t="s">
        <v>1358</v>
      </c>
      <c r="B699" t="s">
        <v>1136</v>
      </c>
      <c r="C699" t="s">
        <v>35</v>
      </c>
      <c r="D699" t="s">
        <v>550</v>
      </c>
      <c r="E699" t="s">
        <v>1137</v>
      </c>
      <c r="F699" t="s">
        <v>19</v>
      </c>
      <c r="G699">
        <f>HYPERLINK("http://clipc-services.ceda.ac.uk/dreq/u/590dcb0e-9e49-11e5-803c-0d0b866b59f3.html","web")</f>
        <v>0</v>
      </c>
      <c r="J699" t="s">
        <v>1138</v>
      </c>
      <c r="K699" t="s">
        <v>1046</v>
      </c>
      <c r="M699" t="s">
        <v>19</v>
      </c>
    </row>
    <row r="700" spans="1:13">
      <c r="A700" t="s">
        <v>1358</v>
      </c>
      <c r="B700" t="s">
        <v>1685</v>
      </c>
      <c r="C700" t="s">
        <v>50</v>
      </c>
      <c r="D700" t="s">
        <v>1428</v>
      </c>
      <c r="E700" t="s">
        <v>1686</v>
      </c>
      <c r="F700" t="s">
        <v>19</v>
      </c>
      <c r="G700">
        <f>HYPERLINK("http://clipc-services.ceda.ac.uk/dreq/u/621681bc7c376de66228fdde13b97516.html","web")</f>
        <v>0</v>
      </c>
      <c r="J700" t="s">
        <v>1687</v>
      </c>
      <c r="K700" t="s">
        <v>21</v>
      </c>
      <c r="M700" t="s">
        <v>19</v>
      </c>
    </row>
    <row r="701" spans="1:13">
      <c r="A701" t="s">
        <v>1358</v>
      </c>
      <c r="B701" t="s">
        <v>1139</v>
      </c>
      <c r="C701" t="s">
        <v>35</v>
      </c>
      <c r="D701" t="s">
        <v>550</v>
      </c>
      <c r="E701" t="s">
        <v>1140</v>
      </c>
      <c r="F701" t="s">
        <v>19</v>
      </c>
      <c r="G701">
        <f>HYPERLINK("http://clipc-services.ceda.ac.uk/dreq/u/59143570-9e49-11e5-803c-0d0b866b59f3.html","web")</f>
        <v>0</v>
      </c>
      <c r="J701" t="s">
        <v>1132</v>
      </c>
      <c r="K701" t="s">
        <v>1046</v>
      </c>
      <c r="M701" t="s">
        <v>19</v>
      </c>
    </row>
    <row r="702" spans="1:13">
      <c r="A702" t="s">
        <v>1358</v>
      </c>
      <c r="B702" t="s">
        <v>1688</v>
      </c>
      <c r="C702" t="s">
        <v>50</v>
      </c>
      <c r="D702" t="s">
        <v>1428</v>
      </c>
      <c r="E702" t="s">
        <v>1689</v>
      </c>
      <c r="F702" t="s">
        <v>19</v>
      </c>
      <c r="G702">
        <f>HYPERLINK("http://clipc-services.ceda.ac.uk/dreq/u/5917483c-9e49-11e5-803c-0d0b866b59f3.html","web")</f>
        <v>0</v>
      </c>
      <c r="J702" t="s">
        <v>1690</v>
      </c>
      <c r="K702" t="s">
        <v>21</v>
      </c>
      <c r="M702" t="s">
        <v>19</v>
      </c>
    </row>
    <row r="703" spans="1:13">
      <c r="A703" t="s">
        <v>1358</v>
      </c>
      <c r="B703" t="s">
        <v>1691</v>
      </c>
      <c r="C703" t="s">
        <v>50</v>
      </c>
      <c r="D703" t="s">
        <v>1428</v>
      </c>
      <c r="E703" t="s">
        <v>1692</v>
      </c>
      <c r="F703" t="s">
        <v>19</v>
      </c>
      <c r="G703">
        <f>HYPERLINK("http://clipc-services.ceda.ac.uk/dreq/u/59173c0c-9e49-11e5-803c-0d0b866b59f3.html","web")</f>
        <v>0</v>
      </c>
      <c r="J703" t="s">
        <v>1693</v>
      </c>
      <c r="K703" t="s">
        <v>21</v>
      </c>
      <c r="M703" t="s">
        <v>19</v>
      </c>
    </row>
    <row r="704" spans="1:13">
      <c r="A704" t="s">
        <v>1358</v>
      </c>
      <c r="B704" t="s">
        <v>1694</v>
      </c>
      <c r="C704" t="s">
        <v>35</v>
      </c>
      <c r="D704" t="s">
        <v>1492</v>
      </c>
      <c r="E704" t="s">
        <v>1695</v>
      </c>
      <c r="F704" t="s">
        <v>305</v>
      </c>
      <c r="G704">
        <f>HYPERLINK("http://clipc-services.ceda.ac.uk/dreq/u/590e417e-9e49-11e5-803c-0d0b866b59f3.html","web")</f>
        <v>0</v>
      </c>
      <c r="J704" t="s">
        <v>1696</v>
      </c>
      <c r="K704" t="s">
        <v>1495</v>
      </c>
      <c r="M704" t="s">
        <v>305</v>
      </c>
    </row>
    <row r="705" spans="1:13">
      <c r="A705" t="s">
        <v>1358</v>
      </c>
      <c r="B705" t="s">
        <v>1697</v>
      </c>
      <c r="C705" t="s">
        <v>35</v>
      </c>
      <c r="D705" t="s">
        <v>152</v>
      </c>
      <c r="E705" t="s">
        <v>1698</v>
      </c>
      <c r="F705" t="s">
        <v>143</v>
      </c>
      <c r="G705">
        <f>HYPERLINK("http://clipc-services.ceda.ac.uk/dreq/u/59177dc0-9e49-11e5-803c-0d0b866b59f3.html","web")</f>
        <v>0</v>
      </c>
      <c r="J705" t="s">
        <v>1699</v>
      </c>
      <c r="K705" t="s">
        <v>21</v>
      </c>
      <c r="M705" t="s">
        <v>143</v>
      </c>
    </row>
    <row r="706" spans="1:13">
      <c r="A706" t="s">
        <v>1358</v>
      </c>
      <c r="B706" t="s">
        <v>55</v>
      </c>
      <c r="C706" t="s">
        <v>50</v>
      </c>
      <c r="D706" t="s">
        <v>152</v>
      </c>
      <c r="E706" t="s">
        <v>56</v>
      </c>
      <c r="F706" t="s">
        <v>57</v>
      </c>
      <c r="G706">
        <f>HYPERLINK("http://clipc-services.ceda.ac.uk/dreq/u/59170cbe-9e49-11e5-803c-0d0b866b59f3.html","web")</f>
        <v>0</v>
      </c>
      <c r="J706" t="s">
        <v>58</v>
      </c>
      <c r="K706" t="s">
        <v>1700</v>
      </c>
      <c r="M706" t="s">
        <v>57</v>
      </c>
    </row>
    <row r="707" spans="1:13">
      <c r="A707" t="s">
        <v>1358</v>
      </c>
      <c r="B707" t="s">
        <v>1701</v>
      </c>
      <c r="C707" t="s">
        <v>50</v>
      </c>
      <c r="D707" t="s">
        <v>152</v>
      </c>
      <c r="E707" t="s">
        <v>1702</v>
      </c>
      <c r="F707" t="s">
        <v>57</v>
      </c>
      <c r="G707">
        <f>HYPERLINK("http://clipc-services.ceda.ac.uk/dreq/u/5917d9fa-9e49-11e5-803c-0d0b866b59f3.html","web")</f>
        <v>0</v>
      </c>
      <c r="J707" t="s">
        <v>1703</v>
      </c>
      <c r="K707" t="s">
        <v>1362</v>
      </c>
      <c r="M707" t="s">
        <v>57</v>
      </c>
    </row>
    <row r="708" spans="1:13">
      <c r="A708" t="s">
        <v>1358</v>
      </c>
      <c r="B708" t="s">
        <v>1704</v>
      </c>
      <c r="C708" t="s">
        <v>50</v>
      </c>
      <c r="D708" t="s">
        <v>152</v>
      </c>
      <c r="E708" t="s">
        <v>1705</v>
      </c>
      <c r="F708" t="s">
        <v>57</v>
      </c>
      <c r="G708">
        <f>HYPERLINK("http://clipc-services.ceda.ac.uk/dreq/u/591384a4-9e49-11e5-803c-0d0b866b59f3.html","web")</f>
        <v>0</v>
      </c>
      <c r="J708" t="s">
        <v>1706</v>
      </c>
      <c r="K708" t="s">
        <v>1362</v>
      </c>
      <c r="M708" t="s">
        <v>57</v>
      </c>
    </row>
    <row r="709" spans="1:13">
      <c r="A709" t="s">
        <v>1358</v>
      </c>
      <c r="B709" t="s">
        <v>1707</v>
      </c>
      <c r="C709" t="s">
        <v>50</v>
      </c>
      <c r="D709" t="s">
        <v>152</v>
      </c>
      <c r="E709" t="s">
        <v>1708</v>
      </c>
      <c r="F709" t="s">
        <v>57</v>
      </c>
      <c r="G709">
        <f>HYPERLINK("http://clipc-services.ceda.ac.uk/dreq/u/84f0430a-acb7-11e6-b5ee-ac72891c3257.html","web")</f>
        <v>0</v>
      </c>
      <c r="J709" t="s">
        <v>1709</v>
      </c>
      <c r="K709" t="s">
        <v>1387</v>
      </c>
      <c r="M709" t="s">
        <v>57</v>
      </c>
    </row>
    <row r="710" spans="1:13">
      <c r="A710" t="s">
        <v>1358</v>
      </c>
      <c r="B710" t="s">
        <v>1710</v>
      </c>
      <c r="C710" t="s">
        <v>50</v>
      </c>
      <c r="D710" t="s">
        <v>152</v>
      </c>
      <c r="E710" t="s">
        <v>1711</v>
      </c>
      <c r="F710" t="s">
        <v>57</v>
      </c>
      <c r="G710">
        <f>HYPERLINK("http://clipc-services.ceda.ac.uk/dreq/u/59174aa8-9e49-11e5-803c-0d0b866b59f3.html","web")</f>
        <v>0</v>
      </c>
      <c r="J710" t="s">
        <v>1712</v>
      </c>
      <c r="K710" t="s">
        <v>1362</v>
      </c>
      <c r="M710" t="s">
        <v>57</v>
      </c>
    </row>
    <row r="711" spans="1:13">
      <c r="A711" t="s">
        <v>1358</v>
      </c>
      <c r="B711" t="s">
        <v>1713</v>
      </c>
      <c r="C711" t="s">
        <v>35</v>
      </c>
      <c r="D711" t="s">
        <v>152</v>
      </c>
      <c r="E711" t="s">
        <v>1714</v>
      </c>
      <c r="F711" t="s">
        <v>143</v>
      </c>
      <c r="G711">
        <f>HYPERLINK("http://clipc-services.ceda.ac.uk/dreq/u/591306a0-9e49-11e5-803c-0d0b866b59f3.html","web")</f>
        <v>0</v>
      </c>
      <c r="J711" t="s">
        <v>1715</v>
      </c>
      <c r="K711" t="s">
        <v>21</v>
      </c>
      <c r="M711" t="s">
        <v>143</v>
      </c>
    </row>
    <row r="712" spans="1:13">
      <c r="A712" t="s">
        <v>1358</v>
      </c>
      <c r="B712" t="s">
        <v>1716</v>
      </c>
      <c r="C712" t="s">
        <v>50</v>
      </c>
      <c r="D712" t="s">
        <v>152</v>
      </c>
      <c r="E712" t="s">
        <v>1717</v>
      </c>
      <c r="F712" t="s">
        <v>182</v>
      </c>
      <c r="G712">
        <f>HYPERLINK("http://clipc-services.ceda.ac.uk/dreq/u/5917a070-9e49-11e5-803c-0d0b866b59f3.html","web")</f>
        <v>0</v>
      </c>
      <c r="J712" t="s">
        <v>1718</v>
      </c>
      <c r="K712" t="s">
        <v>1362</v>
      </c>
      <c r="M712" t="s">
        <v>182</v>
      </c>
    </row>
    <row r="713" spans="1:13">
      <c r="A713" t="s">
        <v>1358</v>
      </c>
      <c r="B713" t="s">
        <v>1719</v>
      </c>
      <c r="C713" t="s">
        <v>50</v>
      </c>
      <c r="D713" t="s">
        <v>152</v>
      </c>
      <c r="E713" t="s">
        <v>1720</v>
      </c>
      <c r="F713" t="s">
        <v>182</v>
      </c>
      <c r="G713">
        <f>HYPERLINK("http://clipc-services.ceda.ac.uk/dreq/u/590ec93c-9e49-11e5-803c-0d0b866b59f3.html","web")</f>
        <v>0</v>
      </c>
      <c r="J713" t="s">
        <v>1721</v>
      </c>
      <c r="K713" t="s">
        <v>1387</v>
      </c>
      <c r="M713" t="s">
        <v>182</v>
      </c>
    </row>
    <row r="714" spans="1:13">
      <c r="A714" t="s">
        <v>1358</v>
      </c>
      <c r="B714" t="s">
        <v>1722</v>
      </c>
      <c r="C714" t="s">
        <v>50</v>
      </c>
      <c r="D714" t="s">
        <v>152</v>
      </c>
      <c r="E714" t="s">
        <v>1723</v>
      </c>
      <c r="F714" t="s">
        <v>182</v>
      </c>
      <c r="G714">
        <f>HYPERLINK("http://clipc-services.ceda.ac.uk/dreq/u/590f8fca-9e49-11e5-803c-0d0b866b59f3.html","web")</f>
        <v>0</v>
      </c>
      <c r="J714" t="s">
        <v>1724</v>
      </c>
      <c r="K714" t="s">
        <v>1387</v>
      </c>
      <c r="M714" t="s">
        <v>182</v>
      </c>
    </row>
    <row r="715" spans="1:13">
      <c r="A715" t="s">
        <v>1358</v>
      </c>
      <c r="B715" t="s">
        <v>1725</v>
      </c>
      <c r="C715" t="s">
        <v>50</v>
      </c>
      <c r="D715" t="s">
        <v>1726</v>
      </c>
      <c r="E715" t="s">
        <v>1727</v>
      </c>
      <c r="F715" t="s">
        <v>38</v>
      </c>
      <c r="G715">
        <f>HYPERLINK("http://clipc-services.ceda.ac.uk/dreq/u/59147ddc-9e49-11e5-803c-0d0b866b59f3.html","web")</f>
        <v>0</v>
      </c>
      <c r="J715" t="s">
        <v>1728</v>
      </c>
      <c r="K715" t="s">
        <v>1729</v>
      </c>
      <c r="M715" t="s">
        <v>38</v>
      </c>
    </row>
    <row r="716" spans="1:13">
      <c r="A716" t="s">
        <v>1358</v>
      </c>
      <c r="B716" t="s">
        <v>1730</v>
      </c>
      <c r="C716" t="s">
        <v>50</v>
      </c>
      <c r="D716" t="s">
        <v>152</v>
      </c>
      <c r="E716" t="s">
        <v>1731</v>
      </c>
      <c r="F716" t="s">
        <v>57</v>
      </c>
      <c r="G716">
        <f>HYPERLINK("http://clipc-services.ceda.ac.uk/dreq/u/5913c4dc-9e49-11e5-803c-0d0b866b59f3.html","web")</f>
        <v>0</v>
      </c>
      <c r="J716" t="s">
        <v>1732</v>
      </c>
      <c r="K716" t="s">
        <v>1387</v>
      </c>
      <c r="M716" t="s">
        <v>57</v>
      </c>
    </row>
    <row r="717" spans="1:13">
      <c r="A717" t="s">
        <v>1358</v>
      </c>
      <c r="B717" t="s">
        <v>894</v>
      </c>
      <c r="C717" t="s">
        <v>50</v>
      </c>
      <c r="D717" t="s">
        <v>550</v>
      </c>
      <c r="E717" t="s">
        <v>895</v>
      </c>
      <c r="F717" t="s">
        <v>325</v>
      </c>
      <c r="G717">
        <f>HYPERLINK("http://clipc-services.ceda.ac.uk/dreq/u/591472f6-9e49-11e5-803c-0d0b866b59f3.html","web")</f>
        <v>0</v>
      </c>
      <c r="J717" t="s">
        <v>896</v>
      </c>
      <c r="K717" t="s">
        <v>21</v>
      </c>
      <c r="M717" t="s">
        <v>325</v>
      </c>
    </row>
    <row r="718" spans="1:13">
      <c r="A718" t="s">
        <v>1358</v>
      </c>
      <c r="B718" t="s">
        <v>897</v>
      </c>
      <c r="C718" t="s">
        <v>50</v>
      </c>
      <c r="D718" t="s">
        <v>550</v>
      </c>
      <c r="E718" t="s">
        <v>898</v>
      </c>
      <c r="F718" t="s">
        <v>325</v>
      </c>
      <c r="G718">
        <f>HYPERLINK("http://clipc-services.ceda.ac.uk/dreq/u/59132e1e-9e49-11e5-803c-0d0b866b59f3.html","web")</f>
        <v>0</v>
      </c>
      <c r="J718" t="s">
        <v>899</v>
      </c>
      <c r="K718" t="s">
        <v>21</v>
      </c>
      <c r="M718" t="s">
        <v>325</v>
      </c>
    </row>
    <row r="720" spans="1:13">
      <c r="A720" t="s">
        <v>1733</v>
      </c>
      <c r="B720" t="s">
        <v>284</v>
      </c>
      <c r="C720" t="s">
        <v>50</v>
      </c>
      <c r="D720" t="s">
        <v>1734</v>
      </c>
      <c r="E720" t="s">
        <v>286</v>
      </c>
      <c r="F720" t="s">
        <v>182</v>
      </c>
      <c r="G720">
        <f>HYPERLINK("http://clipc-services.ceda.ac.uk/dreq/u/59147580-9e49-11e5-803c-0d0b866b59f3.html","web")</f>
        <v>0</v>
      </c>
      <c r="J720" t="s">
        <v>287</v>
      </c>
      <c r="K720" t="s">
        <v>76</v>
      </c>
      <c r="M720" t="s">
        <v>182</v>
      </c>
    </row>
    <row r="721" spans="1:13">
      <c r="A721" t="s">
        <v>1733</v>
      </c>
      <c r="B721" t="s">
        <v>288</v>
      </c>
      <c r="C721" t="s">
        <v>16</v>
      </c>
      <c r="D721" t="s">
        <v>1734</v>
      </c>
      <c r="E721" t="s">
        <v>289</v>
      </c>
      <c r="F721" t="s">
        <v>182</v>
      </c>
      <c r="G721">
        <f>HYPERLINK("http://clipc-services.ceda.ac.uk/dreq/u/590e1c1c-9e49-11e5-803c-0d0b866b59f3.html","web")</f>
        <v>0</v>
      </c>
      <c r="J721" t="s">
        <v>290</v>
      </c>
      <c r="K721" t="s">
        <v>76</v>
      </c>
      <c r="M721" t="s">
        <v>182</v>
      </c>
    </row>
    <row r="722" spans="1:13">
      <c r="A722" t="s">
        <v>1733</v>
      </c>
      <c r="B722" t="s">
        <v>291</v>
      </c>
      <c r="C722" t="s">
        <v>50</v>
      </c>
      <c r="D722" t="s">
        <v>1734</v>
      </c>
      <c r="E722" t="s">
        <v>292</v>
      </c>
      <c r="F722" t="s">
        <v>182</v>
      </c>
      <c r="G722">
        <f>HYPERLINK("http://clipc-services.ceda.ac.uk/dreq/u/41460524-4f40-11e6-a814-ac72891c3257.html","web")</f>
        <v>0</v>
      </c>
      <c r="J722" t="s">
        <v>293</v>
      </c>
      <c r="K722" t="s">
        <v>76</v>
      </c>
      <c r="M722" t="s">
        <v>182</v>
      </c>
    </row>
    <row r="723" spans="1:13">
      <c r="A723" t="s">
        <v>1733</v>
      </c>
      <c r="B723" t="s">
        <v>294</v>
      </c>
      <c r="C723" t="s">
        <v>50</v>
      </c>
      <c r="D723" t="s">
        <v>1734</v>
      </c>
      <c r="E723" t="s">
        <v>295</v>
      </c>
      <c r="F723" t="s">
        <v>182</v>
      </c>
      <c r="G723">
        <f>HYPERLINK("http://clipc-services.ceda.ac.uk/dreq/u/4145ad04-4f40-11e6-a814-ac72891c3257.html","web")</f>
        <v>0</v>
      </c>
      <c r="J723" t="s">
        <v>296</v>
      </c>
      <c r="K723" t="s">
        <v>76</v>
      </c>
      <c r="M723" t="s">
        <v>182</v>
      </c>
    </row>
    <row r="724" spans="1:13">
      <c r="A724" t="s">
        <v>1733</v>
      </c>
      <c r="B724" t="s">
        <v>297</v>
      </c>
      <c r="C724" t="s">
        <v>16</v>
      </c>
      <c r="D724" t="s">
        <v>1734</v>
      </c>
      <c r="E724" t="s">
        <v>298</v>
      </c>
      <c r="F724" t="s">
        <v>182</v>
      </c>
      <c r="G724">
        <f>HYPERLINK("http://clipc-services.ceda.ac.uk/dreq/u/590e4e58-9e49-11e5-803c-0d0b866b59f3.html","web")</f>
        <v>0</v>
      </c>
      <c r="J724" t="s">
        <v>299</v>
      </c>
      <c r="K724" t="s">
        <v>76</v>
      </c>
      <c r="M724" t="s">
        <v>182</v>
      </c>
    </row>
    <row r="725" spans="1:13">
      <c r="A725" t="s">
        <v>1733</v>
      </c>
      <c r="B725" t="s">
        <v>300</v>
      </c>
      <c r="C725" t="s">
        <v>16</v>
      </c>
      <c r="D725" t="s">
        <v>1734</v>
      </c>
      <c r="E725" t="s">
        <v>301</v>
      </c>
      <c r="F725" t="s">
        <v>182</v>
      </c>
      <c r="G725">
        <f>HYPERLINK("http://clipc-services.ceda.ac.uk/dreq/u/59130394-9e49-11e5-803c-0d0b866b59f3.html","web")</f>
        <v>0</v>
      </c>
      <c r="J725" t="s">
        <v>302</v>
      </c>
      <c r="K725" t="s">
        <v>76</v>
      </c>
      <c r="M725" t="s">
        <v>182</v>
      </c>
    </row>
    <row r="726" spans="1:13">
      <c r="A726" t="s">
        <v>1733</v>
      </c>
      <c r="B726" t="s">
        <v>303</v>
      </c>
      <c r="C726" t="s">
        <v>50</v>
      </c>
      <c r="D726" t="s">
        <v>1734</v>
      </c>
      <c r="E726" t="s">
        <v>304</v>
      </c>
      <c r="F726" t="s">
        <v>305</v>
      </c>
      <c r="G726">
        <f>HYPERLINK("http://clipc-services.ceda.ac.uk/dreq/u/4144f026-4f40-11e6-a814-ac72891c3257.html","web")</f>
        <v>0</v>
      </c>
      <c r="J726" t="s">
        <v>306</v>
      </c>
      <c r="K726" t="s">
        <v>76</v>
      </c>
      <c r="M726" t="s">
        <v>305</v>
      </c>
    </row>
    <row r="727" spans="1:13">
      <c r="A727" t="s">
        <v>1733</v>
      </c>
      <c r="B727" t="s">
        <v>307</v>
      </c>
      <c r="C727" t="s">
        <v>50</v>
      </c>
      <c r="D727" t="s">
        <v>1734</v>
      </c>
      <c r="E727" t="s">
        <v>308</v>
      </c>
      <c r="F727" t="s">
        <v>305</v>
      </c>
      <c r="G727">
        <f>HYPERLINK("http://clipc-services.ceda.ac.uk/dreq/u/4144a01c-4f40-11e6-a814-ac72891c3257.html","web")</f>
        <v>0</v>
      </c>
      <c r="J727" t="s">
        <v>309</v>
      </c>
      <c r="K727" t="s">
        <v>76</v>
      </c>
      <c r="M727" t="s">
        <v>305</v>
      </c>
    </row>
    <row r="728" spans="1:13">
      <c r="A728" t="s">
        <v>1733</v>
      </c>
      <c r="B728" t="s">
        <v>310</v>
      </c>
      <c r="C728" t="s">
        <v>50</v>
      </c>
      <c r="D728" t="s">
        <v>1734</v>
      </c>
      <c r="E728" t="s">
        <v>311</v>
      </c>
      <c r="F728" t="s">
        <v>305</v>
      </c>
      <c r="G728">
        <f>HYPERLINK("http://clipc-services.ceda.ac.uk/dreq/u/14277100-b574-11e6-9ed4-5404a60d96b5.html","web")</f>
        <v>0</v>
      </c>
      <c r="J728" t="s">
        <v>312</v>
      </c>
      <c r="K728" t="s">
        <v>76</v>
      </c>
      <c r="M728" t="s">
        <v>305</v>
      </c>
    </row>
    <row r="729" spans="1:13">
      <c r="A729" t="s">
        <v>1733</v>
      </c>
      <c r="B729" t="s">
        <v>313</v>
      </c>
      <c r="C729" t="s">
        <v>35</v>
      </c>
      <c r="D729" t="s">
        <v>1734</v>
      </c>
      <c r="E729" t="s">
        <v>314</v>
      </c>
      <c r="F729" t="s">
        <v>182</v>
      </c>
      <c r="G729">
        <f>HYPERLINK("http://clipc-services.ceda.ac.uk/dreq/u/41455e80-4f40-11e6-a814-ac72891c3257.html","web")</f>
        <v>0</v>
      </c>
      <c r="J729" t="s">
        <v>315</v>
      </c>
      <c r="K729" t="s">
        <v>76</v>
      </c>
      <c r="M729" t="s">
        <v>182</v>
      </c>
    </row>
    <row r="730" spans="1:13">
      <c r="A730" t="s">
        <v>1733</v>
      </c>
      <c r="B730" t="s">
        <v>316</v>
      </c>
      <c r="C730" t="s">
        <v>50</v>
      </c>
      <c r="D730" t="s">
        <v>1734</v>
      </c>
      <c r="E730" t="s">
        <v>317</v>
      </c>
      <c r="F730" t="s">
        <v>182</v>
      </c>
      <c r="G730">
        <f>HYPERLINK("http://clipc-services.ceda.ac.uk/dreq/u/59150216-9e49-11e5-803c-0d0b866b59f3.html","web")</f>
        <v>0</v>
      </c>
      <c r="J730" t="s">
        <v>318</v>
      </c>
      <c r="K730" t="s">
        <v>76</v>
      </c>
      <c r="M730" t="s">
        <v>182</v>
      </c>
    </row>
    <row r="731" spans="1:13">
      <c r="A731" t="s">
        <v>1733</v>
      </c>
      <c r="B731" t="s">
        <v>319</v>
      </c>
      <c r="C731" t="s">
        <v>50</v>
      </c>
      <c r="D731" t="s">
        <v>1734</v>
      </c>
      <c r="E731" t="s">
        <v>320</v>
      </c>
      <c r="F731" t="s">
        <v>182</v>
      </c>
      <c r="G731">
        <f>HYPERLINK("http://clipc-services.ceda.ac.uk/dreq/u/5912a516-9e49-11e5-803c-0d0b866b59f3.html","web")</f>
        <v>0</v>
      </c>
      <c r="J731" t="s">
        <v>321</v>
      </c>
      <c r="K731" t="s">
        <v>76</v>
      </c>
      <c r="M731" t="s">
        <v>182</v>
      </c>
    </row>
    <row r="733" spans="1:13">
      <c r="A733" t="s">
        <v>1735</v>
      </c>
      <c r="B733" t="s">
        <v>1736</v>
      </c>
      <c r="C733" t="s">
        <v>35</v>
      </c>
      <c r="D733" t="s">
        <v>1737</v>
      </c>
      <c r="E733" t="s">
        <v>1738</v>
      </c>
      <c r="F733" t="s">
        <v>38</v>
      </c>
      <c r="G733">
        <f>HYPERLINK("http://clipc-services.ceda.ac.uk/dreq/u/59136b72-9e49-11e5-803c-0d0b866b59f3.html","web")</f>
        <v>0</v>
      </c>
      <c r="J733" t="s">
        <v>1739</v>
      </c>
      <c r="K733" t="s">
        <v>1740</v>
      </c>
      <c r="M733" t="s">
        <v>38</v>
      </c>
    </row>
    <row r="734" spans="1:13">
      <c r="A734" t="s">
        <v>1735</v>
      </c>
      <c r="B734" t="s">
        <v>1741</v>
      </c>
      <c r="C734" t="s">
        <v>50</v>
      </c>
      <c r="D734" t="s">
        <v>1742</v>
      </c>
      <c r="E734" t="s">
        <v>1743</v>
      </c>
      <c r="F734" t="s">
        <v>38</v>
      </c>
      <c r="G734">
        <f>HYPERLINK("http://clipc-services.ceda.ac.uk/dreq/u/2ca96cd5a4e83feb0d493bf9aa1a5b59.html","web")</f>
        <v>0</v>
      </c>
      <c r="J734" t="s">
        <v>1744</v>
      </c>
      <c r="K734" t="s">
        <v>1745</v>
      </c>
      <c r="M734" t="s">
        <v>38</v>
      </c>
    </row>
    <row r="735" spans="1:13">
      <c r="A735" t="s">
        <v>1735</v>
      </c>
      <c r="B735" t="s">
        <v>1746</v>
      </c>
      <c r="C735" t="s">
        <v>50</v>
      </c>
      <c r="D735" t="s">
        <v>1747</v>
      </c>
      <c r="E735" t="s">
        <v>1748</v>
      </c>
      <c r="F735" t="s">
        <v>38</v>
      </c>
      <c r="G735">
        <f>HYPERLINK("http://clipc-services.ceda.ac.uk/dreq/u/351c26a0f5a0cefa8f1183f2f12e1aa3.html","web")</f>
        <v>0</v>
      </c>
      <c r="J735" t="s">
        <v>1749</v>
      </c>
      <c r="K735" t="s">
        <v>1745</v>
      </c>
      <c r="M735" t="s">
        <v>38</v>
      </c>
    </row>
    <row r="736" spans="1:13">
      <c r="A736" t="s">
        <v>1735</v>
      </c>
      <c r="B736" t="s">
        <v>1750</v>
      </c>
      <c r="C736" t="s">
        <v>35</v>
      </c>
      <c r="D736" t="s">
        <v>152</v>
      </c>
      <c r="E736" t="s">
        <v>1751</v>
      </c>
      <c r="F736" t="s">
        <v>182</v>
      </c>
      <c r="G736">
        <f>HYPERLINK("http://clipc-services.ceda.ac.uk/dreq/u/15fea217c64dbec48b115765548b89ae.html","web")</f>
        <v>0</v>
      </c>
      <c r="J736" t="s">
        <v>1752</v>
      </c>
      <c r="K736" t="s">
        <v>1753</v>
      </c>
      <c r="M736" t="s">
        <v>182</v>
      </c>
    </row>
    <row r="737" spans="1:13">
      <c r="A737" t="s">
        <v>1735</v>
      </c>
      <c r="B737" t="s">
        <v>1754</v>
      </c>
      <c r="C737" t="s">
        <v>50</v>
      </c>
      <c r="D737" t="s">
        <v>152</v>
      </c>
      <c r="E737" t="s">
        <v>1755</v>
      </c>
      <c r="F737" t="s">
        <v>182</v>
      </c>
      <c r="G737">
        <f>HYPERLINK("http://clipc-services.ceda.ac.uk/dreq/u/df06d844bd95ddd2f0f62f54941c4b88.html","web")</f>
        <v>0</v>
      </c>
      <c r="J737" t="s">
        <v>1756</v>
      </c>
      <c r="K737" t="s">
        <v>1757</v>
      </c>
      <c r="M737" t="s">
        <v>182</v>
      </c>
    </row>
    <row r="738" spans="1:13">
      <c r="A738" t="s">
        <v>1735</v>
      </c>
      <c r="B738" t="s">
        <v>1758</v>
      </c>
      <c r="C738" t="s">
        <v>50</v>
      </c>
      <c r="D738" t="s">
        <v>152</v>
      </c>
      <c r="E738" t="s">
        <v>1759</v>
      </c>
      <c r="F738" t="s">
        <v>182</v>
      </c>
      <c r="G738">
        <f>HYPERLINK("http://clipc-services.ceda.ac.uk/dreq/u/091b217c2450d012fb2e192dee04053f.html","web")</f>
        <v>0</v>
      </c>
      <c r="J738" t="s">
        <v>1760</v>
      </c>
      <c r="K738" t="s">
        <v>1757</v>
      </c>
      <c r="M738" t="s">
        <v>182</v>
      </c>
    </row>
    <row r="739" spans="1:13">
      <c r="A739" t="s">
        <v>1735</v>
      </c>
      <c r="B739" t="s">
        <v>1761</v>
      </c>
      <c r="C739" t="s">
        <v>50</v>
      </c>
      <c r="D739" t="s">
        <v>152</v>
      </c>
      <c r="E739" t="s">
        <v>1762</v>
      </c>
      <c r="F739" t="s">
        <v>182</v>
      </c>
      <c r="G739">
        <f>HYPERLINK("http://clipc-services.ceda.ac.uk/dreq/u/fb5bd0286cdca991d0f67c498513f602.html","web")</f>
        <v>0</v>
      </c>
      <c r="J739" t="s">
        <v>1763</v>
      </c>
      <c r="K739" t="s">
        <v>1395</v>
      </c>
      <c r="M739" t="s">
        <v>182</v>
      </c>
    </row>
    <row r="740" spans="1:13">
      <c r="A740" t="s">
        <v>1735</v>
      </c>
      <c r="B740" t="s">
        <v>1764</v>
      </c>
      <c r="C740" t="s">
        <v>50</v>
      </c>
      <c r="D740" t="s">
        <v>1765</v>
      </c>
      <c r="E740" t="s">
        <v>1766</v>
      </c>
      <c r="F740" t="s">
        <v>38</v>
      </c>
      <c r="G740">
        <f>HYPERLINK("http://clipc-services.ceda.ac.uk/dreq/u/374e24b1cf7c24eb75126ea6e39ac478.html","web")</f>
        <v>0</v>
      </c>
      <c r="J740" t="s">
        <v>1767</v>
      </c>
      <c r="K740" t="s">
        <v>1395</v>
      </c>
      <c r="M740" t="s">
        <v>38</v>
      </c>
    </row>
    <row r="741" spans="1:13">
      <c r="A741" t="s">
        <v>1735</v>
      </c>
      <c r="B741" t="s">
        <v>1768</v>
      </c>
      <c r="C741" t="s">
        <v>50</v>
      </c>
      <c r="D741" t="s">
        <v>1769</v>
      </c>
      <c r="E741" t="s">
        <v>1770</v>
      </c>
      <c r="F741" t="s">
        <v>38</v>
      </c>
      <c r="G741">
        <f>HYPERLINK("http://clipc-services.ceda.ac.uk/dreq/u/1e93ae651487e683206b923c11fd6db1.html","web")</f>
        <v>0</v>
      </c>
      <c r="J741" t="s">
        <v>1771</v>
      </c>
      <c r="K741" t="s">
        <v>1395</v>
      </c>
      <c r="M741" t="s">
        <v>38</v>
      </c>
    </row>
    <row r="742" spans="1:13">
      <c r="A742" t="s">
        <v>1735</v>
      </c>
      <c r="B742" t="s">
        <v>1772</v>
      </c>
      <c r="C742" t="s">
        <v>50</v>
      </c>
      <c r="D742" t="s">
        <v>1773</v>
      </c>
      <c r="E742" t="s">
        <v>1774</v>
      </c>
      <c r="F742" t="s">
        <v>38</v>
      </c>
      <c r="G742">
        <f>HYPERLINK("http://clipc-services.ceda.ac.uk/dreq/u/e9289080901a39eba6ade178d596795a.html","web")</f>
        <v>0</v>
      </c>
      <c r="J742" t="s">
        <v>1775</v>
      </c>
      <c r="K742" t="s">
        <v>1395</v>
      </c>
      <c r="M742" t="s">
        <v>38</v>
      </c>
    </row>
    <row r="743" spans="1:13">
      <c r="A743" t="s">
        <v>1735</v>
      </c>
      <c r="B743" t="s">
        <v>1776</v>
      </c>
      <c r="C743" t="s">
        <v>50</v>
      </c>
      <c r="D743" t="s">
        <v>1777</v>
      </c>
      <c r="E743" t="s">
        <v>1778</v>
      </c>
      <c r="F743" t="s">
        <v>38</v>
      </c>
      <c r="G743">
        <f>HYPERLINK("http://clipc-services.ceda.ac.uk/dreq/u/b28e47214f0b71847c966828df0837ff.html","web")</f>
        <v>0</v>
      </c>
      <c r="J743" t="s">
        <v>1779</v>
      </c>
      <c r="K743" t="s">
        <v>1395</v>
      </c>
      <c r="M743"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2019-06-06T14:18:31Z</dcterms:created>
  <dcterms:modified xsi:type="dcterms:W3CDTF">2019-06-06T14:18:31Z</dcterms:modified>
</cp:coreProperties>
</file>