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<sst xmlns="http://schemas.openxmlformats.org/spreadsheetml/2006/main" count="6417" uniqueCount="1868">
  <si>
    <t xml:space="preserve">Table</t>
  </si>
  <si>
    <t xml:space="preserve">variable</t>
  </si>
  <si>
    <t xml:space="preserve">prio</t>
  </si>
  <si>
    <t xml:space="preserve">Dimension format of variable</t>
  </si>
  <si>
    <t xml:space="preserve">variable long name</t>
  </si>
  <si>
    <t xml:space="preserve">unit</t>
  </si>
  <si>
    <t xml:space="preserve">link</t>
  </si>
  <si>
    <t xml:space="preserve">comment</t>
  </si>
  <si>
    <t xml:space="preserve">comment author</t>
  </si>
  <si>
    <t xml:space="preserve">extensive variable description</t>
  </si>
  <si>
    <t xml:space="preserve">list of MIPs which request this variable</t>
  </si>
  <si>
    <t xml:space="preserve">Efx</t>
  </si>
  <si>
    <t xml:space="preserve">fldcapacity</t>
  </si>
  <si>
    <t xml:space="preserve">1</t>
  </si>
  <si>
    <t xml:space="preserve">longitude latitude sdepth</t>
  </si>
  <si>
    <t xml:space="preserve">Field Capacity</t>
  </si>
  <si>
    <t xml:space="preserve">%</t>
  </si>
  <si>
    <t xml:space="preserve">Maximum amount of water the soil can hold (different for each soil texture in HTESSEL; variable slt grib code 43 - Table 128). It is constant map in time in H-TESSEL (Alessandri A.: an Effective Field Capacity can be defined for coupling analysis pourpouses that will change with the effective vegetation cover; as soon as we have daily effective vegetation cover in the outputs we can compute as well the Effective Field capacity).</t>
  </si>
  <si>
    <t xml:space="preserve">Andrea &amp; Thomas</t>
  </si>
  <si>
    <t xml:space="preserve">The field capacity of soil is the maximum content of water it can retain against gravitational drainage. Provide as a percentage of the soil volume.</t>
  </si>
  <si>
    <t xml:space="preserve">LS3MIP</t>
  </si>
  <si>
    <t xml:space="preserve">ksat</t>
  </si>
  <si>
    <t xml:space="preserve">Saturated Hydraulic Conductivity</t>
  </si>
  <si>
    <t xml:space="preserve">micron s-1</t>
  </si>
  <si>
    <t xml:space="preserve">H-TESSEL parameters inside the model that is prescribed for each dominant soil texture  (not in the output; no grib code associated).</t>
  </si>
  <si>
    <t xml:space="preserve">Hydraulic conductivity is the constant k in Darcy's Law q=-k grad h for fluid flow q (volume transport per unit area i.e. velocity) through a porous medium, where h is the hydraulic head (pressure expressed as an equivalent depth of water).</t>
  </si>
  <si>
    <t xml:space="preserve">rootdsl</t>
  </si>
  <si>
    <t xml:space="preserve">Root Distribution</t>
  </si>
  <si>
    <t xml:space="preserve">kg m-2</t>
  </si>
  <si>
    <t xml:space="preserve">H-TESSEL parameters inside the model that is prescribed for each dominant soil texture (not in the output, no grib code associated).</t>
  </si>
  <si>
    <t xml:space="preserve">Mass of carbon in roots.</t>
  </si>
  <si>
    <t xml:space="preserve">sftflf</t>
  </si>
  <si>
    <t xml:space="preserve">2</t>
  </si>
  <si>
    <t xml:space="preserve">longitude latitude</t>
  </si>
  <si>
    <t xml:space="preserve">Floating Ice Shelf Area Percentage</t>
  </si>
  <si>
    <t xml:space="preserve">Not available in LIM</t>
  </si>
  <si>
    <t xml:space="preserve">David Docquier, Thomas</t>
  </si>
  <si>
    <t xml:space="preserve">Percentage of grid cell covered by floating ice shelf, the component of the ice sheet that is flowing over sea water</t>
  </si>
  <si>
    <t xml:space="preserve">CMIP,ISMIP6</t>
  </si>
  <si>
    <t xml:space="preserve">vegHeight</t>
  </si>
  <si>
    <t xml:space="preserve">Height of the Vegetation Canopy</t>
  </si>
  <si>
    <t xml:space="preserve">m</t>
  </si>
  <si>
    <t xml:space="preserve">Can not be produced by LPJ-GUESS: Only tree that has a height</t>
  </si>
  <si>
    <t xml:space="preserve">David Warlind</t>
  </si>
  <si>
    <t xml:space="preserve">Vegetation height averaged over all vegetation types and over the vegetated fraction of a grid cell.</t>
  </si>
  <si>
    <t xml:space="preserve">CMIP,DCPP,PAMIP,PMIP</t>
  </si>
  <si>
    <t xml:space="preserve">wilt</t>
  </si>
  <si>
    <t xml:space="preserve">Wilting Point</t>
  </si>
  <si>
    <t xml:space="preserve">Wilting point is defined in HTESSEL as a fraction (different for each soil texture in HTESSEL; variable slt grib code 43 - Table 128) of field capacity. (Alessandri A.: an Effective Wilting Point can be defined ... same as below discussion for the field capacity)</t>
  </si>
  <si>
    <t xml:space="preserve">Percentage water content of soil by volume at the wilting point. The wilting point of soil is the water content below which plants cannot extract sufficient water to balance their loss through transpiration. </t>
  </si>
  <si>
    <t xml:space="preserve">6hrLev</t>
  </si>
  <si>
    <t xml:space="preserve">bs550aer</t>
  </si>
  <si>
    <t xml:space="preserve">longitude latitude alevel time1 lambda550nm</t>
  </si>
  <si>
    <t xml:space="preserve">Aerosol Backscatter Coefficient</t>
  </si>
  <si>
    <t xml:space="preserve">m-1 sr-1</t>
  </si>
  <si>
    <t xml:space="preserve">Not available in IFS, neither in TM5.</t>
  </si>
  <si>
    <t xml:space="preserve">Twan &amp; Thomas</t>
  </si>
  <si>
    <t xml:space="preserve">Aerosol  Backscatter at 550nm and 180 degrees, computed from extinction and lidar ratio</t>
  </si>
  <si>
    <t xml:space="preserve">AerChemMIP</t>
  </si>
  <si>
    <t xml:space="preserve">Oyr</t>
  </si>
  <si>
    <t xml:space="preserve">arag</t>
  </si>
  <si>
    <t xml:space="preserve">longitude latitude olevel time</t>
  </si>
  <si>
    <t xml:space="preserve">Aragonite Concentration</t>
  </si>
  <si>
    <t xml:space="preserve">mol m-3</t>
  </si>
  <si>
    <t xml:space="preserve">Not available</t>
  </si>
  <si>
    <t xml:space="preserve">Raffaele Bernardello</t>
  </si>
  <si>
    <t xml:space="preserve">Sum of particulate aragonite components (e.g. Phytoplankton, Detrital, etc.)</t>
  </si>
  <si>
    <t xml:space="preserve">AerChemMIP,CMIP,GeoMIP,LUMIP,OMIP,PMIP,VIACSAB</t>
  </si>
  <si>
    <t xml:space="preserve">bacc</t>
  </si>
  <si>
    <t xml:space="preserve">3</t>
  </si>
  <si>
    <t xml:space="preserve">Bacterial Carbon Concentration</t>
  </si>
  <si>
    <t xml:space="preserve">Sum of bacterial carbon component concentrations</t>
  </si>
  <si>
    <t xml:space="preserve">bddtalk</t>
  </si>
  <si>
    <t xml:space="preserve">Rate of Change of Alkalinity Due to Biological Activity</t>
  </si>
  <si>
    <t xml:space="preserve">mol m-3 s-1</t>
  </si>
  <si>
    <t xml:space="preserve">Not available in NEMO-PISCES. Only available in vertically integrated form: INTdtAlk</t>
  </si>
  <si>
    <t xml:space="preserve">Torben, Raffaele Bernardello</t>
  </si>
  <si>
    <t xml:space="preserve">Net total of biological terms in time rate of change of alkalinity</t>
  </si>
  <si>
    <t xml:space="preserve">AerChemMIP,CMIP,GeoMIP,LUMIP,OMIP,VIACSAB</t>
  </si>
  <si>
    <t xml:space="preserve">bddtdic</t>
  </si>
  <si>
    <t xml:space="preserve">Rate of Change of Dissolved Inorganic Carbon Due to Biological Activity</t>
  </si>
  <si>
    <t xml:space="preserve">Not available in NEMO-PISCES. Only available in vertically integrated form: INTdtDIC</t>
  </si>
  <si>
    <t xml:space="preserve">Net total of biological terms in time rate of change of dissolved inorganic carbon</t>
  </si>
  <si>
    <t xml:space="preserve">bddtdife</t>
  </si>
  <si>
    <t xml:space="preserve">Rate of Change of Dissolved Inorganic Iron Due to Biological Activity</t>
  </si>
  <si>
    <t xml:space="preserve">Not available in NEMO-PISCES. Only available in vertically integrated form: INTdtFer</t>
  </si>
  <si>
    <t xml:space="preserve">Net total of biological terms in time rate of change of dissolved inorganic iron</t>
  </si>
  <si>
    <t xml:space="preserve">bddtdin</t>
  </si>
  <si>
    <t xml:space="preserve">Rate of Change of Nitrogen Nutrient Due to Biological Activity</t>
  </si>
  <si>
    <t xml:space="preserve">Not available in NEMO-PISCES. Only available in vertically integrated form: INTdtDIN</t>
  </si>
  <si>
    <t xml:space="preserve">Net total of biological terms in time rate of change of nitrogen nutrients (e.g. NO3+NH4)</t>
  </si>
  <si>
    <t xml:space="preserve">bddtdip</t>
  </si>
  <si>
    <t xml:space="preserve">Rate of Change of Dissolved Phosphorus Due to Biological Activity</t>
  </si>
  <si>
    <t xml:space="preserve">Not available in NEMO-PISCES. Only available in vertically integrated form: INTdtDIP</t>
  </si>
  <si>
    <t xml:space="preserve">Net of biological terms in time rate of change of dissolved phosphate</t>
  </si>
  <si>
    <t xml:space="preserve">bddtdisi</t>
  </si>
  <si>
    <t xml:space="preserve">Rate of Change of Dissolved Inorganic Silicon Due to Biological Activity</t>
  </si>
  <si>
    <t xml:space="preserve">Not available in NEMO-PISCES. Only available in vertically integrated form: INTdtSil</t>
  </si>
  <si>
    <t xml:space="preserve">Net of biological terms in time rate of change of dissolved inorganic silicon</t>
  </si>
  <si>
    <t xml:space="preserve">chlcalc</t>
  </si>
  <si>
    <t xml:space="preserve">Mass Concentration of Calcareous Phytoplankton Expressed as Chlorophyll in Sea Water</t>
  </si>
  <si>
    <t xml:space="preserve">kg m-3</t>
  </si>
  <si>
    <t xml:space="preserve">Probably not in NEMO-PISCES (at least not found in the relevant xml files). BSC check?</t>
  </si>
  <si>
    <t xml:space="preserve">Torben</t>
  </si>
  <si>
    <t xml:space="preserve">chlorophyll concentration from the calcite-producing phytoplankton component alone</t>
  </si>
  <si>
    <t xml:space="preserve">AerChemMIP,CMIP,GeoMIP,LUMIP,OMIP</t>
  </si>
  <si>
    <t xml:space="preserve">chldiaz</t>
  </si>
  <si>
    <t xml:space="preserve">Mass Concentration of Diazotrophs Expressed as Chlorophyll in Sea Water</t>
  </si>
  <si>
    <t xml:space="preserve">Chlorophyll concentration from the diazotrophic phytoplankton component alone</t>
  </si>
  <si>
    <t xml:space="preserve">chlpico</t>
  </si>
  <si>
    <t xml:space="preserve">Mass Concentration of Picophytoplankton Expressed as Chlorophyll in Sea Water</t>
  </si>
  <si>
    <t xml:space="preserve">chlorophyll concentration from the picophytoplankton (&lt;2 um) component alone</t>
  </si>
  <si>
    <t xml:space="preserve">co3satarag</t>
  </si>
  <si>
    <t xml:space="preserve">Mole Concentration of Carbonate Ion in Equilibrium with Pure Aragonite in Sea Water</t>
  </si>
  <si>
    <t xml:space="preserve">Mole concentration (number of moles per unit volume: molarity) of the carbonate anion (CO3) for sea water in equilibrium with pure Aragonite. Aragonite  (CaCO3) is a mineral that is a polymorph of calcium carbonate.</t>
  </si>
  <si>
    <t xml:space="preserve">darag</t>
  </si>
  <si>
    <t xml:space="preserve">Aragonite Dissolution</t>
  </si>
  <si>
    <t xml:space="preserve">Probably not in NEMO-PISCES (at least not found in the relevant xml files). Not available.</t>
  </si>
  <si>
    <t xml:space="preserve">Rate of change of Aragonite carbon mole concentration  due to dissolution</t>
  </si>
  <si>
    <t xml:space="preserve">dissi13c</t>
  </si>
  <si>
    <t xml:space="preserve">Dissolved Inorganic Carbon-13 Concentration</t>
  </si>
  <si>
    <t xml:space="preserve">Not available in PISCES</t>
  </si>
  <si>
    <t xml:space="preserve">Dissolved inorganic carbon-13 (CO3+HCO3+H2CO3) concentration</t>
  </si>
  <si>
    <t xml:space="preserve">dissi14cabio</t>
  </si>
  <si>
    <t xml:space="preserve">Abiotic Dissolved Inorganic Carbon-14 Concentration</t>
  </si>
  <si>
    <t xml:space="preserve">Abiotic Dissolved inorganic carbon-14 (CO3+HCO3+H2CO3) concentration</t>
  </si>
  <si>
    <t xml:space="preserve">dissicabio</t>
  </si>
  <si>
    <t xml:space="preserve">Abiotic Dissolved Inorganic Carbon Concentration</t>
  </si>
  <si>
    <t xml:space="preserve">Abiotic Dissolved inorganic carbon (CO3+HCO3+H2CO3) concentration</t>
  </si>
  <si>
    <t xml:space="preserve">dmso</t>
  </si>
  <si>
    <t xml:space="preserve">Mole Concentration of Dimethyl Sulphide in Sea Water</t>
  </si>
  <si>
    <t xml:space="preserve">Mole concentration of dimethyl sulphide in water</t>
  </si>
  <si>
    <t xml:space="preserve">exparag</t>
  </si>
  <si>
    <t xml:space="preserve">Downward Flux of Aragonite</t>
  </si>
  <si>
    <t xml:space="preserve">mol m-2 s-1</t>
  </si>
  <si>
    <t xml:space="preserve">Not available inLPJ-GUESS. Not available in PISCES, which means not available in NEMO.</t>
  </si>
  <si>
    <t xml:space="preserve">David Warlind, Raffaele Bernardello</t>
  </si>
  <si>
    <t xml:space="preserve">Downward flux of Aragonite</t>
  </si>
  <si>
    <t xml:space="preserve">expcalc</t>
  </si>
  <si>
    <t xml:space="preserve">Downward Flux of Calcite</t>
  </si>
  <si>
    <t xml:space="preserve">Can not be produced by LPJ-GUESS: Pisces?</t>
  </si>
  <si>
    <t xml:space="preserve">Downward flux of Calcite</t>
  </si>
  <si>
    <t xml:space="preserve">expfe</t>
  </si>
  <si>
    <t xml:space="preserve">Sinking Particulate Iron Flux</t>
  </si>
  <si>
    <t xml:space="preserve">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</si>
  <si>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 xml:space="preserve">expsi</t>
  </si>
  <si>
    <t xml:space="preserve">Sinking Particulate Silicon Flux</t>
  </si>
  <si>
    <t xml:space="preserve">fescav</t>
  </si>
  <si>
    <t xml:space="preserve">Non-Biogenic Iron Scavenging</t>
  </si>
  <si>
    <t xml:space="preserve">Dissolved Fe removed through nonbiogenic scavenging onto particles</t>
  </si>
  <si>
    <t xml:space="preserve">fg13co2</t>
  </si>
  <si>
    <t xml:space="preserve">longitude latitude time</t>
  </si>
  <si>
    <t xml:space="preserve">Surface Downward Mass Flux of Carbon-13 as 13CO2 [kgC m-2 s-1]</t>
  </si>
  <si>
    <t xml:space="preserve">kg m-2 s-1</t>
  </si>
  <si>
    <t xml:space="preserve">Gas exchange flux of carbon-13 as CO2 (positive into ocean)</t>
  </si>
  <si>
    <t xml:space="preserve">fg14co2abio</t>
  </si>
  <si>
    <t xml:space="preserve">Surface Downward Mass Flux of Carbon-14 as Abiotic 14CO2 [kgC m-2 s-1]</t>
  </si>
  <si>
    <t xml:space="preserve">Can not be produced by LPJ-GUESS: Not available in Pisces.</t>
  </si>
  <si>
    <t xml:space="preserve">Gas exchange flux of abiotic 14CO2 (positive into ocean)</t>
  </si>
  <si>
    <t xml:space="preserve">fgco2abio</t>
  </si>
  <si>
    <t xml:space="preserve">Surface Downward Mass Flux of Carbon as Abiotic CO2 [kgC m-2 s-1]</t>
  </si>
  <si>
    <t xml:space="preserve">Gas exchange flux of abiotic CO2 (positive into ocean)</t>
  </si>
  <si>
    <t xml:space="preserve">fgco2nat</t>
  </si>
  <si>
    <t xml:space="preserve">Surface Downward Mass Flux of Carbon as Natural CO2 [kgC m-2 s-1]</t>
  </si>
  <si>
    <t xml:space="preserve">Can not be produced by LPJ-GUESS. In PISCES: Cflx*12/1.e3 -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</si>
  <si>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Gas exchange flux of natural CO2 (positive into ocean)</t>
  </si>
  <si>
    <t xml:space="preserve">parag</t>
  </si>
  <si>
    <t xml:space="preserve">Aragonite Production</t>
  </si>
  <si>
    <t xml:space="preserve">Production rate of Aragonite, a mineral that is a polymorph of calcium carbonate. The chemical formula of aragonite is CaCO3.</t>
  </si>
  <si>
    <t xml:space="preserve">phabio</t>
  </si>
  <si>
    <t xml:space="preserve">Abiotic pH</t>
  </si>
  <si>
    <t xml:space="preserve">negative log10 of hydrogen ion concentration with the concentration expressed as mol H kg-1 (abiotic component)..</t>
  </si>
  <si>
    <t xml:space="preserve">phnat</t>
  </si>
  <si>
    <t xml:space="preserve">Natural pH</t>
  </si>
  <si>
    <t xml:space="preserve">Will be only for OMIP manually added: PH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</si>
  <si>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negative log10 of hydrogen ion concentration with the concentration expressed as mol H kg-1.</t>
  </si>
  <si>
    <t xml:space="preserve">phycalc</t>
  </si>
  <si>
    <t xml:space="preserve">Mole Concentration of Calcareous Phytoplankton Expressed as Carbon in Sea Water</t>
  </si>
  <si>
    <t xml:space="preserve">carbon concentration from calcareous (calcite-producing) phytoplankton component alone</t>
  </si>
  <si>
    <t xml:space="preserve">phydiaz</t>
  </si>
  <si>
    <t xml:space="preserve">Mole Concentration of Diazotrophs Expressed as Carbon in Sea Water</t>
  </si>
  <si>
    <t xml:space="preserve">carbon concentration from the diazotrophic phytoplankton component alone</t>
  </si>
  <si>
    <t xml:space="preserve">phyn</t>
  </si>
  <si>
    <t xml:space="preserve">Mole Concentration of Total Phytoplankton Expressed as Nitrogen in Sea Water</t>
  </si>
  <si>
    <t xml:space="preserve">sum of phytoplankton nitrogen component concentrations</t>
  </si>
  <si>
    <t xml:space="preserve">phyp</t>
  </si>
  <si>
    <t xml:space="preserve">Mole Concentration of Total Phytoplankton Expressed as Phosphorus in Sea Water</t>
  </si>
  <si>
    <t xml:space="preserve">sum of phytoplankton phosphorus components</t>
  </si>
  <si>
    <t xml:space="preserve">phypico</t>
  </si>
  <si>
    <t xml:space="preserve">Mole Concentration of Picophytoplankton Expressed as Carbon in Sea Water</t>
  </si>
  <si>
    <t xml:space="preserve">Not available in NEMO-OPA. </t>
  </si>
  <si>
    <t xml:space="preserve">carbon concentration from the picophytoplankton (&lt;2 um) component alone</t>
  </si>
  <si>
    <t xml:space="preserve">pon</t>
  </si>
  <si>
    <t xml:space="preserve">Mole Concentration of Particulate Organic Matter Expressed as Nitrogen in Sea Water</t>
  </si>
  <si>
    <t xml:space="preserve">sum of particulate organic nitrogen component concentrations</t>
  </si>
  <si>
    <t xml:space="preserve">pop</t>
  </si>
  <si>
    <t xml:space="preserve">Mole Concentration of Particulate Organic Matter Expressed as Phosphorus in Sea Water</t>
  </si>
  <si>
    <t xml:space="preserve">sum of particulate organic phosphorus component concentrations</t>
  </si>
  <si>
    <t xml:space="preserve">ppcalc</t>
  </si>
  <si>
    <t xml:space="preserve">Net Primary Mole Productivity of Carbon by Calcareous Phytoplankton</t>
  </si>
  <si>
    <t xml:space="preserve">Primary (organic carbon) production by the calcite-producing phytoplankton component alone</t>
  </si>
  <si>
    <t xml:space="preserve">ppdiat</t>
  </si>
  <si>
    <t xml:space="preserve">Net Primary Organic Carbon Production by Diatoms</t>
  </si>
  <si>
    <t xml:space="preserve">Primary (organic carbon) production by the diatom component alone</t>
  </si>
  <si>
    <t xml:space="preserve">ppdiaz</t>
  </si>
  <si>
    <t xml:space="preserve">Net Primary Mole Productivity of Carbon by Diazotrophs</t>
  </si>
  <si>
    <t xml:space="preserve">Primary (organic carbon) production by the diazotrophic phytoplankton component alone</t>
  </si>
  <si>
    <t xml:space="preserve">ppmisc</t>
  </si>
  <si>
    <t xml:space="preserve">Net Primary Organic Carbon Production by Other Phytoplankton</t>
  </si>
  <si>
    <t xml:space="preserve">Primary (organic carbon) production by other phytoplankton components alone</t>
  </si>
  <si>
    <t xml:space="preserve">pppico</t>
  </si>
  <si>
    <t xml:space="preserve">Net Primary Mole Productivity of Carbon by Picophytoplankton</t>
  </si>
  <si>
    <t xml:space="preserve">Primary (organic carbon) production by the picophytoplankton (&lt;2 um) component alone</t>
  </si>
  <si>
    <t xml:space="preserve">volcello</t>
  </si>
  <si>
    <t xml:space="preserve">Ocean Grid-Cell Volume</t>
  </si>
  <si>
    <t xml:space="preserve">m3</t>
  </si>
  <si>
    <t xml:space="preserve">Not available in NEMO-OPA.</t>
  </si>
  <si>
    <t xml:space="preserve">grid-cell volume ca. 2000.</t>
  </si>
  <si>
    <t xml:space="preserve">zmisc</t>
  </si>
  <si>
    <t xml:space="preserve">Mole Concentration of Other Zooplankton Expressed as Carbon in Sea Water</t>
  </si>
  <si>
    <t xml:space="preserve">carbon from additional zooplankton component concentrations alone (e.g. Micro, meso).  Since the models all have different numbers of components, this variable has been included to provide a check for intercomparison between models since some phytoplankton groups are supersets.</t>
  </si>
  <si>
    <t xml:space="preserve">AerChemMIP,C4MIP,CMIP,GeoMIP,LUMIP,OMIP,PMIP,VIACSAB</t>
  </si>
  <si>
    <t xml:space="preserve">ImonGre</t>
  </si>
  <si>
    <t xml:space="preserve">orog</t>
  </si>
  <si>
    <t xml:space="preserve">xgre ygre time</t>
  </si>
  <si>
    <t xml:space="preserve">Surface Altitude</t>
  </si>
  <si>
    <t xml:space="preserve">Can not be produced by LPJ-GUESS: H-TESSEL?</t>
  </si>
  <si>
    <t xml:space="preserve">The surface called 'surface' means the lower boundary of the atmosphere. Altitude is the (geometric) height above the geoid, which is the reference geopotential surface. The geoid is similar to mean sea level.</t>
  </si>
  <si>
    <t xml:space="preserve">ISMIP6</t>
  </si>
  <si>
    <t xml:space="preserve">CFday</t>
  </si>
  <si>
    <t xml:space="preserve">ccb</t>
  </si>
  <si>
    <t xml:space="preserve">Air Pressure at Convective Cloud Base</t>
  </si>
  <si>
    <t xml:space="preserve">Pa</t>
  </si>
  <si>
    <t xml:space="preserve">Too much effort?: convective cloud cover ccc[128185 i.e in table 128] &gt; 0.5 or &gt; 0.0, this mask combine with cloud base height cbh[228023], therafter with surface pressure sp[134] and lapse rate the cct can be calculated</t>
  </si>
  <si>
    <t xml:space="preserve">Where convective cloud is present in the grid cell, the instantaneous cloud base altitude should be that of the bottom of the lowest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</si>
  <si>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CFMIP,HighResMIP</t>
  </si>
  <si>
    <t xml:space="preserve">cct</t>
  </si>
  <si>
    <t xml:space="preserve">Air Pressure at Convective Cloud Top</t>
  </si>
  <si>
    <t xml:space="preserve">No cloud top height in IFS output, thus no</t>
  </si>
  <si>
    <t xml:space="preserve">Gijs &amp; Thomas</t>
  </si>
  <si>
    <t xml:space="preserve">Where convective cloud is present in the grid cell, the instantaneous cloud top altitude should be that of the top of the highest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</si>
  <si>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clcalipso</t>
  </si>
  <si>
    <t xml:space="preserve">longitude latitude alt40 time</t>
  </si>
  <si>
    <t xml:space="preserve">CALIPSO Percentage Cloud Cover</t>
  </si>
  <si>
    <t xml:space="preserve">COSP output, currently not available from IFS</t>
  </si>
  <si>
    <t xml:space="preserve">Klaus</t>
  </si>
  <si>
    <t xml:space="preserve">Percentage cloud cover in CALIPSO standard atmospheric layers.</t>
  </si>
  <si>
    <t xml:space="preserve">clisccp</t>
  </si>
  <si>
    <t xml:space="preserve">longitude latitude plev7c tau time</t>
  </si>
  <si>
    <t xml:space="preserve">ISCCP Cloud Area Percentage</t>
  </si>
  <si>
    <t xml:space="preserve">Percentage cloud cover in optical depth categories.</t>
  </si>
  <si>
    <t xml:space="preserve">mc</t>
  </si>
  <si>
    <t xml:space="preserve">longitude latitude alevhalf time</t>
  </si>
  <si>
    <t xml:space="preserve">Convective Mass Flux</t>
  </si>
  <si>
    <t xml:space="preserve">Too much effort?: IFS var in PEXTRA, the CUFLXN routine produces PFMU (MASSFLUX IN UPDRAFTS) and PFMD (MASSFLUX DOWNDRAFTS) KG/(M2*S) which can be combined. Which gib code?, via?: sources/ifs-36r4/src/ifs/phys_ec/callpar.F90 in variables PGFL(JL,JK,YERA40(5)%MP) and PGFL(JL,JK,YERA40(6)%MP)</t>
  </si>
  <si>
    <t xml:space="preserve">The net mass flux should represent the difference between the updraft and downdraft components.  The flux is computed as the mass divided by the area of the grid cell.</t>
  </si>
  <si>
    <t xml:space="preserve">Eyr</t>
  </si>
  <si>
    <t xml:space="preserve">zfullo</t>
  </si>
  <si>
    <t xml:space="preserve">Depth Below Geoid of Ocean Layer</t>
  </si>
  <si>
    <t xml:space="preserve">Depth below geoid</t>
  </si>
  <si>
    <t xml:space="preserve">C4MIP,DCPP,LUMIP,PAMIP</t>
  </si>
  <si>
    <t xml:space="preserve">EdayZ</t>
  </si>
  <si>
    <t xml:space="preserve">epfy</t>
  </si>
  <si>
    <t xml:space="preserve">latitude plev39 time</t>
  </si>
  <si>
    <t xml:space="preserve">Northward Component of the Eliassen-Palm Flux</t>
  </si>
  <si>
    <t xml:space="preserve">m3 s-2</t>
  </si>
  <si>
    <t xml:space="preserve">Not available in IFS.</t>
  </si>
  <si>
    <t xml:space="preserve">Transformed Eulerian Mean Diagnostics Meridional component Fy of Eliassen-Palm (EP) flux (Fy, Fz) derived from 6hr or higher frequency fields (use daily fields or 12 hr fields if the 6 hr are not available). Please use the definitions given by equation 3.5.3a of Andrews, Holton and Leovy text book, but scaled by density to have units m3 s-2.</t>
  </si>
  <si>
    <t xml:space="preserve">DynVarMIP</t>
  </si>
  <si>
    <t xml:space="preserve">epfz</t>
  </si>
  <si>
    <t xml:space="preserve">Upward Component of the Eliassen-Palm Flux</t>
  </si>
  <si>
    <t xml:space="preserve">Transformed Eulerian Mean Diagnostics Meridional component Fz of the Eliassen-Palm (EP) flux (Fy, Fz) derived from 6hr or higher frequency fields (use daily fields or 12 hr fields if the 6 hr are not available). Please use the definitions given by equation 3.5.3b of Andrews, Holton and Leovy text book, but scaled by density to have units m3 s-2.</t>
  </si>
  <si>
    <t xml:space="preserve">psitem</t>
  </si>
  <si>
    <t xml:space="preserve">Transformed Eulerian Mean Mass Streamfunction</t>
  </si>
  <si>
    <t xml:space="preserve">kg s-1</t>
  </si>
  <si>
    <t xml:space="preserve">Residual mass streamfunction, computed from vstar and integrated from the top of the atmosphere (on the native model grid). Reference: Andrews et al (1987): Middle Atmospheric Dynamics. Academic Press.</t>
  </si>
  <si>
    <t xml:space="preserve">utendepfd</t>
  </si>
  <si>
    <t xml:space="preserve">Tendency of Eastward Wind Due to Eliassen-Palm Flux Divergence</t>
  </si>
  <si>
    <t xml:space="preserve">m s-2</t>
  </si>
  <si>
    <t xml:space="preserve">Tendency of the zonal mean zonal wind due to the divergence of the Eliassen-Palm flux.</t>
  </si>
  <si>
    <t xml:space="preserve">utendnogw</t>
  </si>
  <si>
    <t xml:space="preserve">Eastward Acceleration Due to Non-Orographic Gravity Wave Drag</t>
  </si>
  <si>
    <t xml:space="preserve">Not separately available in IFS.</t>
  </si>
  <si>
    <t xml:space="preserve">Tendency of the eastward wind by parameterized nonorographic gravity waves.</t>
  </si>
  <si>
    <t xml:space="preserve">utendogw</t>
  </si>
  <si>
    <t xml:space="preserve">Eastward Acceleration Due to Orographic Gravity Wave Drag</t>
  </si>
  <si>
    <t xml:space="preserve">Tendency of the eastward wind by parameterized orographic gravity waves.</t>
  </si>
  <si>
    <t xml:space="preserve">utendvtem</t>
  </si>
  <si>
    <t xml:space="preserve">Tendency of Eastward Wind Due to TEM Northward Advection and Coriolis Term</t>
  </si>
  <si>
    <t xml:space="preserve">m s-1 d-1</t>
  </si>
  <si>
    <t xml:space="preserve">Tendency of zonally averaged eastward wind, by the residual northward wind advection (on the native model grid). Reference: Andrews et al (1987): Middle Atmospheric Dynamics. Academic Press.</t>
  </si>
  <si>
    <t xml:space="preserve">utendwtem</t>
  </si>
  <si>
    <t xml:space="preserve">Tendency of Eastward Wind Due to TEM Upward Advection</t>
  </si>
  <si>
    <t xml:space="preserve">Tendency of zonally averaged eastward wind, by the residual upward wind advection (on the native model grid). Reference: Andrews et al (1987): Middle Atmospheric Dynamics. Academic Press.</t>
  </si>
  <si>
    <t xml:space="preserve">vtem</t>
  </si>
  <si>
    <t xml:space="preserve">Transformed Eulerian Mean Northward Wind</t>
  </si>
  <si>
    <t xml:space="preserve">m s-1</t>
  </si>
  <si>
    <t xml:space="preserve">Transformed Eulerian Mean Diagnostics v*, meridional component of the residual meridional circulation (v*, w*) derived from 6 hr or higher frequency data fields (use instantaneous daily fields or 12 hr fields if the 6 hr data are not available).</t>
  </si>
  <si>
    <t xml:space="preserve">wtem</t>
  </si>
  <si>
    <t xml:space="preserve">Transformed Eulerian Mean Upward Wind</t>
  </si>
  <si>
    <t xml:space="preserve">Transformed Eulerian Mean Diagnostics w*, upward component of the residual meridional circulation (v*, w*) derived from 6 hr or higher frequency data fields (use instantaneous daily fields or 12 hr fields if the 6 hr data are not available). Scale height: 6950 m</t>
  </si>
  <si>
    <t xml:space="preserve">LImon</t>
  </si>
  <si>
    <t xml:space="preserve">agesno</t>
  </si>
  <si>
    <t xml:space="preserve">Mean Age of Snow</t>
  </si>
  <si>
    <t xml:space="preserve">day</t>
  </si>
  <si>
    <t xml:space="preserve">Can not be produced by LPJ-GUESS or else</t>
  </si>
  <si>
    <t xml:space="preserve">David Warlind &amp; Thomas</t>
  </si>
  <si>
    <t xml:space="preserve">Age of Snow (when computing the time-mean here, the time samples, weighted by the mass of snow on the land portion of the grid cell, are accumulated and then divided by the sum of the weights.  Reported as missing data in regions free of snow on land.</t>
  </si>
  <si>
    <t xml:space="preserve">C4MIP,CMIP,DAMIP,FAFMIP,GMMIP,GeoMIP,HighResMIP,LS3MIP,LUMIP,PMIP,VolMIP</t>
  </si>
  <si>
    <t xml:space="preserve">pflw</t>
  </si>
  <si>
    <t xml:space="preserve">Liquid Water Content of Permafrost Layer</t>
  </si>
  <si>
    <t xml:space="preserve">Not available from IFS-HTESSEL.</t>
  </si>
  <si>
    <t xml:space="preserve">Franco,Twan,Thomas</t>
  </si>
  <si>
    <t xml:space="preserve">*where land over land*, i.e., this is the total mass of liquid water contained within the permafrost layer within the land portion of a grid cell divided by the area of the land portion of the cell.</t>
  </si>
  <si>
    <t xml:space="preserve">C4MIP,CMIP,FAFMIP,GMMIP,GeoMIP,HighResMIP,LS3MIP,LUMIP,VIACSAB,VolMIP</t>
  </si>
  <si>
    <t xml:space="preserve">sootsn</t>
  </si>
  <si>
    <t xml:space="preserve">Snow Soot Content</t>
  </si>
  <si>
    <t xml:space="preserve">the entire land portion of the grid cell is considered, with snow soot content set to 0.0 in regions free of snow.</t>
  </si>
  <si>
    <t xml:space="preserve">tpf</t>
  </si>
  <si>
    <t xml:space="preserve">Permafrost Layer Thickness</t>
  </si>
  <si>
    <t xml:space="preserve">Not available in PISM or H-TESSEL.</t>
  </si>
  <si>
    <t xml:space="preserve">Shuting</t>
  </si>
  <si>
    <t xml:space="preserve">The mean thickness of the permafrost layer in the land portion of the grid cell.  Reported as zero in permafrost-free regions.</t>
  </si>
  <si>
    <t xml:space="preserve">C4MIP,CDRMIP,CMIP,FAFMIP,GMMIP,GeoMIP,HighResMIP,LS3MIP,LUMIP,PMIP,VIACSAB,VolMIP</t>
  </si>
  <si>
    <t xml:space="preserve">CFsubhr</t>
  </si>
  <si>
    <t xml:space="preserve">site time1</t>
  </si>
  <si>
    <t xml:space="preserve">AerChemMIP,CFMIP</t>
  </si>
  <si>
    <t xml:space="preserve">ci</t>
  </si>
  <si>
    <t xml:space="preserve">Fraction of Time Convection Occurs in Cell</t>
  </si>
  <si>
    <t xml:space="preserve">Not in IFS output, thus no</t>
  </si>
  <si>
    <t xml:space="preserve">Thomas</t>
  </si>
  <si>
    <t xml:space="preserve">Fraction of time that convection occurs in the grid cell.</t>
  </si>
  <si>
    <t xml:space="preserve">edt</t>
  </si>
  <si>
    <t xml:space="preserve">alevel site time1</t>
  </si>
  <si>
    <t xml:space="preserve">Eddy Diffusivity Coefficient for Temperature</t>
  </si>
  <si>
    <t xml:space="preserve">m2 s-1</t>
  </si>
  <si>
    <t xml:space="preserve">Vertical diffusion coefficient for temperature due to parametrised eddies</t>
  </si>
  <si>
    <t xml:space="preserve">evu</t>
  </si>
  <si>
    <t xml:space="preserve">Eddy Viscosity Coefficient for Momentum</t>
  </si>
  <si>
    <t xml:space="preserve">Vertical diffusion coefficient for momentum due to parametrised eddies</t>
  </si>
  <si>
    <t xml:space="preserve">fco2fos</t>
  </si>
  <si>
    <t xml:space="preserve">Carbon Mass Flux into Atmosphere Due to Fossil Fuel Emissions of CO2 [kgC m-2 s-1]</t>
  </si>
  <si>
    <t xml:space="preserve">Not available in TM5.</t>
  </si>
  <si>
    <t xml:space="preserve">Tommi Bergman, Thomas</t>
  </si>
  <si>
    <t xml:space="preserve">This is the prescribed anthropogenic CO2 flux from fossil fuel use, including cement production, and flaring (but not from land-use changes, agricultural burning, forest regrowth, etc.)</t>
  </si>
  <si>
    <t xml:space="preserve">alevhalf site time1</t>
  </si>
  <si>
    <t xml:space="preserve">rld</t>
  </si>
  <si>
    <t xml:space="preserve">Downwelling Longwave Radiation</t>
  </si>
  <si>
    <t xml:space="preserve">W m-2</t>
  </si>
  <si>
    <t xml:space="preserve">Not available in IFS: All Up and downwelling radiation is only at the TOA and the surface available in IFS standard output</t>
  </si>
  <si>
    <t xml:space="preserve">Downwelling Longwave Radiation (includes the fluxes at the surface and TOA)</t>
  </si>
  <si>
    <t xml:space="preserve">rldcs</t>
  </si>
  <si>
    <t xml:space="preserve">Downwelling Clear-Sky Longwave Radiation</t>
  </si>
  <si>
    <t xml:space="preserve">Downwelling clear-sky longwave radiation (includes the fluxes at the surface and TOA)</t>
  </si>
  <si>
    <t xml:space="preserve">rlu</t>
  </si>
  <si>
    <t xml:space="preserve">Upwelling Longwave Radiation</t>
  </si>
  <si>
    <t xml:space="preserve">Upwelling longwave radiation (includes the fluxes at the surface and TOA)</t>
  </si>
  <si>
    <t xml:space="preserve">rlucs</t>
  </si>
  <si>
    <t xml:space="preserve">Upwelling Clear-Sky Longwave Radiation</t>
  </si>
  <si>
    <t xml:space="preserve">Upwelling clear-sky longwave radiation  (includes the fluxes at the surface and TOA)</t>
  </si>
  <si>
    <t xml:space="preserve">rsd</t>
  </si>
  <si>
    <t xml:space="preserve">Downwelling Shortwave Radiation</t>
  </si>
  <si>
    <t xml:space="preserve">Downwelling shortwave radiation (includes the fluxes at the surface and top-of-atmosphere)</t>
  </si>
  <si>
    <t xml:space="preserve">rsdcs</t>
  </si>
  <si>
    <t xml:space="preserve">Downwelling Clear-Sky Shortwave Radiation</t>
  </si>
  <si>
    <t xml:space="preserve">Not available: All Up and downwelling radiation is only at the TOA and the surface available in IFS standard output</t>
  </si>
  <si>
    <t xml:space="preserve">Downwelling clear-sky shortwave radiation (includes the fluxes at the surface and top-of-atmosphere)</t>
  </si>
  <si>
    <t xml:space="preserve">rsu</t>
  </si>
  <si>
    <t xml:space="preserve">Upwelling Shortwave Radiation</t>
  </si>
  <si>
    <t xml:space="preserve">Upwelling shortwave radiation  (includes also the fluxes at the surface and top of atmosphere)</t>
  </si>
  <si>
    <t xml:space="preserve">rsucs</t>
  </si>
  <si>
    <t xml:space="preserve">Upwelling Clear-Sky Shortwave Radiation</t>
  </si>
  <si>
    <t xml:space="preserve">Upwelling clear-sky shortwave radiation  (includes the fluxes at the surface and TOA)</t>
  </si>
  <si>
    <t xml:space="preserve">sci</t>
  </si>
  <si>
    <t xml:space="preserve">Fraction of Time Shallow Convection Occurs</t>
  </si>
  <si>
    <t xml:space="preserve">Fraction of time that shallow convection occurs in the grid cell.</t>
  </si>
  <si>
    <t xml:space="preserve">tnhusa</t>
  </si>
  <si>
    <t xml:space="preserve">Tendency of Specific Humidity Due to Advection</t>
  </si>
  <si>
    <t xml:space="preserve">s-1</t>
  </si>
  <si>
    <t xml:space="preserve">Not available in IFS, it would require additional coding in IFS. Note that Gijs checked with ECMWF that the q-tendency from explicit dynamics (grib 128.94)  is not the same as q-tendency due to advection, see https://software.ecmwf.int/wiki/pages/viewpage.action?pageId=97384581.</t>
  </si>
  <si>
    <t xml:space="preserve">Twan, Thomas &amp; Gijs</t>
  </si>
  <si>
    <t xml:space="preserve">Tendency of Specific Humidity due to Advection</t>
  </si>
  <si>
    <t xml:space="preserve">tnhusd</t>
  </si>
  <si>
    <t xml:space="preserve">Tendency of Specific Humidity Due to Numerical Diffusion</t>
  </si>
  <si>
    <t xml:space="preserve">Tendency of specific humidity due to numerical diffusion.This includes any horizontal or vertical numerical moisture diffusion not associated with the parametrized moist physics or the resolved dynamics.  For example, any vertical diffusion which is part of the boundary layer mixing scheme should be excluded, as should any diffusion which is included in the terms from the resolved dynamics.   This term is required to check the closure of the moisture budget.</t>
  </si>
  <si>
    <t xml:space="preserve">tnhusscpbl</t>
  </si>
  <si>
    <t xml:space="preserve">Tendency of Specific Humidity Due to Stratiform Cloud and Precipitation and Boundary Layer Mixing</t>
  </si>
  <si>
    <t xml:space="preserve">This is not requested for a model like IFS (see description).</t>
  </si>
  <si>
    <t xml:space="preserve">Tendency of Specific Humidity Due to Stratiform Cloud and Precipitation and Boundary Layer Mixing  (to be specified only in  models which do not separate budget terms for stratiform cloud, precipitation and boundary layer schemes.  Includes all boundary layer terms including and diffusive terms.)</t>
  </si>
  <si>
    <t xml:space="preserve">tnt</t>
  </si>
  <si>
    <t xml:space="preserve">Tendency of Air Temperature</t>
  </si>
  <si>
    <t xml:space="preserve">K s-1</t>
  </si>
  <si>
    <t xml:space="preserve">Alternatively, just estimating the delta T per month. No direct grib code for the totoal T-tendency found. In IFS from Cycle 39R1: add all the T-Tendencies: grib 128.93 + 128.95 + 128.98 + 128.102 + 128.105 + 128.109. But with IFS cycle 36 the T-tendency of gravity wave drag grib 128.102 is bugged until Cycle 39R1. This has been checked by Gijs with ECMWF: https://software.ecmwf.int/wiki/pages/viewpage.action?pageId=97384581</t>
  </si>
  <si>
    <t xml:space="preserve">tnta</t>
  </si>
  <si>
    <t xml:space="preserve">Tendency of Air Temperature Due to Advection</t>
  </si>
  <si>
    <t xml:space="preserve">Not available in IFS, it would require additional coding in IFS. Note that Gijs checked with ECMWF that the T-tendency from explicit dynamics (grib 128.93)  is not the same as T-tendency due to advection, see https://software.ecmwf.int/wiki/pages/viewpage.action?pageId=97384581.</t>
  </si>
  <si>
    <t xml:space="preserve">Tendency of Air Temperature due to Advection</t>
  </si>
  <si>
    <t xml:space="preserve">tntmp</t>
  </si>
  <si>
    <t xml:space="preserve">Tendency of Air Temperature Due to Model Physics</t>
  </si>
  <si>
    <t xml:space="preserve">Not available in IFS cycle 36. In IFS from Cycle 39R1: add all the T-Tendencies without advection: grib 128.95 + 128.98 + 128.102 + 128.105 + 128.109. But with IFS cycle 36 the T-tendency of gravity wave drag grib 128.102 is bugged until Cycle 39R1. This has been checked by Gijs with ECMWF: https://software.ecmwf.int/wiki/pages/viewpage.action?pageId=97384581</t>
  </si>
  <si>
    <t xml:space="preserve">Tendency of air temperature due to model physics. This includes sources and sinks from parametrized physics (e.g. radiation, convection, boundary layer, stratiform condensation/evaporation, etc.). It excludes sources and sinks from resolved dynamics and numerical diffusion not associated with parametrized physics.  For example, any vertical diffusion which is part of the boundary layer mixing scheme should be included, while numerical diffusion applied in addition to physics or resolved dynamics should be excluded.  This term is required to check the closure of the heat budget.</t>
  </si>
  <si>
    <t xml:space="preserve">tntscpbl</t>
  </si>
  <si>
    <t xml:space="preserve">Tendency of Air Temperature Due to Stratiform Cloud and Precipitation and Boundary Layer Mixing</t>
  </si>
  <si>
    <t xml:space="preserve">Not available in IFS. This is not requested for a model like IFS (see description).</t>
  </si>
  <si>
    <t xml:space="preserve">Tendency of Air Temperature Due to Stratiform Cloud and Precipitation and Boundary Layer Mixing (to be specified only in  models which do not separate cloud, precipitation and boundary layer terms.  Includes all boundary layer terms including diffusive ones.)</t>
  </si>
  <si>
    <t xml:space="preserve">3hr</t>
  </si>
  <si>
    <t xml:space="preserve">rsdsdiff</t>
  </si>
  <si>
    <t xml:space="preserve">Surface Diffuse Downwelling Shortwave Radiation</t>
  </si>
  <si>
    <t xml:space="preserve">No, probably not. There is a GRIB code: 228242 (=242 in table 228), no idea if it can be used in EC-Earth. Give up this one?</t>
  </si>
  <si>
    <t xml:space="preserve">Gijs &amp; Klaus</t>
  </si>
  <si>
    <t xml:space="preserve">Surface downwelling solar irradiance from diffuse radiation for UV calculations.</t>
  </si>
  <si>
    <t xml:space="preserve">CMIP,HighResMIP,VIACSAB</t>
  </si>
  <si>
    <t xml:space="preserve">SImon</t>
  </si>
  <si>
    <t xml:space="preserve">sifllatstop</t>
  </si>
  <si>
    <t xml:space="preserve">Net Latent Heat Flux over Sea Ice</t>
  </si>
  <si>
    <t xml:space="preserve">Not available in NEMO-LIM. Though potentially possible to provide by NEMO-LIM, but not in the current output of NEMO-LIM.</t>
  </si>
  <si>
    <t xml:space="preserve">David Docquier</t>
  </si>
  <si>
    <t xml:space="preserve">the net latent heat flux over sea ice</t>
  </si>
  <si>
    <t xml:space="preserve">C4MIP,CMIP,DCPP,FAFMIP,GMMIP,GeoMIP,HighResMIP,LS3MIP,PAMIP,PMIP,RFMIP,SIMIP,VIACSAB</t>
  </si>
  <si>
    <t xml:space="preserve">sifllwdtop</t>
  </si>
  <si>
    <t xml:space="preserve">Downwelling Longwave Flux over Sea Ice</t>
  </si>
  <si>
    <t xml:space="preserve">Not available in NEMO-LIM (qns_ice, non-solar heat flux, takes into account longwave, sensible and latent heat fluxes)</t>
  </si>
  <si>
    <t xml:space="preserve">the downwelling longwave flux over sea ice (always positive)</t>
  </si>
  <si>
    <t xml:space="preserve">C4MIP,CMIP,FAFMIP,GMMIP,GeoMIP,HighResMIP,LS3MIP,PMIP,RFMIP,SIMIP,VIACSAB</t>
  </si>
  <si>
    <t xml:space="preserve">sifllwutop</t>
  </si>
  <si>
    <t xml:space="preserve">Upwelling Longwave Flux over Sea Ice</t>
  </si>
  <si>
    <t xml:space="preserve">the upwelling longwave flux over sea ice (always negative)</t>
  </si>
  <si>
    <t xml:space="preserve">siflsenstop</t>
  </si>
  <si>
    <t xml:space="preserve">Net Upward Sensible Heat Flux over Sea Ice</t>
  </si>
  <si>
    <t xml:space="preserve">the net sensible heat flux over sea ice</t>
  </si>
  <si>
    <t xml:space="preserve">siflswutop</t>
  </si>
  <si>
    <t xml:space="preserve">Upwelling Shortwave Flux over Sea Ice</t>
  </si>
  <si>
    <t xml:space="preserve">The upwelling shortwave flux over sea ice (always negative)</t>
  </si>
  <si>
    <t xml:space="preserve">simassacrossline</t>
  </si>
  <si>
    <t xml:space="preserve">siline time</t>
  </si>
  <si>
    <t xml:space="preserve">Sea Mass Area Flux Through Straits</t>
  </si>
  <si>
    <t xml:space="preserve">net (sum of transport in all directions) sea ice area transport through the following four passages, positive into the Arctic Ocean 1. Fram Strait = (11.5W,81.3N to (10.5E,79.6N) 2. Canadian Archipelago = (128.2W,70.6N) to (59.3W,82.1N) 3. Barents opening = (16.8E,76.5N) to (19.2E,70.2N) 4. Bering Strait = (171W,66.2N) to (166W,65N)</t>
  </si>
  <si>
    <t xml:space="preserve">simpconc</t>
  </si>
  <si>
    <t xml:space="preserve">longitude latitude time typemp</t>
  </si>
  <si>
    <t xml:space="preserve">Percentage Cover of Sea Ice by Meltpond</t>
  </si>
  <si>
    <t xml:space="preserve">Not available in LIM in EC-Earth3's CMIP6 version. In a newer version: simpconc = iceamp / siconc  according to David, and probably not  simpconc =  ( iceamp (= melt-pond fraction per grid-cell area, no unit) / grid-cell area ) * 100 [in %]</t>
  </si>
  <si>
    <t xml:space="preserve">Percentage of sea ice, by area, which is covered by melt ponds, giving equal weight to every square metre of sea ice .</t>
  </si>
  <si>
    <t xml:space="preserve">C4MIP,CMIP,FAFMIP,GMMIP,GeoMIP,HighResMIP,LS3MIP,RFMIP,SIMIP</t>
  </si>
  <si>
    <t xml:space="preserve">sipr</t>
  </si>
  <si>
    <t xml:space="preserve">Rainfall Rate over Sea Ice</t>
  </si>
  <si>
    <t xml:space="preserve">mass of liquid precipitation falling onto sea ice divided by grid-cell area</t>
  </si>
  <si>
    <t xml:space="preserve">C4MIP,CFMIP,CMIP,FAFMIP,GMMIP,GeoMIP,HighResMIP,LS3MIP,PMIP,RFMIP,SIMIP,VIACSAB</t>
  </si>
  <si>
    <t xml:space="preserve">sirdgconc</t>
  </si>
  <si>
    <t xml:space="preserve">longitude latitude time typesirdg</t>
  </si>
  <si>
    <t xml:space="preserve">Percentage Cover of Sea Ice by Ridging</t>
  </si>
  <si>
    <t xml:space="preserve">Fraction of sea ice, by area, which is covered by sea ice ridges, giving equal weight to every square metre of sea ice .</t>
  </si>
  <si>
    <t xml:space="preserve">sisnconc</t>
  </si>
  <si>
    <t xml:space="preserve">Snow Area Percentage</t>
  </si>
  <si>
    <t xml:space="preserve">Not available in PISCES. Not available in LIM.</t>
  </si>
  <si>
    <t xml:space="preserve">Raffaele Bernardello, David Docquier, Thomas Reerink</t>
  </si>
  <si>
    <t xml:space="preserve">Percentage of sea ice, by area, which is covered by snow, giving equal weight to every square metre of sea ice . Exclude snow that lies on land or land ice.</t>
  </si>
  <si>
    <t xml:space="preserve">C4MIP,CFMIP,CMIP,DAMIP,FAFMIP,GMMIP,GeoMIP,HighResMIP,LS3MIP,PMIP,RFMIP,SIMIP,VIACSAB</t>
  </si>
  <si>
    <t xml:space="preserve">CFmon</t>
  </si>
  <si>
    <t xml:space="preserve">clc</t>
  </si>
  <si>
    <t xml:space="preserve">longitude latitude alevel time</t>
  </si>
  <si>
    <t xml:space="preserve">Convective Cloud Area Percentage</t>
  </si>
  <si>
    <t xml:space="preserve">Include only convective cloud.</t>
  </si>
  <si>
    <t xml:space="preserve">AerChemMIP,CFMIP,DAMIP,GeoMIP,HighResMIP,PMIP</t>
  </si>
  <si>
    <t xml:space="preserve">AerChemMIP,CFMIP,DAMIP,HighResMIP,RFMIP,VIACSAB</t>
  </si>
  <si>
    <t xml:space="preserve">AerChemMIP,CFMIP,DAMIP,HighResMIP,PMIP,RFMIP,VIACSAB</t>
  </si>
  <si>
    <t xml:space="preserve">cls</t>
  </si>
  <si>
    <t xml:space="preserve">Percentage Cover of Stratiform Cloud</t>
  </si>
  <si>
    <t xml:space="preserve">Not available in IFS. This can not just be linked with one of these layers: grib 128.186, 128.187 or 128.188</t>
  </si>
  <si>
    <t xml:space="preserve">Cloud area fraction (reported as a percentage) for the whole atmospheric column due to stratiform clouds, as seen from the surface or the top of the atmosphere. Includes both large-scale and convective cloud.</t>
  </si>
  <si>
    <t xml:space="preserve">AerChemMIP,CFMIP,GeoMIP,HighResMIP,PMIP</t>
  </si>
  <si>
    <t xml:space="preserve">AerChemMIP,CFMIP,DAMIP,GeoMIP,HighResMIP</t>
  </si>
  <si>
    <t xml:space="preserve">mcu</t>
  </si>
  <si>
    <t xml:space="preserve">Convective Updraft Mass Flux</t>
  </si>
  <si>
    <t xml:space="preserve">Not available in IFS. This can not just be linked with one of these layers: grib 128.186, 128.187 or 128.189</t>
  </si>
  <si>
    <t xml:space="preserve">In accordance with common usage in geophysical disciplines, 'flux' implies per unit area, called 'flux density' in physics. The atmosphere convective mass flux is the vertical transport of mass for a field of cumulus clouds or thermals, given by the product of air density and vertical velocity. For an area-average, cell_methods should specify whether the average is over all the area or the area of updrafts only.</t>
  </si>
  <si>
    <t xml:space="preserve">AerChemMIP,CFMIP,CMIP,DAMIP,GeoMIP,HighResMIP,PMIP,VIACSAB</t>
  </si>
  <si>
    <t xml:space="preserve">rld4co2</t>
  </si>
  <si>
    <t xml:space="preserve">Downwelling Longwave Radiation 4XCO2 Atmosphere</t>
  </si>
  <si>
    <t xml:space="preserve">--why 4XCO2 label - data request error?</t>
  </si>
  <si>
    <t xml:space="preserve">Downwelling longwave radiation calculated using carbon dioxide concentrations increased fourfold (includes the fluxes at the surface and TOA)</t>
  </si>
  <si>
    <t xml:space="preserve">AerChemMIP,CFMIP,HighResMIP</t>
  </si>
  <si>
    <t xml:space="preserve">rldcs4co2</t>
  </si>
  <si>
    <t xml:space="preserve">Downwelling Clear-Sky Longwave Radiation 4XCO2 Atmosphere</t>
  </si>
  <si>
    <t xml:space="preserve">Downwelling clear-sky longwave radiation calculated using carbon dioxide concentrations increased fourfold (includes the fluxes at the surface and TOA)</t>
  </si>
  <si>
    <t xml:space="preserve">rlu4co2</t>
  </si>
  <si>
    <t xml:space="preserve">Upwelling Longwave Radiation 4XCO2 Atmosphere</t>
  </si>
  <si>
    <t xml:space="preserve">Upwelling longwave radiation calculated using carbon dioxide concentrations increased fourfold (includes the fluxes at the surface and TOA)</t>
  </si>
  <si>
    <t xml:space="preserve">rlucs4co2</t>
  </si>
  <si>
    <t xml:space="preserve">Upwelling Clear-Sky Longwave Radiation 4XCO2 Atmosphere</t>
  </si>
  <si>
    <t xml:space="preserve">Upwelling clear-sky longwave radiation calculated using carbon dioxide concentrations increased fourfold (includes the fluxes at the surface and TOA)</t>
  </si>
  <si>
    <t xml:space="preserve">rlut4co2</t>
  </si>
  <si>
    <t xml:space="preserve">TOA Outgoing Longwave Radiation 4XCO2 Atmosphere</t>
  </si>
  <si>
    <t xml:space="preserve">Top-of-atmosphere outgoing longwave radiation calculated using carbon dioxide concentrations increased fourfold</t>
  </si>
  <si>
    <t xml:space="preserve">AerChemMIP,CFMIP,HighResMIP,VIACSAB</t>
  </si>
  <si>
    <t xml:space="preserve">rlutcs4co2</t>
  </si>
  <si>
    <t xml:space="preserve">TOA Outgoing Clear-Sky Longwave Radiation 4XCO2 Atmosphere</t>
  </si>
  <si>
    <t xml:space="preserve">Top-of-atmosphere outgoing clear-sky longwave radiation calculated using carbon dioxide concentrations increased fourfold</t>
  </si>
  <si>
    <t xml:space="preserve">rsd4co2</t>
  </si>
  <si>
    <t xml:space="preserve">Downwelling Shortwave Radiation 4XCO2 Atmosphere</t>
  </si>
  <si>
    <t xml:space="preserve">Downwelling shortwave radiation calculated using carbon dioxide concentrations increased fourfold</t>
  </si>
  <si>
    <t xml:space="preserve">rsdcs4co2</t>
  </si>
  <si>
    <t xml:space="preserve">Downwelling Clear-Sky Shortwave Radiation 4XCO2 Atmosphere</t>
  </si>
  <si>
    <t xml:space="preserve">Downwelling clear-sky shortwave radiation calculated using carbon dioxide concentrations increased fourfold</t>
  </si>
  <si>
    <t xml:space="preserve">rsu4co2</t>
  </si>
  <si>
    <t xml:space="preserve">Upwelling Shortwave Radiation 4XCO2 Atmosphere</t>
  </si>
  <si>
    <t xml:space="preserve">Upwelling Shortwave Radiation calculated using carbon dioxide concentrations increased fourfold</t>
  </si>
  <si>
    <t xml:space="preserve">rsucs4co2</t>
  </si>
  <si>
    <t xml:space="preserve">Upwelling Clear-Sky Shortwave Radiation 4XCO2 Atmosphere</t>
  </si>
  <si>
    <t xml:space="preserve">Upwelling clear-sky shortwave radiation calculated using carbon dioxide concentrations increased fourfold</t>
  </si>
  <si>
    <t xml:space="preserve">rsut4co2</t>
  </si>
  <si>
    <t xml:space="preserve">TOA Outgoing Shortwave Radiation in 4XCO2 Atmosphere</t>
  </si>
  <si>
    <t xml:space="preserve">TOA Outgoing Shortwave Radiation calculated using carbon dioxide concentrations increased fourfold</t>
  </si>
  <si>
    <t xml:space="preserve">rsutcs4co2</t>
  </si>
  <si>
    <t xml:space="preserve">TOA Outgoing Clear-Sky Shortwave Radiation 4XCO2 Atmosphere</t>
  </si>
  <si>
    <t xml:space="preserve">TOA Outgoing Clear-Sky Shortwave Radiation calculated using carbon dioxide concentrations increased fourfold</t>
  </si>
  <si>
    <t xml:space="preserve">Omon</t>
  </si>
  <si>
    <t xml:space="preserve">AerChemMIP,C4MIP,CMIP,GMMIP,GeoMIP,HighResMIP,LS3MIP,OMIP</t>
  </si>
  <si>
    <t xml:space="preserve">AerChemMIP,C4MIP,GMMIP,GeoMIP,OMIP</t>
  </si>
  <si>
    <t xml:space="preserve">AerChemMIP,C4MIP,CMIP,GMMIP,GeoMIP,LUMIP,OMIP,PMIP</t>
  </si>
  <si>
    <t xml:space="preserve">dissi13cos</t>
  </si>
  <si>
    <t xml:space="preserve">Surface Dissolved Inorganic Carbon-13 Concentration</t>
  </si>
  <si>
    <t xml:space="preserve">Near surface dissolved inorganic carbon-13 (CO3+HCO3+H2CO3) concentration</t>
  </si>
  <si>
    <t xml:space="preserve">AerChemMIP,C4MIP,CMIP,GMMIP,GeoMIP,HighResMIP,LS3MIP,OMIP,PMIP</t>
  </si>
  <si>
    <t xml:space="preserve">AerChemMIP,C4MIP,DAMIP,GMMIP,GeoMIP,OMIP</t>
  </si>
  <si>
    <t xml:space="preserve">dissi14cabioos</t>
  </si>
  <si>
    <t xml:space="preserve">Surface Abiotic Dissolved Inorganic Carbon-14 Concentration</t>
  </si>
  <si>
    <t xml:space="preserve">AerChemMIP,C4MIP,CMIP,DAMIP,GMMIP,GeoMIP,OMIP</t>
  </si>
  <si>
    <t xml:space="preserve">dissicabioos</t>
  </si>
  <si>
    <t xml:space="preserve">Surface Abiotic Dissolved Inorganic Carbon Concentration</t>
  </si>
  <si>
    <t xml:space="preserve">AerChemMIP,C4MIP,CMIP,GMMIP,GeoMIP,HighResMIP,LS3MIP,LUMIP,OMIP</t>
  </si>
  <si>
    <t xml:space="preserve">eparag100</t>
  </si>
  <si>
    <t xml:space="preserve">longitude latitude time depth100m</t>
  </si>
  <si>
    <t xml:space="preserve">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Aragonite is a mineral that is a polymorph of calcium carbonate. The chemical formula of aragonite is CaCO3. Standard names also exist for calcite, another polymorph of calcium carbonate.</t>
  </si>
  <si>
    <t xml:space="preserve">AerChemMIP,C4MIP,CMIP,DAMIP,GMMIP,GeoMIP,HighResMIP,LS3MIP,OMIP,VIACSAB</t>
  </si>
  <si>
    <t xml:space="preserve">epn100</t>
  </si>
  <si>
    <t xml:space="preserve">Downward Flux of Particulate Nitrogen</t>
  </si>
  <si>
    <t xml:space="preserve">epp100</t>
  </si>
  <si>
    <t xml:space="preserve">Downward Flux of Particulate Phosphorus</t>
  </si>
  <si>
    <t xml:space="preserve">fbddtalk</t>
  </si>
  <si>
    <t xml:space="preserve">longitude latitude time olayer100m</t>
  </si>
  <si>
    <t xml:space="preserve">Rate of Change of Biological Alkalinity Due to Biological Activity</t>
  </si>
  <si>
    <t xml:space="preserve">vertical integral of net biological terms in time rate of change of alkalinity</t>
  </si>
  <si>
    <t xml:space="preserve">fbddtdic</t>
  </si>
  <si>
    <t xml:space="preserve">vertical integral of net biological terms in time rate of change of dissolved inorganic carbon</t>
  </si>
  <si>
    <t xml:space="preserve">AerChemMIP,C4MIP,CMIP,GMMIP,GeoMIP,HighResMIP,LS3MIP,OMIP,VIACSAB</t>
  </si>
  <si>
    <t xml:space="preserve">fbddtdife</t>
  </si>
  <si>
    <t xml:space="preserve">vertical integral of net biological terms in time rate of change of dissolved inorganic iron</t>
  </si>
  <si>
    <t xml:space="preserve">fbddtdin</t>
  </si>
  <si>
    <t xml:space="preserve">Rate of Change of Dissolved Inorganic Nitrogen Due to Biological Activity</t>
  </si>
  <si>
    <t xml:space="preserve">vertical integral of net biological terms in time rate of change of nitrogen nutrients (e.g. NO3+NH4)</t>
  </si>
  <si>
    <t xml:space="preserve">fbddtdip</t>
  </si>
  <si>
    <t xml:space="preserve">Rate of Change of Dissolved Inorganic Phosphorus Due to Biological Activity</t>
  </si>
  <si>
    <t xml:space="preserve">vertical integral of net biological terms in time rate of change of phosphate</t>
  </si>
  <si>
    <t xml:space="preserve">fbddtdisi</t>
  </si>
  <si>
    <t xml:space="preserve">vertical integral of net biological terms in time rate of change of dissolved inorganic silicate</t>
  </si>
  <si>
    <t xml:space="preserve">fddtalk</t>
  </si>
  <si>
    <t xml:space="preserve">Rate of Change of Total Alkalinity</t>
  </si>
  <si>
    <t xml:space="preserve">vertical integral of net time rate of change of alkalinity</t>
  </si>
  <si>
    <t xml:space="preserve">fddtdic</t>
  </si>
  <si>
    <t xml:space="preserve">Rate of Change of Net Dissolved Inorganic Carbon</t>
  </si>
  <si>
    <t xml:space="preserve">'Content' indicates a quantity per unit area.  'tendency_of_X' means derivative of X with respect to time. 'Dissolved inorganic carbon' describes a family of chemical species in solution, including carbon dioxide, carbonic acid and the carbonate and bicarbonate anions. 'Dissolved inorganic carbon'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</si>
  <si>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 xml:space="preserve">fddtdife</t>
  </si>
  <si>
    <t xml:space="preserve">Rate of Change of Net Dissolved Inorganic Iron</t>
  </si>
  <si>
    <t xml:space="preserve">vertical integral of net time rate of change of dissolved inorganic iron</t>
  </si>
  <si>
    <t xml:space="preserve">fddtdin</t>
  </si>
  <si>
    <t xml:space="preserve">Rate of Change of Net Dissolved Inorganic Nitrogen</t>
  </si>
  <si>
    <t xml:space="preserve">Net time rate of change of nitrogen nutrients (e.g. NO3+NH4)</t>
  </si>
  <si>
    <t xml:space="preserve">fddtdip</t>
  </si>
  <si>
    <t xml:space="preserve">Rate of Change of Net Dissolved Inorganic Phosphorus</t>
  </si>
  <si>
    <t xml:space="preserve">vertical integral of net  time rate of change of phosphate</t>
  </si>
  <si>
    <t xml:space="preserve">fddtdisi</t>
  </si>
  <si>
    <t xml:space="preserve">Rate of Change of Net Dissolved Inorganic Silicon</t>
  </si>
  <si>
    <t xml:space="preserve">vertical integral of net time rate of change of dissolved inorganic silicate</t>
  </si>
  <si>
    <t xml:space="preserve">longitude latitude time depth0m</t>
  </si>
  <si>
    <t xml:space="preserve">AerChemMIP,C4MIP,CMIP,GMMIP,GeoMIP,HighResMIP,LS3MIP,LUMIP,OMIP,PMIP</t>
  </si>
  <si>
    <t xml:space="preserve">fgdms</t>
  </si>
  <si>
    <t xml:space="preserve">Surface Upward Flux of DMS</t>
  </si>
  <si>
    <t xml:space="preserve">Gas exchange flux of DMS (positive into atmosphere)</t>
  </si>
  <si>
    <t xml:space="preserve">ficeberg</t>
  </si>
  <si>
    <t xml:space="preserve">Water Flux into Sea Water from Icebergs</t>
  </si>
  <si>
    <t xml:space="preserve">computed as the iceberg melt water  flux into the ocean divided by the area of the ocean portion of the grid cell.</t>
  </si>
  <si>
    <t xml:space="preserve">AerChemMIP,C4MIP,CMIP,GMMIP,GeoMIP,HighResMIP,ISMIP6,LS3MIP,OMIP,VolMIP</t>
  </si>
  <si>
    <t xml:space="preserve">frfe</t>
  </si>
  <si>
    <t xml:space="preserve">Iron Loss to Sediments</t>
  </si>
  <si>
    <t xml:space="preserve">'Content' indicates a quantity per unit area.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</si>
  <si>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hfbasinpadv</t>
  </si>
  <si>
    <t xml:space="preserve">latitude basin time</t>
  </si>
  <si>
    <t xml:space="preserve">Northward Ocean Heat Transport Due to Parameterized Eddy Advection</t>
  </si>
  <si>
    <t xml:space="preserve">W</t>
  </si>
  <si>
    <t xml:space="preserve">check sophteiv</t>
  </si>
  <si>
    <t xml:space="preserve">Contributions to heat transport from parameterized eddy-induced advective transport due to any subgrid advective process. Diagnosed here as a function of latitude and basin.  Use Celsius for temperature scale.</t>
  </si>
  <si>
    <t xml:space="preserve">AerChemMIP,C4MIP,CMIP,DAMIP,GMMIP,GeoMIP,HighResMIP,LS3MIP,OMIP</t>
  </si>
  <si>
    <t xml:space="preserve">hfbasinpmdiff</t>
  </si>
  <si>
    <t xml:space="preserve">Northward Ocean Heat Transport Due to Parameterized Mesoscale Diffusion</t>
  </si>
  <si>
    <t xml:space="preserve">we have diffusive heat transport but it includes all diffusive contributions, not only mesoscale</t>
  </si>
  <si>
    <t xml:space="preserve">Contributions to heat transport from parameterized mesoscale eddy-induced diffusive transport (i.e., neutral diffusion). Diagnosed here as a function of latitude and basin.</t>
  </si>
  <si>
    <t xml:space="preserve">hfbasinpsmadv</t>
  </si>
  <si>
    <t xml:space="preserve">Northward Ocean Heat Transport Due to Parameterized Submesoscale Advection</t>
  </si>
  <si>
    <t xml:space="preserve">Not available in NEMO-OPA before CMIP6 starts.</t>
  </si>
  <si>
    <t xml:space="preserve">Contributions to heat transport from parameterized mesoscale eddy-induced advective transport. Diagnosed here as a function of latitude and basin.  Use Celsius for temperature scale.</t>
  </si>
  <si>
    <t xml:space="preserve">hfibthermds</t>
  </si>
  <si>
    <t xml:space="preserve">Heat Flux into Sea Water Due to Iceberg Thermodynamics</t>
  </si>
  <si>
    <t xml:space="preserve">Not available in NEMO-OPA.  #387 and issue 595 at e-earth portal</t>
  </si>
  <si>
    <t xml:space="preserve">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 Iceberg thermodynamics' refers to the addition or subtraction of mass due to surface and basal fluxes, i.e., due to melting, sublimation and fusion.</t>
  </si>
  <si>
    <t xml:space="preserve">AerChemMIP,C4MIP,CMIP,GMMIP,GeoMIP,HighResMIP,LS3MIP,OMIP,VolMIP</t>
  </si>
  <si>
    <t xml:space="preserve">hfsifrazil</t>
  </si>
  <si>
    <t xml:space="preserve">Heat Flux into Sea Water Due to Frazil Ice Formation</t>
  </si>
  <si>
    <t xml:space="preserve">Not available in NEMO-LIM, not in NEMO anywhere</t>
  </si>
  <si>
    <t xml:space="preserve">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'Frazil' consists of needle like crystals of ice, typically between three and four millimeters in diameter, which form as sea water begins to freeze. Salt is expelled during the freezing process and frazil ice consists of nearly pure fresh water.</t>
  </si>
  <si>
    <t xml:space="preserve">AerChemMIP,C4MIP,CMIP,DAMIP,GMMIP,GeoMIP,HighResMIP,LS3MIP,OMIP,VolMIP</t>
  </si>
  <si>
    <t xml:space="preserve">hfsifrazil2d</t>
  </si>
  <si>
    <t xml:space="preserve">intparag</t>
  </si>
  <si>
    <t xml:space="preserve">Not available in NEMO-OPA. Not available in PISCES.</t>
  </si>
  <si>
    <t xml:space="preserve">Vertically integrated aragonite production</t>
  </si>
  <si>
    <t xml:space="preserve">intppdiaz</t>
  </si>
  <si>
    <t xml:space="preserve">Not available: INTNFIX is the production by Diazotrophs but they do not contribute to carbon so I think this one is missing. </t>
  </si>
  <si>
    <t xml:space="preserve">Raffaele Bernardello, Thomas</t>
  </si>
  <si>
    <t xml:space="preserve">Vertically integrated primary (organic carbon) production by the diazotrophs alone</t>
  </si>
  <si>
    <t xml:space="preserve">intpppico</t>
  </si>
  <si>
    <t xml:space="preserve">Vertically integrated primary (organic carbon) production by the picophytoplankton component alone</t>
  </si>
  <si>
    <t xml:space="preserve">mfo</t>
  </si>
  <si>
    <t xml:space="preserve">oline time</t>
  </si>
  <si>
    <t xml:space="preserve">Sea Water Transport</t>
  </si>
  <si>
    <t xml:space="preserve">Transport across_line means that which crosses a particular line on the Earth's surface; formally this means the integral along the line of the normal component of the transport.</t>
  </si>
  <si>
    <t xml:space="preserve">AerChemMIP,C4MIP,CMIP,GMMIP,GeoMIP,HighResMIP,LS3MIP,OMIP,VIACSAB,VolMIP</t>
  </si>
  <si>
    <t xml:space="preserve">msftmrho</t>
  </si>
  <si>
    <t xml:space="preserve">latitude rho basin time</t>
  </si>
  <si>
    <t xml:space="preserve">Ocean Meridional Overturning Mass Streamfunction</t>
  </si>
  <si>
    <t xml:space="preserve">Not available in NEMO-OPA before CMIP6 starts. NEMO-OPA - volume meridional stream function is available (zomsfglo). Maybe mass streamfunction can be obtained multiplying it by potential density (sea_water_sigma_theta) in the file_def xml ?  - I agree (Raffa), it can be done that way.</t>
  </si>
  <si>
    <t xml:space="preserve">Overturning mass streamfunction arising from all advective mass transport processes, resolved and parameterized.</t>
  </si>
  <si>
    <t xml:space="preserve">msftmrhompa</t>
  </si>
  <si>
    <t xml:space="preserve">Ocean Meridional Overturning Mass Streamfunction Due to Parameterized Mesoscale Advection</t>
  </si>
  <si>
    <t xml:space="preserve">Not available in NEMO-OPA before CMIP6 starts. There are bolus mass transports and velocity (Eddy-Induced-Velocity EIV) but no streamfunctions.</t>
  </si>
  <si>
    <t xml:space="preserve">CMIP5 called this 'due to Bolus Advection'.  Name change respects the more general physics of the mesoscale parameterizations.</t>
  </si>
  <si>
    <t xml:space="preserve">msftmz</t>
  </si>
  <si>
    <t xml:space="preserve">latitude olevel basin time</t>
  </si>
  <si>
    <t xml:space="preserve">Not available in NEMO-OPA before CMIP6 starts. zomsflgo requires the subasins.nc file and a namelist parameter (Poleward Transport Diagnostic) / basin-wide variables are: zomsfatl zomsfpac zomsfind zomsfipc. NEMO-OPA - volume meridional stream function is available (zomsfglo). Maybe mass streamfunction can be obtained multiplying it by potential density (sea_water_sigma_theta) in the file_def xml ?</t>
  </si>
  <si>
    <t xml:space="preserve">Etienne Tourigny</t>
  </si>
  <si>
    <t xml:space="preserve">AerChemMIP,C4MIP,CMIP,DAMIP,DCPP,GMMIP,GeoMIP,HighResMIP,LS3MIP,OMIP,PAMIP,VolMIP</t>
  </si>
  <si>
    <t xml:space="preserve">msftmzmpa</t>
  </si>
  <si>
    <t xml:space="preserve">AerChemMIP,C4MIP,CMIP,DAMIP,DCPP,GMMIP,GeoMIP,HighResMIP,LS3MIP,OMIP,PAMIP</t>
  </si>
  <si>
    <t xml:space="preserve">msftmzsmpa</t>
  </si>
  <si>
    <t xml:space="preserve">Ocean Meridional Overturning Mass Streamfunction Due to Parameterized Submesoscale Advection</t>
  </si>
  <si>
    <t xml:space="preserve">Report only if there is a submesoscale eddy parameterization.</t>
  </si>
  <si>
    <t xml:space="preserve">msftyrho</t>
  </si>
  <si>
    <t xml:space="preserve">gridlatitude rho basin time</t>
  </si>
  <si>
    <t xml:space="preserve">Ocean Y Overturning Mass Streamfunction</t>
  </si>
  <si>
    <t xml:space="preserve">Not available in NEMO-OPA before CMIP6 starts. NEMO-OPA - I guess it's the same as above only rotated in case y does not align exactly with north-south direction.</t>
  </si>
  <si>
    <t xml:space="preserve">msftyrhompa</t>
  </si>
  <si>
    <t xml:space="preserve">Ocean Y Overturning Mass Streamfunction Due to Parameterized Mesoscale Advection</t>
  </si>
  <si>
    <t xml:space="preserve">msftyzmpa</t>
  </si>
  <si>
    <t xml:space="preserve">gridlatitude olevel basin time</t>
  </si>
  <si>
    <t xml:space="preserve">msftyzsmpa</t>
  </si>
  <si>
    <t xml:space="preserve">Ocean Y Overturning Mass Streamfunction Due to Parameterized Submesoscale Advection</t>
  </si>
  <si>
    <t xml:space="preserve">psiv_mle is the Mixed Layer Eddy streamfunction along j-axis. This is the Fox-Kemper parameterization of baroclinic instabilities in the mixed layer. I think it is considered a submesoscale parameterization but we should double-check with someone in the NEMO community.</t>
  </si>
  <si>
    <t xml:space="preserve">o2satos</t>
  </si>
  <si>
    <t xml:space="preserve">Surface Dissolved Oxygen Concentration at Saturation</t>
  </si>
  <si>
    <t xml:space="preserve">'Mole concentration at saturation' means the mole concentration in a saturated solution.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t>
  </si>
  <si>
    <t xml:space="preserve">sfriver</t>
  </si>
  <si>
    <t xml:space="preserve">Salt Flux into Sea Water from Rivers</t>
  </si>
  <si>
    <t xml:space="preserve">Not available in NEMO-OPA, i.e. it makes no sence to make it availble because it is zero. It looks like it is assumed zero in NEMO, not 100% sure though.</t>
  </si>
  <si>
    <t xml:space="preserve">This field is physical, and it arises when rivers carry a nonzero salt content.  Often this is zero, with rivers assumed to be fresh.</t>
  </si>
  <si>
    <t xml:space="preserve">spco2abio</t>
  </si>
  <si>
    <t xml:space="preserve">Abiotic Surface Aqueous Partial Pressure of CO2</t>
  </si>
  <si>
    <t xml:space="preserve">The surface called 'surface' means the lower boundary of the atmosphere. The chemical formula for carbon dioxide is CO2. In ocean biogeochemistry models, an 'abiotic analogue' is used to simulate the effect on a modelled variable when biological effects on ocean carbon concentration and alkalinity are ignored. The partial pressure of a gaseous constituent of air is the pressure which it alone would exert with unchanged temperature and number of moles per unit volume. The partial pressure of a dissolved gas in sea water is the partial pressure in air with which it would be in equilibrium. The partial pressure difference between sea water and air is positive when the partial pressure of the dissolved gas in sea water is greater than the partial pressure in air.</t>
  </si>
  <si>
    <t xml:space="preserve">spco2nat</t>
  </si>
  <si>
    <t xml:space="preserve">Natural Surface Aqueous Partial Pressure of CO2</t>
  </si>
  <si>
    <t xml:space="preserve">Will be only for OMIP manually added: pCO2sea (in uatm)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</si>
  <si>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The surface called 'surface' means the lower boundary of the atmosphere. The chemical formula for carbon dioxide is CO2. In ocean biogeochemistry models, a 'natural analogue' is used to simulate the effect on a modelled variable of imposing preindustrial atmospheric carbon dioxide concentrations, even when the model as a whole may be subjected to varying forcings. The partial pressure of a gaseous constituent of air is the pressure which it alone would exert with unchanged temperature and number of moles per unit volume. The partial pressure of a dissolved gas in sea water is the partial pressure in air with which it would be in equilibrium. The partial pressure difference between sea water and air is positive when the partial pressure of the dissolved gas in sea water is greater than the partial pressure in air.</t>
  </si>
  <si>
    <t xml:space="preserve">tauucorr</t>
  </si>
  <si>
    <t xml:space="preserve">Surface Downward X Stress Correction</t>
  </si>
  <si>
    <t xml:space="preserve">N m-2</t>
  </si>
  <si>
    <t xml:space="preserve">This is the stress on the liquid ocean from overlying atmosphere, sea ice, ice shelf, etc.</t>
  </si>
  <si>
    <t xml:space="preserve">tauvcorr</t>
  </si>
  <si>
    <t xml:space="preserve">Surface Downward Y Stress Correction</t>
  </si>
  <si>
    <t xml:space="preserve">CMIP,HighResMIP,LS3MIP</t>
  </si>
  <si>
    <t xml:space="preserve">vsf</t>
  </si>
  <si>
    <t xml:space="preserve">Virtual Salt Flux into Sea Water</t>
  </si>
  <si>
    <t xml:space="preserve">It is set to zero in models which receive a real water flux.</t>
  </si>
  <si>
    <t xml:space="preserve">AerChemMIP,C4MIP,CMIP,DCPP,GMMIP,GeoMIP,HighResMIP,LS3MIP,OMIP,PAMIP,VIACSAB</t>
  </si>
  <si>
    <t xml:space="preserve">vsfcorr</t>
  </si>
  <si>
    <t xml:space="preserve">Virtual Salt Flux Correction</t>
  </si>
  <si>
    <t xml:space="preserve">vsfevap</t>
  </si>
  <si>
    <t xml:space="preserve">Virtual Salt Flux into Sea Water Due to Evaporation</t>
  </si>
  <si>
    <t xml:space="preserve">zero for models using real water fluxes.</t>
  </si>
  <si>
    <t xml:space="preserve">vsfpr</t>
  </si>
  <si>
    <t xml:space="preserve">Virtual Salt Flux into Sea Water Due to Rainfall</t>
  </si>
  <si>
    <t xml:space="preserve">vsfriver</t>
  </si>
  <si>
    <t xml:space="preserve">Virtual Salt Flux into Sea Water from Rivers</t>
  </si>
  <si>
    <t xml:space="preserve">AerChemMIP,C4MIP,CFMIP,CMIP,DAMIP,GMMIP,GeoMIP,HighResMIP,LS3MIP,OMIP,VIACSAB</t>
  </si>
  <si>
    <t xml:space="preserve">zsatarag</t>
  </si>
  <si>
    <t xml:space="preserve">Aragonite Saturation Depth</t>
  </si>
  <si>
    <t xml:space="preserve">Depth of aragonite saturation horizon (0 if undersaturated at all depths, 'missing' if supersaturated at all depths; if multiple horizons exist, the shallowest should be taken).</t>
  </si>
  <si>
    <t xml:space="preserve">AerChemMIP,C4MIP,CDRMIP,CMIP,GMMIP,GeoMIP,HighResMIP,LS3MIP,OMIP,VIACSAB</t>
  </si>
  <si>
    <t xml:space="preserve">zsatcalc</t>
  </si>
  <si>
    <t xml:space="preserve">Calcite Saturation Depth</t>
  </si>
  <si>
    <t xml:space="preserve">Depth of calcite saturation horizon (0 if undersaturated at all depths, and missing saturated through whole depth; if two or more horizons exist, then the shallowest is reported)</t>
  </si>
  <si>
    <t xml:space="preserve">EmonZ</t>
  </si>
  <si>
    <t xml:space="preserve">DAMIP,DCPP,DynVarMIP,HighResMIP,PAMIP,VolMIP</t>
  </si>
  <si>
    <t xml:space="preserve">jo2</t>
  </si>
  <si>
    <t xml:space="preserve">Photolysis Rate of Diatomic Molecular Oxygen</t>
  </si>
  <si>
    <t xml:space="preserve">Not available. Not available in IFS. Not available in TM5.</t>
  </si>
  <si>
    <t xml:space="preserve">Rate of photolysis of molecular oxygen to atomic oxygen (o2 -&gt; o1d+o)</t>
  </si>
  <si>
    <t xml:space="preserve">DAMIP</t>
  </si>
  <si>
    <t xml:space="preserve">jo3</t>
  </si>
  <si>
    <t xml:space="preserve">Photolysis Rate of Ozone (O3)</t>
  </si>
  <si>
    <t xml:space="preserve">Not available. Not available in IFS. TM5 can produce this, but not in stratosphere. So skip.</t>
  </si>
  <si>
    <t xml:space="preserve">Sum of photolysis rates o3 -&gt; o1d+o2 and o3 -&gt; o+o2</t>
  </si>
  <si>
    <t xml:space="preserve">oxloss</t>
  </si>
  <si>
    <t xml:space="preserve">Total Odd Oxygen (Ox) Loss Rate</t>
  </si>
  <si>
    <t xml:space="preserve">total chemical loss rate for o+o1d+o3</t>
  </si>
  <si>
    <t xml:space="preserve">oxprod</t>
  </si>
  <si>
    <t xml:space="preserve">Total Odd Oxygen (Ox) Production Rate</t>
  </si>
  <si>
    <t xml:space="preserve">total production rate of o+o1d+o3 including o2 photolysis and all o3 producing reactions</t>
  </si>
  <si>
    <t xml:space="preserve">DynVarMIP,VolMIP</t>
  </si>
  <si>
    <t xml:space="preserve">tntrl</t>
  </si>
  <si>
    <t xml:space="preserve">Tendency of Air Temperature Due to Longwave Radiative Heating</t>
  </si>
  <si>
    <t xml:space="preserve">Not available in IFS output without additional effort. Only total heating rate due to radiation.</t>
  </si>
  <si>
    <t xml:space="preserve">Tendency of air temperature due to longwave radiative heating</t>
  </si>
  <si>
    <t xml:space="preserve">tntrlcs</t>
  </si>
  <si>
    <t xml:space="preserve">Tendency of Air Temperature Due to Clear Sky Longwave Radiative Heating</t>
  </si>
  <si>
    <t xml:space="preserve">Tendency of Air Temperature due to Clear Sky Longwave Radiative Heating</t>
  </si>
  <si>
    <t xml:space="preserve">tntrs</t>
  </si>
  <si>
    <t xml:space="preserve">Tendency of Air Temperature Due to Shortwave Radiative Heating</t>
  </si>
  <si>
    <t xml:space="preserve">Tendency of air temperature due to shortwave radiative heating</t>
  </si>
  <si>
    <t xml:space="preserve">tntrscs</t>
  </si>
  <si>
    <t xml:space="preserve">Tendency of Air Temperature Due to Clear Sky Shortwave Radiative Heating</t>
  </si>
  <si>
    <t xml:space="preserve">Tendency of Air Temperature due to Clear Sky Shortwave Radiative Heating</t>
  </si>
  <si>
    <t xml:space="preserve">tntscp</t>
  </si>
  <si>
    <t xml:space="preserve">Tendency of Air Temperature Due to Stratiform Clouds and Precipitation</t>
  </si>
  <si>
    <t xml:space="preserve">The phrase 'tendency_of_X' means derivative of X with respect to time. Air temperature is the bulk temperature of the air, not the surface (skin) temperature. The specification of a physical process by the phrase 'due_to_' process means that the quantity named is a single term in a sum of terms which together compose the general quantity named by omitting the phrase. A variable with the standard name tendency_of_air_temperature_due_to_stratiform_cloud_and_precipitation should contain net latent heating effects of all processes which convert stratiform clouds and precipitation between water vapour, liquid or ice phases. In an atmosphere model, stratiform cloud is that produced by large-scale convergence (not the convection schemes).</t>
  </si>
  <si>
    <t xml:space="preserve">HighResMIP</t>
  </si>
  <si>
    <t xml:space="preserve">vmrox</t>
  </si>
  <si>
    <t xml:space="preserve">Mole Fraction of Odd Oxygen (O, O3 and O1D)</t>
  </si>
  <si>
    <t xml:space="preserve">mol mol-1</t>
  </si>
  <si>
    <t xml:space="preserve">Mole Fraction of Ox</t>
  </si>
  <si>
    <t xml:space="preserve">zmtnt</t>
  </si>
  <si>
    <t xml:space="preserve">Zonal Mean Diabatic Heating Rates</t>
  </si>
  <si>
    <t xml:space="preserve">Not available. Not available in IFS.</t>
  </si>
  <si>
    <t xml:space="preserve">The diabatic heating rates due to all the processes that may change potential temperature</t>
  </si>
  <si>
    <t xml:space="preserve">Amon</t>
  </si>
  <si>
    <t xml:space="preserve">AerChemMIP,C4MIP,CFMIP,CMIP,DAMIP,FAFMIP,GMMIP,GeoMIP,HighResMIP,LS3MIP,LUMIP,RFMIP,VolMIP</t>
  </si>
  <si>
    <t xml:space="preserve">AerChemMIP,C4MIP,CFMIP,CMIP,DAMIP,FAFMIP,GMMIP,GeoMIP,HighResMIP,ISMIP6,LS3MIP,LUMIP,PMIP,RFMIP,VIACSAB,VolMIP</t>
  </si>
  <si>
    <t xml:space="preserve">co2Clim</t>
  </si>
  <si>
    <t xml:space="preserve">longitude latitude plev19 time2</t>
  </si>
  <si>
    <t xml:space="preserve">Mole Fraction of CO2</t>
  </si>
  <si>
    <t xml:space="preserve">Not available in either IFS or TM5. With a lot of effort co2 output could be implemented in TM5, but on costs of performance. Moreover more issues remain in that case with this variable because it is in fact only requested in certain cases.</t>
  </si>
  <si>
    <t xml:space="preserve">Mole fraction is used in the construction mole_fraction_of_X_in_Y, where X is a material constituent of Y.</t>
  </si>
  <si>
    <t xml:space="preserve">AerChemMIP,C4MIP,CFMIP,CMIP,DAMIP,FAFMIP,GMMIP,GeoMIP,HighResMIP,LS3MIP,LUMIP,PMIP,RFMIP,VolMIP</t>
  </si>
  <si>
    <t xml:space="preserve">co2massClim</t>
  </si>
  <si>
    <t xml:space="preserve">time2</t>
  </si>
  <si>
    <t xml:space="preserve">Total Atmospheric Mass of CO2</t>
  </si>
  <si>
    <t xml:space="preserve">kg</t>
  </si>
  <si>
    <t xml:space="preserve">Total atmospheric mass of Carbon Dioxide</t>
  </si>
  <si>
    <t xml:space="preserve">AerChemMIP,C4MIP,CMIP,DAMIP,FAFMIP,GMMIP,GeoMIP,HighResMIP,LS3MIP,LUMIP,RFMIP,VIACSAB,VolMIP</t>
  </si>
  <si>
    <t xml:space="preserve">AerChemMIP,C4MIP,CFMIP,CMIP,DAMIP,FAFMIP,GMMIP,GeoMIP,HighResMIP,LS3MIP,LUMIP,RFMIP,VIACSAB,VolMIP</t>
  </si>
  <si>
    <t xml:space="preserve">n2o</t>
  </si>
  <si>
    <t xml:space="preserve">longitude latitude plev19 time</t>
  </si>
  <si>
    <t xml:space="preserve">Mole Fraction of N2O</t>
  </si>
  <si>
    <t xml:space="preserve">Component not available in TM5. It is one of the prescribed greenhouse gases in IFS. WMO grib code: 210063, but not available in IFS output.</t>
  </si>
  <si>
    <t xml:space="preserve">Tommi Bergman</t>
  </si>
  <si>
    <t xml:space="preserve">Mole fraction is used in the construction mole_fraction_of_X_in_Y, where X is a material constituent of Y.   The chemical formula of  nitrous oxide is N2O.</t>
  </si>
  <si>
    <t xml:space="preserve">n2oClim</t>
  </si>
  <si>
    <t xml:space="preserve">Not available in the AOGCM, neither in TM5.</t>
  </si>
  <si>
    <t xml:space="preserve">Twan, Tommi Bergman</t>
  </si>
  <si>
    <t xml:space="preserve">n2oglobal</t>
  </si>
  <si>
    <t xml:space="preserve">time</t>
  </si>
  <si>
    <t xml:space="preserve">Global Mean Mole Fraction of N2O</t>
  </si>
  <si>
    <t xml:space="preserve">1e-09</t>
  </si>
  <si>
    <t xml:space="preserve">Global mean Nitrous Oxide (N2O)</t>
  </si>
  <si>
    <t xml:space="preserve">n2oglobalClim</t>
  </si>
  <si>
    <t xml:space="preserve">AerChemMIP,C4MIP,CFMIP,CMIP,DAMIP,FAFMIP,GMMIP,GeoMIP,HighResMIP,ISMIP6,LS3MIP,LUMIP,RFMIP,VIACSAB,VolMIP</t>
  </si>
  <si>
    <t xml:space="preserve">6hrPlev</t>
  </si>
  <si>
    <t xml:space="preserve">prhmax</t>
  </si>
  <si>
    <t xml:space="preserve">Maximum Hourly Precipitation Rate</t>
  </si>
  <si>
    <t xml:space="preserve">In accordance with common usage in geophysical disciplines, 'flux' implies per unit area, called 'flux density' in physics.</t>
  </si>
  <si>
    <t xml:space="preserve">DCPP,PAMIP</t>
  </si>
  <si>
    <t xml:space="preserve">wsgmax100m</t>
  </si>
  <si>
    <t xml:space="preserve">longitude latitude time height100m</t>
  </si>
  <si>
    <t xml:space="preserve">Maximum Wind Speed of Gust at 100m</t>
  </si>
  <si>
    <t xml:space="preserve">Wind speed gust maximum at 100m above surface</t>
  </si>
  <si>
    <t xml:space="preserve">VIACSAB</t>
  </si>
  <si>
    <t xml:space="preserve">AERmon</t>
  </si>
  <si>
    <t xml:space="preserve">aoanh</t>
  </si>
  <si>
    <t xml:space="preserve">Northern Hemisphere Tracer Lifetime</t>
  </si>
  <si>
    <t xml:space="preserve">yr</t>
  </si>
  <si>
    <t xml:space="preserve">Component not available in TM5</t>
  </si>
  <si>
    <t xml:space="preserve">Fixed surface layer mixing ratio over 30o-50oN (0 ppbv), uniform fixed source (at all levels) everywhere else (source is unspecified but must be constant in space and time and documented). Note that the source could be 1yr/yr, so the tracer concentration provides mean age in years. For method using linearly increasing tracer include a method attribute: 'linearly increasing tracer'For method using uniform source (1yr/yr) include a method attribute: 'uniform source'</t>
  </si>
  <si>
    <t xml:space="preserve">AerChemMIP,DAMIP</t>
  </si>
  <si>
    <t xml:space="preserve">c2h2</t>
  </si>
  <si>
    <t xml:space="preserve">C2H2 Volume Mixing Ratio</t>
  </si>
  <si>
    <t xml:space="preserve">ccn</t>
  </si>
  <si>
    <t xml:space="preserve">Cloud Condensation Nuclei Concentration at Liquid Cloud Top</t>
  </si>
  <si>
    <t xml:space="preserve">m-3</t>
  </si>
  <si>
    <t xml:space="preserve">Probably we are not going to provide this. It is unclear what the request is asking for. CCN is the number concentration of particles activated to cloud droplets at a specified supersaturation ratio. The actual number concentration in a given cloud is the cloud droplet number concentration, CDNC (which is what I guess the request actually wants), but in the 'extensive variable description' column it says: proposed name: number_concentration_of_ambient_aerosol_in_air_at_liquid_cloud_top which is something different again. Not all aerosol particles are CCN.  Also, I could interpret 'liquid cloud top" as meaning a cloud that contains only liquid water or as a cloud that contains liquid water (and possibly ice). What IFS can provide today is CDNC as a 3-dimensional diagnostic, which is produced for all clouds. It could be easy enough to make a 2-D cloud top CDNC diagnostic instead, but I think the specification is too ambiguous and would likely be interpreted and implemented in different ways between models, so I doubt that it is of any use to try to fulfil this part of the request.</t>
  </si>
  <si>
    <t xml:space="preserve">Declan, Thomas</t>
  </si>
  <si>
    <t xml:space="preserve">proposed name: number_concentration_of_ambient_aerosol_in_air_at_liquid_water_cloud_top</t>
  </si>
  <si>
    <t xml:space="preserve">AerChemMIP,DAMIP,HighResMIP</t>
  </si>
  <si>
    <t xml:space="preserve">chepasoa</t>
  </si>
  <si>
    <t xml:space="preserve">Total Net Production of Anthropogenic Secondary Organic Aerosol</t>
  </si>
  <si>
    <t xml:space="preserve">anthropogenic part of chepsoa</t>
  </si>
  <si>
    <t xml:space="preserve">cod</t>
  </si>
  <si>
    <t xml:space="preserve">Cloud Optical Depth</t>
  </si>
  <si>
    <t xml:space="preserve">Declan, Gijs &amp; Thomas</t>
  </si>
  <si>
    <t xml:space="preserve">The optical thickness is the integral along the path of radiation of a volume scattering/absorption/attenuation coefficient. The radiative flux is reduced by a factor exp(-optical_thickness) on traversing the path. A coordinate variable of radiation_wavelength or radiation_frequency can be specified to indicate that the optical thickness applies at specific wavelengths or frequencies. The atmosphere optical thickness applies to radiation passing through the entire atmosphere. 'Cloud' means the component of extinction owing to the presence of liquid or ice water particles. The specification of a physical process by the phrase due_to_process means that the quantity named is a  single term in a sum of terms which together compose the general quantity named by omitting the phrase.</t>
  </si>
  <si>
    <t xml:space="preserve">emiaco</t>
  </si>
  <si>
    <t xml:space="preserve">Total Emission Rate of Anthropogenic CO</t>
  </si>
  <si>
    <t xml:space="preserve">Anthropogenic  emission of CO.</t>
  </si>
  <si>
    <t xml:space="preserve">emianox</t>
  </si>
  <si>
    <t xml:space="preserve">Total Emission Rate of Anthropogenic NOx</t>
  </si>
  <si>
    <t xml:space="preserve">Store flux as Nitrogen. Anthropogenic fraction. NOx=NO+NO2, Includes agricultural waste burning but no other biomass burning. Integrate 3D emission field vertically to 2d field.</t>
  </si>
  <si>
    <t xml:space="preserve">emiaoa</t>
  </si>
  <si>
    <t xml:space="preserve">Total Emission Rate of Anthropogenic Organic Aerosol</t>
  </si>
  <si>
    <t xml:space="preserve">anthropogenic part of emioa</t>
  </si>
  <si>
    <t xml:space="preserve">h2o</t>
  </si>
  <si>
    <t xml:space="preserve">Mass Fraction of Water</t>
  </si>
  <si>
    <t xml:space="preserve">Not available in TM5. For h2o, TM5 cannot do all phases of water, should therefore come from IFS if anywhere.</t>
  </si>
  <si>
    <t xml:space="preserve">includes all phases of water</t>
  </si>
  <si>
    <t xml:space="preserve">hcl</t>
  </si>
  <si>
    <t xml:space="preserve">HCl Volume Mixing Ratio</t>
  </si>
  <si>
    <t xml:space="preserve">Mole fraction is used in the construction mole_fraction_of_X_in_Y, where X is a material constituent of Y.  The chemical formula of hydrogen chloride is HCl.</t>
  </si>
  <si>
    <t xml:space="preserve">lossn2o</t>
  </si>
  <si>
    <t xml:space="preserve">Monthly Loss of Atmospheric Nitrous Oxide</t>
  </si>
  <si>
    <t xml:space="preserve">monthly averaged atmospheric loss</t>
  </si>
  <si>
    <t xml:space="preserve">nh50</t>
  </si>
  <si>
    <t xml:space="preserve">Artificial Tracer with 50 Day Lifetime</t>
  </si>
  <si>
    <t xml:space="preserve">Fixed surface layer mixing ratio over 30o-50oN (100ppbv), uniform fixed 50-day exponential decay.</t>
  </si>
  <si>
    <t xml:space="preserve">od550bb</t>
  </si>
  <si>
    <t xml:space="preserve">longitude latitude time lambda550nm</t>
  </si>
  <si>
    <t xml:space="preserve">Aerosol Optical Depth at 550nm Due to Biomass Burning</t>
  </si>
  <si>
    <t xml:space="preserve">total organic aerosol AOD due to biomass burning (excluding so4, nitrate BB components)</t>
  </si>
  <si>
    <t xml:space="preserve">AerChemMIP,DAMIP,HighResMIP,RFMIP</t>
  </si>
  <si>
    <t xml:space="preserve">od550csaer</t>
  </si>
  <si>
    <t xml:space="preserve">Ambient Aerosol Optical Thickness at 550nm</t>
  </si>
  <si>
    <t xml:space="preserve">AOD from the ambient aerosols in clear skies if od550aer is for all-sky (i.e., includes aerosol water).  Does not include AOD from stratospheric aerosols if these are prescribed but includes other possible background aerosol types. Needs a comment attribute 'wavelength: 550nm'</t>
  </si>
  <si>
    <t xml:space="preserve">photo1d</t>
  </si>
  <si>
    <t xml:space="preserve">Photolysis Rate of Ozone (O3) to Excited Atomic Oxygen (the Singlet D State, O1D)</t>
  </si>
  <si>
    <t xml:space="preserve">proposed name: photolysis_rate_of_ozone_to_O1D</t>
  </si>
  <si>
    <t xml:space="preserve">pod0</t>
  </si>
  <si>
    <t xml:space="preserve">Phytotoxic Ozone Dose</t>
  </si>
  <si>
    <t xml:space="preserve">mol m-2</t>
  </si>
  <si>
    <t xml:space="preserve">Tommi, Twan &amp; Thomas</t>
  </si>
  <si>
    <t xml:space="preserve">Accumulated stomatal ozone flux over the threshold of 0 mol m-2 s-1; Computation: Time Integral of (hourly above canopy ozone concentration * stomatal conductance * Rc/(Rb+Rc) )</t>
  </si>
  <si>
    <t xml:space="preserve">reffclwtop</t>
  </si>
  <si>
    <t xml:space="preserve">Cloud-Top Effective Droplet Radius</t>
  </si>
  <si>
    <t xml:space="preserve">We can produce this as a 3-D diagnostic, but we do not produce an equivalent for cloud ice. Here the rider 'liquid water' does not appear in the request. Again we could easily implement a 2-D diagnostic, but once again (see comment for the variable cnn) I think that there are ambiguities. The variables cnn and reffclwtop are presumably requested for comparison with satellite observations, but we need to know what the satellites are measuring and if/how they distinguish between cloud water and cloud ice.</t>
  </si>
  <si>
    <t xml:space="preserve">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 (TOA) each time sample when computing monthly mean. Reported values are weighted by total liquid cloud top fraction of  (as seen from TOA) each time sample when computing monthly mean.</t>
  </si>
  <si>
    <t xml:space="preserve">AerChemMIP,DAMIP,GeoMIP,HighResMIP,VIACSAB</t>
  </si>
  <si>
    <t xml:space="preserve">AerChemMIP,CFMIP,DAMIP,PMIP</t>
  </si>
  <si>
    <t xml:space="preserve">AerChemMIP,CFMIP,DAMIP</t>
  </si>
  <si>
    <t xml:space="preserve">ttop</t>
  </si>
  <si>
    <t xml:space="preserve">Air Temperature at Cloud Top</t>
  </si>
  <si>
    <t xml:space="preserve">K</t>
  </si>
  <si>
    <t xml:space="preserve">Not available yet in IFS output but it would be possible to implement.</t>
  </si>
  <si>
    <t xml:space="preserve">Declan</t>
  </si>
  <si>
    <t xml:space="preserve">cloud_top refers to the top of the highest cloud. Air temperature is the bulk temperature of the air, not the surface (skin) temperature.</t>
  </si>
  <si>
    <t xml:space="preserve">E3hrPt</t>
  </si>
  <si>
    <t xml:space="preserve">aerasymbnd</t>
  </si>
  <si>
    <t xml:space="preserve">longitude latitude alevel spectband time1</t>
  </si>
  <si>
    <t xml:space="preserve">Aerosol Level Asymmetry Parameter for Each Band</t>
  </si>
  <si>
    <t xml:space="preserve">Not available: In IFS it is not possible to distinguish output in spectral intervals. </t>
  </si>
  <si>
    <t xml:space="preserve">The asymmetry factor is the angular integral of the aerosol scattering phase function weighted by the cosine of the angle with the incident radiation flux. The asymmetry coefficient is here an integral over all wavelength bands.</t>
  </si>
  <si>
    <t xml:space="preserve">RFMIP</t>
  </si>
  <si>
    <t xml:space="preserve">aeroptbnd</t>
  </si>
  <si>
    <t xml:space="preserve">Aerosol Level Absorption Optical Thickness for Each Band</t>
  </si>
  <si>
    <t xml:space="preserve">Optical thickness of atmospheric aerosols in wavelength bands.</t>
  </si>
  <si>
    <t xml:space="preserve">aerssabnd</t>
  </si>
  <si>
    <t xml:space="preserve">Aerosol Level Single Scattering Albedo for Each Band</t>
  </si>
  <si>
    <t xml:space="preserve">The single scattering albedo is the fraction of radiation in an incident light beam scattered by the particles of an aerosol reference volume for a given wavelength. It is the ratio of the scattering and the extinction coefficients of the aerosol particles in the reference volume. </t>
  </si>
  <si>
    <t xml:space="preserve">albdiffbnd</t>
  </si>
  <si>
    <t xml:space="preserve">longitude latitude spectband time1</t>
  </si>
  <si>
    <t xml:space="preserve">Diffuse Surface Albedo for Each Band</t>
  </si>
  <si>
    <t xml:space="preserve">The fraction of the surface diffuse downwelling shortwave radiation flux which is reflected. If the diffuse radiation is isotropic, this term is equivalent to the integral of surface bidirectional reflectance over all incident angles and over all outgoing angles in the hemisphere above the surface. Reported in spectral frequency bands.</t>
  </si>
  <si>
    <t xml:space="preserve">albdirbnd</t>
  </si>
  <si>
    <t xml:space="preserve">Direct Surface Albedo for Each Band</t>
  </si>
  <si>
    <t xml:space="preserve">The fraction of the surface direct downwelling shortwave radiation flux which is reflected. It is equivalent to the surface bidirectional reflectance at the incident angle of the incoming solar radiation and integrated over all outgoing angles in the hemisphere above the surface.  Reported in spectral frequency bands.</t>
  </si>
  <si>
    <t xml:space="preserve">longitude latitude alt40 time1</t>
  </si>
  <si>
    <t xml:space="preserve">CFMIP</t>
  </si>
  <si>
    <t xml:space="preserve">longitude latitude plev7c tau time1</t>
  </si>
  <si>
    <t xml:space="preserve">longitude latitude alevel time1</t>
  </si>
  <si>
    <t xml:space="preserve">parasolRefl</t>
  </si>
  <si>
    <t xml:space="preserve">longitude latitude sza5 time1</t>
  </si>
  <si>
    <t xml:space="preserve">PARASOL Reflectance</t>
  </si>
  <si>
    <t xml:space="preserve">COSP output currently not available from IFS</t>
  </si>
  <si>
    <t xml:space="preserve">Simulated reflectance from PARASOL as seen at the top of the atmosphere for 5 solar zenith angles. Valid only over ocean and for one viewing direction (viewing zenith angle of 30 degrees and relative azimuth angle 320 degrees).</t>
  </si>
  <si>
    <t xml:space="preserve">longitude latitude alevhalf time1</t>
  </si>
  <si>
    <t xml:space="preserve">rsdcsaf</t>
  </si>
  <si>
    <t xml:space="preserve">Downwelling Clear-Sky, Aerosol-Free Shortwave Radiation</t>
  </si>
  <si>
    <t xml:space="preserve">Calculated in the absence of aerosols and clouds (following Ghan). This requires a double-call in the radiation code with precisely the same meteorology.</t>
  </si>
  <si>
    <t xml:space="preserve">rsdcsafbnd</t>
  </si>
  <si>
    <t xml:space="preserve">longitude latitude alevhalf spectband time1</t>
  </si>
  <si>
    <t xml:space="preserve">Downwelling Clear-Sky, Aerosol-Free, Shortwave Radiation in Bands</t>
  </si>
  <si>
    <t xml:space="preserve">rsdcsbnd</t>
  </si>
  <si>
    <t xml:space="preserve">Downwelling Clear-Sky Shortwave Radiation at Each Level for Each Band</t>
  </si>
  <si>
    <t xml:space="preserve">Calculated with aerosols but without clouds. This is a standard clear-sky calculation</t>
  </si>
  <si>
    <t xml:space="preserve">rsdscsaf</t>
  </si>
  <si>
    <t xml:space="preserve">longitude latitude time1</t>
  </si>
  <si>
    <t xml:space="preserve">Surface Downwelling Clear-Sky, Aerosol-Free Shortwave Radiation</t>
  </si>
  <si>
    <t xml:space="preserve">not available, moreover they can be ignored because part of RFMIP-IRF and we don't participate in that experiment of RFMIP.</t>
  </si>
  <si>
    <t xml:space="preserve">Calculated in the absence of aerosols and clouds.</t>
  </si>
  <si>
    <t xml:space="preserve">rsdscsafbnd</t>
  </si>
  <si>
    <t xml:space="preserve">Surface Downwelling Clear-Sky, Aerosol-Free Shortwave Radiation in Bands</t>
  </si>
  <si>
    <t xml:space="preserve">Calculated in the absence of aerosols and clouds, following Ghan (2013, ACP). This requires a double-call in the radiation code with precisely the same meteorology.</t>
  </si>
  <si>
    <t xml:space="preserve">rsdscsbnd</t>
  </si>
  <si>
    <t xml:space="preserve">Surface Downwelling Clear-Sky Shortwave Radiation for Each Band</t>
  </si>
  <si>
    <t xml:space="preserve">rsucsaf</t>
  </si>
  <si>
    <t xml:space="preserve">Upwelling Clear-Sky, Aerosol-Free Shortwave Radiation</t>
  </si>
  <si>
    <t xml:space="preserve">rsucsafbnd</t>
  </si>
  <si>
    <t xml:space="preserve">Upwelling Clear-Sky, Aerosol-Free Shortwave Radiation in Bands</t>
  </si>
  <si>
    <t xml:space="preserve">rsucsbnd</t>
  </si>
  <si>
    <t xml:space="preserve">Upwelling Clear-Sky Shortwave Radiation at Each Level for Each Band</t>
  </si>
  <si>
    <t xml:space="preserve">rsuscsaf</t>
  </si>
  <si>
    <t xml:space="preserve">Surface Upwelling Clean Clear-Sky Shortwave Radiation</t>
  </si>
  <si>
    <t xml:space="preserve">Surface Upwelling Clear-sky, Aerosol Free Shortwave Radiation</t>
  </si>
  <si>
    <t xml:space="preserve">rsuscsafbnd</t>
  </si>
  <si>
    <t xml:space="preserve">Surface Upwelling Clear-Sky, Aerosol-Free Shortwave Radiation in Bands</t>
  </si>
  <si>
    <t xml:space="preserve">Calculated in the absence of aerosols and clouds, following Ghan (ACP, 2013). This requires a double-call in the radiation code with precisely the same meteorology.</t>
  </si>
  <si>
    <t xml:space="preserve">rsuscsbnd</t>
  </si>
  <si>
    <t xml:space="preserve">Surface Upwelling Clear-Sky Shortwave Radiation for Each Band</t>
  </si>
  <si>
    <t xml:space="preserve">rsutcsafbnd</t>
  </si>
  <si>
    <t xml:space="preserve">TOA Outgoing Clear-Sky, Aerosol-Free Shortwave Radiation in Bands</t>
  </si>
  <si>
    <t xml:space="preserve">rsutcsbnd</t>
  </si>
  <si>
    <t xml:space="preserve">TOA Outgoing Clear-Sky Shortwave Radiation for Each Band</t>
  </si>
  <si>
    <t xml:space="preserve">solbnd</t>
  </si>
  <si>
    <t xml:space="preserve">TOA Solar Irradiance for Each Band</t>
  </si>
  <si>
    <t xml:space="preserve">Solar irradiance at a horizontal surface at top of atmosphere.</t>
  </si>
  <si>
    <t xml:space="preserve">Esubhr</t>
  </si>
  <si>
    <t xml:space="preserve">AERday</t>
  </si>
  <si>
    <t xml:space="preserve">ua10</t>
  </si>
  <si>
    <t xml:space="preserve">longitude latitude time p10</t>
  </si>
  <si>
    <t xml:space="preserve">Eastward Wind at 10hPa</t>
  </si>
  <si>
    <t xml:space="preserve">Available in IFS, but maybe not so relevant because TM5 doesn't simulate stratospheric ozone</t>
  </si>
  <si>
    <t xml:space="preserve">Zonal wind on the 10 hPa surface</t>
  </si>
  <si>
    <t xml:space="preserve">zg10</t>
  </si>
  <si>
    <t xml:space="preserve">Geopotential Height at 10hPa</t>
  </si>
  <si>
    <t xml:space="preserve">Maybe available in IFS, but maybe not so relevant because TM5 doesn't simulate stratospheric ozone</t>
  </si>
  <si>
    <t xml:space="preserve">Geopotential height on the 10hPa surface</t>
  </si>
  <si>
    <t xml:space="preserve">zg100</t>
  </si>
  <si>
    <t xml:space="preserve">longitude latitude time p100</t>
  </si>
  <si>
    <t xml:space="preserve">Geopotential Height at 100hPa</t>
  </si>
  <si>
    <t xml:space="preserve">Maybe available in IFS, but maybe not so relevant.</t>
  </si>
  <si>
    <t xml:space="preserve">Geopotential height on the 100 hPa surface</t>
  </si>
  <si>
    <t xml:space="preserve">Oclim</t>
  </si>
  <si>
    <t xml:space="preserve">difvmbo</t>
  </si>
  <si>
    <t xml:space="preserve">longitude latitude olevel time2</t>
  </si>
  <si>
    <t xml:space="preserve">Ocean Vertical Momentum Diffusivity Due to Background</t>
  </si>
  <si>
    <t xml:space="preserve">Vertical/dianeutral diffusivity applied to momentum due to the background (i.e. caused by a time invariant imposed field which may be either constant over the globe or spatially varying, depending on the ocean model used).</t>
  </si>
  <si>
    <t xml:space="preserve">CMIP,FAFMIP,HighResMIP,LUMIP,RFMIP,VIACSAB</t>
  </si>
  <si>
    <t xml:space="preserve">difvmfdo</t>
  </si>
  <si>
    <t xml:space="preserve">Ocean Vertical Momentum Diffusivity Due to Form Drag</t>
  </si>
  <si>
    <t xml:space="preserve">Vertical/dianeutral diffusivity applied to momentum due to form drag (i.e. resulting from a model scheme representing  mesoscale eddy-induced form drag).</t>
  </si>
  <si>
    <t xml:space="preserve">difvtrbo</t>
  </si>
  <si>
    <t xml:space="preserve">Ocean Vertical Tracer Diffusivity Due to Background</t>
  </si>
  <si>
    <t xml:space="preserve">Vertical/dianeutral diffusivity applied to tracers due to the background (i.e. caused by a time invariant imposed field which may be either constant over the globe or spatially varying, depending on the ocean model used).</t>
  </si>
  <si>
    <t xml:space="preserve">tnpeot</t>
  </si>
  <si>
    <t xml:space="preserve">Tendency of Ocean Potential Energy Content Due to Tides</t>
  </si>
  <si>
    <t xml:space="preserve">'Content' indicates a quantity per unit area.  Potential energy is the sum of the gravitational potential energy relative to the geoid and the centripetal potential energy. (The geopotential is the specific potential energy.)  'Due to tides' means due to all astronomical gravity changes which manifest as tides.  No distinction is made between different tidal components.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</si>
  <si>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tnpeotb</t>
  </si>
  <si>
    <t xml:space="preserve">Tendency of Ocean Potential Energy Content Due to Background</t>
  </si>
  <si>
    <t xml:space="preserve">'Content' indicates a quantity per unit area.  Potential energy is the sum of the gravitational potential energy relative to the geoid and the centripetal potential energy. (The geopotential is the specific potential energy.)  'Due to background' means caused by a time invariant imposed field which may be either constant over the globe or spatially varying, depending on the ocean model used.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</si>
  <si>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Ofx</t>
  </si>
  <si>
    <t xml:space="preserve">ugrido</t>
  </si>
  <si>
    <t xml:space="preserve">UGRID Grid Specification</t>
  </si>
  <si>
    <t xml:space="preserve">NEMO has a structured grid, so we do not need to provide this</t>
  </si>
  <si>
    <t xml:space="preserve">Ony required for models with unstructured grids: this label should be used for a file containing information about the grid structure, following the UGRID convention.</t>
  </si>
  <si>
    <t xml:space="preserve">CMIP</t>
  </si>
  <si>
    <t xml:space="preserve">longitude latitude olevel</t>
  </si>
  <si>
    <t xml:space="preserve">AerChemMIP,C4MIP,CMIP,DCPP,GMMIP,GeoMIP,OMIP,PAMIP,PMIP,VIACSAB</t>
  </si>
  <si>
    <t xml:space="preserve">6hrPlevPt</t>
  </si>
  <si>
    <t xml:space="preserve">wbptemp7h</t>
  </si>
  <si>
    <t xml:space="preserve">longitude latitude plev7h time1</t>
  </si>
  <si>
    <t xml:space="preserve">Wet Bulb Potential Temperature</t>
  </si>
  <si>
    <t xml:space="preserve">Not available in IFS output.</t>
  </si>
  <si>
    <t xml:space="preserve">Wet bulb potential temperature</t>
  </si>
  <si>
    <t xml:space="preserve">Eday</t>
  </si>
  <si>
    <t xml:space="preserve">cldnvi</t>
  </si>
  <si>
    <t xml:space="preserve">Column Integrated Cloud Droplet Number</t>
  </si>
  <si>
    <t xml:space="preserve">m-2</t>
  </si>
  <si>
    <t xml:space="preserve">This variable entered in a very late stage, and is only asked by VIACSAB. Therefore it is ignored. cdnc is available as monthly 3-D field from IFS PEXTRA (at least for AerChemMIP) from which the column integrated variable can be derived.</t>
  </si>
  <si>
    <t xml:space="preserve">Twan, Thomas</t>
  </si>
  <si>
    <t xml:space="preserve">Droplets are liquid only.  Values are weighted by liquid cloud fraction in each layer when vertically integrating, and for monthly means the samples are weighted by total liquid cloud fraction (as seen from TOA).</t>
  </si>
  <si>
    <t xml:space="preserve">clwvic</t>
  </si>
  <si>
    <t xml:space="preserve">Convective Condensed Water Path</t>
  </si>
  <si>
    <t xml:space="preserve">Not available in IFS output, without additional effort.</t>
  </si>
  <si>
    <t xml:space="preserve">calculate mass of convective condensed (liquid + ice) water in the column divided by the area of the column (not just the area of the cloudy portion of the column). This includes precipitating hydrometeors ONLY if the precipitating hydrometeors affect the calculation of radiative transfer in model.</t>
  </si>
  <si>
    <t xml:space="preserve">hursminCrop</t>
  </si>
  <si>
    <t xml:space="preserve">longitude latitude time height2m</t>
  </si>
  <si>
    <t xml:space="preserve">Daily Minimum Near-Surface Relative Humidity over Crop Tile</t>
  </si>
  <si>
    <t xml:space="preserve">Not available, not available in H-TESSEL</t>
  </si>
  <si>
    <t xml:space="preserve">Andrea Alessandri</t>
  </si>
  <si>
    <t xml:space="preserve">The relative humidity with respect to liquid water for T&gt; 0 C, and with respect to ice for T&lt;0 C.</t>
  </si>
  <si>
    <t xml:space="preserve">loadso4</t>
  </si>
  <si>
    <t xml:space="preserve">Load of SO4</t>
  </si>
  <si>
    <t xml:space="preserve">With additional coding in TM5 this variable could be produced by TM5, but because VIACSAB is only part of the joined EC-Earth3-AOGCM request and this configuration does not include TM5, this variable can be ignored. Moreover, mmrso4 is available for AerChemMIP from which loadso4 can be derived by users themselves.</t>
  </si>
  <si>
    <t xml:space="preserve">Tommi, Thomas</t>
  </si>
  <si>
    <t xml:space="preserve">The total dry mass of sulfate aerosol particles per unit area.</t>
  </si>
  <si>
    <t xml:space="preserve">loadss</t>
  </si>
  <si>
    <t xml:space="preserve">Load of Sea-Salt Aerosol</t>
  </si>
  <si>
    <t xml:space="preserve">With additional coding in TM5 this variable could be produced by TM5, but because VIACSAB is only part of the joined EC-Earth3-AOGCM request and this configuration does not include TM5, this variable can be ignored. Moreover, mmrss is available for AerChemMIP from which loadss can be derived by users themselves.</t>
  </si>
  <si>
    <t xml:space="preserve">The total dry mass of sea salt aerosol particles per unit area.</t>
  </si>
  <si>
    <t xml:space="preserve">mrsfl</t>
  </si>
  <si>
    <t xml:space="preserve">longitude latitude sdepth time</t>
  </si>
  <si>
    <t xml:space="preserve">Frozen Water Content of Soil Layer</t>
  </si>
  <si>
    <t xml:space="preserve">Can not be produced by LPJ-GUESS: No frozen fraction</t>
  </si>
  <si>
    <t xml:space="preserve">in each soil layer, the mass of water in ice phase.  Reported as 'missing' for grid cells occupied entirely by 'sea'</t>
  </si>
  <si>
    <t xml:space="preserve">C4MIP</t>
  </si>
  <si>
    <t xml:space="preserve">longitude latitude sza5 time</t>
  </si>
  <si>
    <t xml:space="preserve">DCPP,PAMIP,PMIP</t>
  </si>
  <si>
    <t xml:space="preserve">rsdscsdiff</t>
  </si>
  <si>
    <t xml:space="preserve">Surface Diffuse Downwelling Clear Sky Shortwave Radiation</t>
  </si>
  <si>
    <t xml:space="preserve">Not available in IFS</t>
  </si>
  <si>
    <t xml:space="preserve">Gijs, Thomas</t>
  </si>
  <si>
    <t xml:space="preserve">Surface downwelling solar irradiance from diffuse radiation for UV calculations in clear sky conditions</t>
  </si>
  <si>
    <t xml:space="preserve">tasmaxCrop</t>
  </si>
  <si>
    <t xml:space="preserve">Daily Maximum Near-Surface Air Temperature over Crop Tile</t>
  </si>
  <si>
    <t xml:space="preserve">maximum near-surface (usually, 2 meter) air temperature (add cell_method attribute 'time: max')</t>
  </si>
  <si>
    <t xml:space="preserve">tasminCrop</t>
  </si>
  <si>
    <t xml:space="preserve">Daily Minimum Near-Surface Air Temperature over Crop Tile</t>
  </si>
  <si>
    <t xml:space="preserve">minimum near-surface (usually, 2 meter) air temperature (add cell_method attribute 'time: min')</t>
  </si>
  <si>
    <t xml:space="preserve">tauupbl</t>
  </si>
  <si>
    <t xml:space="preserve">Eastward Surface Stress from Planetary Boundary Layer Scheme</t>
  </si>
  <si>
    <t xml:space="preserve">Ignored because lack of time, see #191: Available in IFS: Eastward turbulent surface stress (grib 128.180) plus the Eastward gravity wave surface stress (grib 128.195).  Check with data request or DynVar people if this is indeed what is asked here.</t>
  </si>
  <si>
    <t xml:space="preserve">The  downward eastward stress associated with the models parameterization of the planetary boundary layer. (This request is related to a WGNE effort to understand how models parameterize the surface stresses.)</t>
  </si>
  <si>
    <t xml:space="preserve">tauvpbl</t>
  </si>
  <si>
    <t xml:space="preserve">Northward Surface Stress from Planetary Boundary Layer Scheme</t>
  </si>
  <si>
    <t xml:space="preserve">Ignored because lack of time, see #191: Available in IFS: Northward turbulent surface stress (grib 128.181) plus the Northward gravity wave surface stress (grib 128.196).  Check with data request or DynVar people if this is indeed what is asked here.</t>
  </si>
  <si>
    <t xml:space="preserve">The  downward northward stress associated with the models parameterization of the planetary boundary layer. (This request is related to a WGNE effort to understand how models parameterize the surface stresses.)</t>
  </si>
  <si>
    <t xml:space="preserve">AERmonZ</t>
  </si>
  <si>
    <t xml:space="preserve">bry</t>
  </si>
  <si>
    <t xml:space="preserve">Total Inorganic Bromine Volume Mixing Ratio</t>
  </si>
  <si>
    <t xml:space="preserve">Total family (the sum of all appropriate species in the model) ; list the species in the netCDF header, e.g. Bry = Br + BrO + HOBr + HBr + BrONO2 + BrCl Definition: Total inorganic bromine (e.g., HBr and inorganic bromine oxides and radicals (e.g., BrO, atomic bromine (Br), bromine nitrate (BrONO2)) resulting from degradation of bromine-containing organic source gases (halons, methyl bromide, VSLS), and natural inorganic bromine sources (e.g., volcanoes, sea salt, and other aerosols) add comment attribute with detailed description about how the model calculates these fields</t>
  </si>
  <si>
    <t xml:space="preserve">cly</t>
  </si>
  <si>
    <t xml:space="preserve">Total Inorganic Chlorine Volume Mixing Ratio</t>
  </si>
  <si>
    <t xml:space="preserve">Total family (the sum of all appropriate species in the model) ; list the species in the netCDF header, e.g. Cly = HCl + ClONO2 + HOCl + ClO + Cl + 2*Cl2O2 +2Cl2 + OClO + BrCl Definition: Total inorganic stratospheric chlorine (e.g., HCl, ClO) resulting from degradation of chlorine-containing source gases (CFCs, HCFCs, VSLS), and natural inorganic chlorine sources (e.g., sea salt and other aerosols) add comment attribute with detailed description about how the model calculates these fields</t>
  </si>
  <si>
    <t xml:space="preserve">meanage</t>
  </si>
  <si>
    <t xml:space="preserve">Mean Age of Stratospheric Air</t>
  </si>
  <si>
    <t xml:space="preserve">The mean age of air is defined as the mean time that a stratospheric air mass has been out of contact with the well-mixed troposphere.</t>
  </si>
  <si>
    <t xml:space="preserve">AerChemMIP,DynVarMIP,VolMIP</t>
  </si>
  <si>
    <t xml:space="preserve">vt100</t>
  </si>
  <si>
    <t xml:space="preserve">latitude time p100</t>
  </si>
  <si>
    <t xml:space="preserve">Northward Eddy Temperature Flux</t>
  </si>
  <si>
    <t xml:space="preserve">K m s-1</t>
  </si>
  <si>
    <t xml:space="preserve">Zonally averaged eddy temperature flux at 100hPa as monthly means derived from daily (or higher frequency) fields.</t>
  </si>
  <si>
    <t xml:space="preserve">CF3hr</t>
  </si>
  <si>
    <t xml:space="preserve">E3hr</t>
  </si>
  <si>
    <t xml:space="preserve">prcsh</t>
  </si>
  <si>
    <t xml:space="preserve">Precipitation Flux from Shallow Convection</t>
  </si>
  <si>
    <t xml:space="preserve">Not available in IFS output</t>
  </si>
  <si>
    <t xml:space="preserve">Convection precipitation from shallow convection</t>
  </si>
  <si>
    <t xml:space="preserve">prrc</t>
  </si>
  <si>
    <t xml:space="preserve">Convective Rainfall Rate</t>
  </si>
  <si>
    <t xml:space="preserve">In #444 it is decided to ignore this variable. Availlable in IFS: Precip. flux from convection liquid grib 128.107, this is a 3D field so the surface field has to be extracted from this. So only level 91 needs to be outputted.</t>
  </si>
  <si>
    <t xml:space="preserve">Emon</t>
  </si>
  <si>
    <t xml:space="preserve">c13Land</t>
  </si>
  <si>
    <t xml:space="preserve">Mass of 13C in All Terrestrial Carbon Pools</t>
  </si>
  <si>
    <t xml:space="preserve">Can not be produced by LPJ-GUESS: No isotopes</t>
  </si>
  <si>
    <t xml:space="preserve">Carbon-13 mass content per unit area in vegetation (any living plants e.g. trees, shrubs, grass), litter (dead plant material in or above the soil), soil, and forestry and agricultural products (e.g. paper, cardboard, furniture, timber for construction, biofuels and food for both humans and livestock).</t>
  </si>
  <si>
    <t xml:space="preserve">C4MIP,LUMIP,PMIP</t>
  </si>
  <si>
    <t xml:space="preserve">c13Litter</t>
  </si>
  <si>
    <t xml:space="preserve">Mass of 13C in Litter Pool</t>
  </si>
  <si>
    <t xml:space="preserve">Carbon-13 mass content per unit area litter (dead plant material in or above the soil).</t>
  </si>
  <si>
    <t xml:space="preserve">c13Soil</t>
  </si>
  <si>
    <t xml:space="preserve">Mass of 13C in Soil Pool</t>
  </si>
  <si>
    <t xml:space="preserve">Carbon-13 mass content per unit area in soil.</t>
  </si>
  <si>
    <t xml:space="preserve">c13Veg</t>
  </si>
  <si>
    <t xml:space="preserve">Mass of 13C in Vegetation</t>
  </si>
  <si>
    <t xml:space="preserve">Carbon-13 mass content per unit area in vegetation (any living plants e.g. trees, shrubs, grass).</t>
  </si>
  <si>
    <t xml:space="preserve">c14Land</t>
  </si>
  <si>
    <t xml:space="preserve">Mass of 14C in All Terrestrial Carbon Pools</t>
  </si>
  <si>
    <t xml:space="preserve">Carbon-14 mass content per unit area in vegetation (any living plants e.g. trees, shrubs, grass), litter (dead plant material in or above the soil), soil, and forestry and agricultural products (e.g. paper, cardboard, furniture, timber for construction, biofuels and food for both humans and livestock).</t>
  </si>
  <si>
    <t xml:space="preserve">c14Litter</t>
  </si>
  <si>
    <t xml:space="preserve">Mass of 14C in Litter Pool</t>
  </si>
  <si>
    <t xml:space="preserve">Carbon-14 mass content per unit area litter (dead plant material in or above the soil).</t>
  </si>
  <si>
    <t xml:space="preserve">c14Soil</t>
  </si>
  <si>
    <t xml:space="preserve">Mass of 14C in Soil Pool</t>
  </si>
  <si>
    <t xml:space="preserve">Carbon-14 mass content per unit area in soil.</t>
  </si>
  <si>
    <t xml:space="preserve">c14Veg</t>
  </si>
  <si>
    <t xml:space="preserve">Mass of 14C in Vegetation</t>
  </si>
  <si>
    <t xml:space="preserve">Carbon-14 mass content per unit area in vegetation (any living plants e.g. trees, shrubs, grass).</t>
  </si>
  <si>
    <t xml:space="preserve">cLitterGrass</t>
  </si>
  <si>
    <t xml:space="preserve">Carbon Mass in Litter on Grass Tiles</t>
  </si>
  <si>
    <t xml:space="preserve">Can not be produced by LPJ-GUESS: Don't seperate natural vegetation in vegetation type tiles</t>
  </si>
  <si>
    <t xml:space="preserve">'Litter' is dead plant material in or above the soil. It is distinct from coarse wood debris. The precise distinction between 'fine' and 'coarse' is model dependent. 'Content' indicates a quantity per unit area. The sum of the quantities with standard names surface_litter_mass_content_of_carbon and subsurface_litter_mass_content_of_carbon has the standard name litter_mass_content_of_carbon.</t>
  </si>
  <si>
    <t xml:space="preserve">C4MIP,LUMIP</t>
  </si>
  <si>
    <t xml:space="preserve">cLitterShrub</t>
  </si>
  <si>
    <t xml:space="preserve">Carbon Mass in Litter on Shrub Tiles</t>
  </si>
  <si>
    <t xml:space="preserve">cLitterTree</t>
  </si>
  <si>
    <t xml:space="preserve">Carbon Mass in Litter on Tree Tiles</t>
  </si>
  <si>
    <t xml:space="preserve">cMisc</t>
  </si>
  <si>
    <t xml:space="preserve">Carbon Mass in Other Living Compartments on Land</t>
  </si>
  <si>
    <t xml:space="preserve">Can not be produced by LPJ-GUESS: Don't have this in LPJ-GUESS</t>
  </si>
  <si>
    <t xml:space="preserve">e.g., labile, fruits, reserves, etc.</t>
  </si>
  <si>
    <t xml:space="preserve">AerChemMIP,CMIP,FAFMIP,GMMIP,GeoMIP,HighResMIP,LS3MIP,RFMIP,VIACSAB,VolMIP</t>
  </si>
  <si>
    <t xml:space="preserve">cSoilAbove1m</t>
  </si>
  <si>
    <t xml:space="preserve">longitude latitude time sdepth10</t>
  </si>
  <si>
    <t xml:space="preserve">Carbon Mass in Soil Pool Above 1m Depth</t>
  </si>
  <si>
    <t xml:space="preserve">Can not be produced by LPJ-GUESS: Only have total soil C, no layers</t>
  </si>
  <si>
    <t xml:space="preserve">Report missing data over ocean grid cells. For fractional land report value averaged over the land fraction.</t>
  </si>
  <si>
    <t xml:space="preserve">cSoilGrass</t>
  </si>
  <si>
    <t xml:space="preserve">Carbon Mass in Soil on Grass Tiles</t>
  </si>
  <si>
    <t xml:space="preserve">'Content' indicates a quantity per unit area. The 'soil content' of a quantity refers to the vertical integral from the surface down to the bottom of the soil model. For the content between specified levels in the soil, standard names including content_of_soil_layer are used.</t>
  </si>
  <si>
    <t xml:space="preserve">cSoilLevels</t>
  </si>
  <si>
    <t xml:space="preserve">Carbon Mass in Each Model Soil Level (Summed over All Soil Carbon Pools in That Level)</t>
  </si>
  <si>
    <t xml:space="preserve">for models with vertically discretised soil carbon, report total soil carbon for each level</t>
  </si>
  <si>
    <t xml:space="preserve">cSoilPools</t>
  </si>
  <si>
    <t xml:space="preserve">longitude latitude soilpools time</t>
  </si>
  <si>
    <t xml:space="preserve">Carbon Mass in Each Model Soil Pool (Summed over Vertical Levels)</t>
  </si>
  <si>
    <t xml:space="preserve">Can not be produced by LPJ-GUESS: Too much work</t>
  </si>
  <si>
    <t xml:space="preserve">For models with multiple soil carbon pools, report each pool here. If models also have vertical discretisation these should be aggregated</t>
  </si>
  <si>
    <t xml:space="preserve">cSoilShrub</t>
  </si>
  <si>
    <t xml:space="preserve">Carbon Mass in Soil on Shrub Tiles</t>
  </si>
  <si>
    <t xml:space="preserve">cSoilTree</t>
  </si>
  <si>
    <t xml:space="preserve">Carbon Mass in Soil on Tree Tiles</t>
  </si>
  <si>
    <t xml:space="preserve">cVegGrass</t>
  </si>
  <si>
    <t xml:space="preserve">Carbon Mass in Vegetation on Grass Tiles</t>
  </si>
  <si>
    <t xml:space="preserve">'Content' indicates a quantity per unit area. 'Vegetation' means any plants e.g. trees, shrubs, grass. Plants are autotrophs i.e. 'producers' of biomass using carbon obtained from carbon dioxide.</t>
  </si>
  <si>
    <t xml:space="preserve">cVegShrub</t>
  </si>
  <si>
    <t xml:space="preserve">Carbon Mass in Vegetation on Shrub Tiles</t>
  </si>
  <si>
    <t xml:space="preserve">cVegTree</t>
  </si>
  <si>
    <t xml:space="preserve">Carbon Mass in Vegetation on Tree Tiles</t>
  </si>
  <si>
    <t xml:space="preserve">cldncl</t>
  </si>
  <si>
    <t xml:space="preserve">Cloud Droplet Number Concentration of Cloud Tops</t>
  </si>
  <si>
    <t xml:space="preserve">This variable entered in a very late stage, and is only asked by VIACSAB. Therefore it is ignored. It potentially could be produced by a processing of some already implemented IFS - PEXTRA variables.</t>
  </si>
  <si>
    <t xml:space="preserve">Droplets are liquid only.  Report concentration 'as seen from space' over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</si>
  <si>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 xml:space="preserve">GeoMIP,VIACSAB</t>
  </si>
  <si>
    <t xml:space="preserve">co23D</t>
  </si>
  <si>
    <t xml:space="preserve">3D-Field of Transported CO2</t>
  </si>
  <si>
    <t xml:space="preserve">kg kg-1</t>
  </si>
  <si>
    <t xml:space="preserve">report 3D field of model simulated atmospheric CO2 mass mixing ration on model levels</t>
  </si>
  <si>
    <t xml:space="preserve">conccn</t>
  </si>
  <si>
    <t xml:space="preserve">Aerosol Number Concentration</t>
  </si>
  <si>
    <t xml:space="preserve">Not available. Possible  in TM5, though only asked by VIACSAB which is not a TM5 project.</t>
  </si>
  <si>
    <t xml:space="preserve">'Number concentration' means the number of particles or other specified objects per unit volume.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t>
  </si>
  <si>
    <t xml:space="preserve">diabdrag</t>
  </si>
  <si>
    <t xml:space="preserve">Tendency of Eastward Wind from Numerical Artefacts</t>
  </si>
  <si>
    <t xml:space="preserve">Other sub-grid scale/numerical zonal drag excluding that already provided for the parameterized orographic and non-orographic gravity waves. This would be used to calculate the total 'diabatic drag'. Contributions to this additional drag such Rayleigh friction and diffusion that can be calculated from the monthly mean wind fields should not be included, but details (e.g. coefficients) of the friction and/or diffusion used in the model should be provided separately.</t>
  </si>
  <si>
    <t xml:space="preserve">dissi14c</t>
  </si>
  <si>
    <t xml:space="preserve">Dissolved Inorganic Carbon-14 Concentration</t>
  </si>
  <si>
    <t xml:space="preserve">Dissolved inorganic carbon-14 (CO3+HCO3+H2CO3) concentration</t>
  </si>
  <si>
    <t xml:space="preserve">fHarvestToProduct</t>
  </si>
  <si>
    <t xml:space="preserve">Harvested Biomass That Goes into Product Pool</t>
  </si>
  <si>
    <t xml:space="preserve">Not available in LPJ-GUESS, see ec-earth issue 633-21 and ece2cmor3 issue 446</t>
  </si>
  <si>
    <t xml:space="preserve">David Warlind, Lars, Thomas</t>
  </si>
  <si>
    <t xml:space="preserve">be it food or wood harvest, any carbon that is subsequently stored is reported here</t>
  </si>
  <si>
    <t xml:space="preserve">fN2O</t>
  </si>
  <si>
    <t xml:space="preserve">Total Land N2O Flux</t>
  </si>
  <si>
    <t xml:space="preserve">Can not be produced by LPJ-GUESS: Not in this version</t>
  </si>
  <si>
    <t xml:space="preserve">Surface upward flux of nitrous oxide (N2O) from vegetation (any living plants e.g. trees, shrubs, grass), litter (dead plant material in or above the soil), soil.</t>
  </si>
  <si>
    <t xml:space="preserve">fNOx</t>
  </si>
  <si>
    <t xml:space="preserve">Total Land NOx Flux</t>
  </si>
  <si>
    <t xml:space="preserve">The surface called 'surface' means the lower boundary of the atmosphere. 'Upward' indicates a vector component which is positive when directed upward (negative downward). In accordance with common usage in geophysical disciplines, 'flux' implies per unit area, called 'flux density' in physics. The phrase 'expressed_as' is used in the construction A_expressed_as_B, where B is a chemical constituent of A. It means that the quantity indicated by the standard name is calculated solely with respect to the B contained in A, neglecting all other chemical constituents of A. 'Nox' means a combination of two radical species containing nitrogen and oxygen NO+NO2. 'Vegetation' means any living plants e.g. trees, shrubs, grass. 'Litter' is dead plant material in or above the soil.</t>
  </si>
  <si>
    <t xml:space="preserve">fNVegSoil</t>
  </si>
  <si>
    <t xml:space="preserve">Total Nitrogen Mass Flux from Vegetation Directly to Soil</t>
  </si>
  <si>
    <t xml:space="preserve">Can not be produced by LPJ-GUESS: No process that goes directly from veg to soil</t>
  </si>
  <si>
    <t xml:space="preserve">In some models part of nitrogen (e.g., root exudate) can go directly into the soil pool without entering litter.</t>
  </si>
  <si>
    <t xml:space="preserve">fVegLitterMortality</t>
  </si>
  <si>
    <t xml:space="preserve">Total Carbon Mass Flux from Vegetation to Litter as a Result of Mortality</t>
  </si>
  <si>
    <t xml:space="preserve">needed to separate changing vegetation C turnover times resulting from changing allocation versus changing mortality</t>
  </si>
  <si>
    <t xml:space="preserve">fVegLitterSenescence</t>
  </si>
  <si>
    <t xml:space="preserve">Total Carbon Mass Flux from Vegetation to Litter as a Result of Leaf, Branch, and Root Senescence</t>
  </si>
  <si>
    <t xml:space="preserve">fVegSoilMortality</t>
  </si>
  <si>
    <t xml:space="preserve">Total Carbon Mass Flux from Vegetation to Soil as a Result of Mortality</t>
  </si>
  <si>
    <t xml:space="preserve">fVegSoilSenescence</t>
  </si>
  <si>
    <t xml:space="preserve">Total Carbon Mass Flux from Vegetation to Soil as a Result of Leaf, Branch, and Root Senescence</t>
  </si>
  <si>
    <t xml:space="preserve">fahLut</t>
  </si>
  <si>
    <t xml:space="preserve">longitude latitude landUse time</t>
  </si>
  <si>
    <t xml:space="preserve">Anthropogenic Heat Flux Generated from non-Renewable Human Primary Energy Consumption</t>
  </si>
  <si>
    <t xml:space="preserve">Can not be produced by either LPJ-GUESS or H-TESSEL.</t>
  </si>
  <si>
    <t xml:space="preserve">David Warlind &amp; Andrea Alessandri</t>
  </si>
  <si>
    <t xml:space="preserve">Anthropogenic heat flux generated from non-renewable human primary energy consumption, including energy use by vehicles, commercial and residential buildings, industry, and power plants.  Primary energy refers to energy in natural resources, fossil and nonfossil, before conversion into other forms, such as electricity.</t>
  </si>
  <si>
    <t xml:space="preserve">LUMIP</t>
  </si>
  <si>
    <t xml:space="preserve">fg14co2</t>
  </si>
  <si>
    <t xml:space="preserve">Surface Downward Mass Flux of Carbon-14 as 14CO2 [kgC m-2 s-1]</t>
  </si>
  <si>
    <t xml:space="preserve">Gas exchange flux of carbon-14 as CO2 (positive into ocean)</t>
  </si>
  <si>
    <t xml:space="preserve">gppShrub</t>
  </si>
  <si>
    <t xml:space="preserve">Gross Primary Production on Shrub Tiles as Carbon Mass Flux [kgC m-2 s-1]</t>
  </si>
  <si>
    <t xml:space="preserve">Can not be produced by LPJ-GUESS: No shrubs in this version</t>
  </si>
  <si>
    <t xml:space="preserve">Total GPP of shrubs in the grid cell</t>
  </si>
  <si>
    <t xml:space="preserve">gppc13</t>
  </si>
  <si>
    <t xml:space="preserve">Carbon-13 Mass Flux out of Atmosphere Due to Gross Primary Production on Land [kgC m-2 s-1]</t>
  </si>
  <si>
    <t xml:space="preserve">The rate of synthesis of carbon-13 in biomass from inorganic precursors by autotrophs ('producers') expressed as the mass of carbon which it contains. For example, photosynthesis in plants or phytoplankton. The producers also respire some of this biomass and the difference is referred to as the net primary production. </t>
  </si>
  <si>
    <t xml:space="preserve">gppc14</t>
  </si>
  <si>
    <t xml:space="preserve">Carbon-14 Mass Flux out of Atmosphere Due to Gross Primary Production on Land [kgC m-2 s-1]</t>
  </si>
  <si>
    <t xml:space="preserve">The rate of synthesis of carbon-14 in biomass from inorganic precursors by autotrophs ('producers') expressed as the mass of carbon which it contains. For example, photosynthesis in plants or phytoplankton. The producers also respire some of this biomass and the difference is referred to as the net primary production. </t>
  </si>
  <si>
    <t xml:space="preserve">hflsLut</t>
  </si>
  <si>
    <t xml:space="preserve">Latent Heat Flux on Land-Use Tile</t>
  </si>
  <si>
    <t xml:space="preserve">The surface called 'surface' means the lower boundary of the atmosphere. 'Upward' indicates a vector component which is positive when directed upward (negative downward). The surface latent heat flux is the exchange of heat between the surface and the air on account of evaporation (including sublimation). In accordance with common usage in geophysical disciplines, 'flux' implies per unit area, called 'flux density' in physics.</t>
  </si>
  <si>
    <t xml:space="preserve">hfssLut</t>
  </si>
  <si>
    <t xml:space="preserve">Sensible Heat Flux on Land-Use Tile</t>
  </si>
  <si>
    <t xml:space="preserve">Upward sensible heat flux on land use tiles. The surface sensible heat flux, also called turbulent heat flux, is the exchange of heat between the surface and the air by motion of air.</t>
  </si>
  <si>
    <t xml:space="preserve">hussLut</t>
  </si>
  <si>
    <t xml:space="preserve">longitude latitude landUse time height2m</t>
  </si>
  <si>
    <t xml:space="preserve">Near-Surface Specific Humidity on Land-Use Tile</t>
  </si>
  <si>
    <t xml:space="preserve">Normally, the specific humidity should be reported at the 2 meter height</t>
  </si>
  <si>
    <t xml:space="preserve">lwsrfasdust</t>
  </si>
  <si>
    <t xml:space="preserve">All-Sky Surface Longwave Radiative Flux Due to Dust</t>
  </si>
  <si>
    <t xml:space="preserve">Not available in IFS or TM5</t>
  </si>
  <si>
    <t xml:space="preserve">The direct radiative effect refers to the instantaneous radiative impact on the Earth's energy balance, excluding secondary effects such as changes in cloud cover.</t>
  </si>
  <si>
    <t xml:space="preserve">PMIP</t>
  </si>
  <si>
    <t xml:space="preserve">lwsrfcsdust</t>
  </si>
  <si>
    <t xml:space="preserve">Clear-Sky Surface Longwave Radiative Flux Due to Dust</t>
  </si>
  <si>
    <t xml:space="preserve">The direct radiative effect refers to the instantaneous radiative impact on the Earth's energy balance, excluding secondary effects such as changes in cloud cover. Calculating in clear-sky conditions.</t>
  </si>
  <si>
    <t xml:space="preserve">lwtoaasdust</t>
  </si>
  <si>
    <t xml:space="preserve">TOA All-Sky Longwave Radiative Forcing Due to Dust</t>
  </si>
  <si>
    <t xml:space="preserve">Instantaneous forcing is the radiative flux change caused instantaneously by an imposed change in radiative forcing agent (greenhouse gases, aerosol, solar radiation, etc.).</t>
  </si>
  <si>
    <t xml:space="preserve">lwtoacsaer</t>
  </si>
  <si>
    <t xml:space="preserve">TOA Clear-Sky Longwave Radiative Forcing Due to Aerosols</t>
  </si>
  <si>
    <t xml:space="preserve">lwtoacsdust</t>
  </si>
  <si>
    <t xml:space="preserve">TOA Clear-Sky Longwave Radiative Forcing Due to Dust</t>
  </si>
  <si>
    <t xml:space="preserve">mrlso</t>
  </si>
  <si>
    <t xml:space="preserve">Soil Liquid Water Content</t>
  </si>
  <si>
    <t xml:space="preserve">The mass (summed over all all layers) of liquid water.</t>
  </si>
  <si>
    <t xml:space="preserve">mrtws</t>
  </si>
  <si>
    <t xml:space="preserve">Terrestrial Water Storage</t>
  </si>
  <si>
    <t xml:space="preserve">not available, no time to implement </t>
  </si>
  <si>
    <t xml:space="preserve">Emanuel Dutra</t>
  </si>
  <si>
    <t xml:space="preserve">Mass of water in all phases and in all components including soil, canopy, vegetation, ice sheets, rivers and ground water.</t>
  </si>
  <si>
    <t xml:space="preserve">netAtmosLandC13Flux</t>
  </si>
  <si>
    <t xml:space="preserve">Net Mass Flux of 13C Between Atmosphere and Land (Positive into Land) as a Result of All Processes [kgC m-2 s-1]</t>
  </si>
  <si>
    <t xml:space="preserve">Flux of carbon 31as carbon dioxide into the land. This flux should be reproducible by differencing the sum of all carbon pools (cVeg, cLitter, cSoil, and cProducts or equivalently cLand) from one time step to the next, except in the case of lateral transfer of carbon due to harvest, riverine transport of dissolved organic and/or inorganic carbon, or any other process (in which case the lateral_carbon_transfer_over_land term, see below, will be zero data).-</t>
  </si>
  <si>
    <t xml:space="preserve">netAtmosLandC14Flux</t>
  </si>
  <si>
    <t xml:space="preserve">Net Mass Flux of 14C Between Atmosphere and Land (Positive into Land) as a Result of All Processes [kgC m-2 s-1]</t>
  </si>
  <si>
    <t xml:space="preserve">Flux of carbon-14 as carbon dioxide into the land. This flux should be reproducible by differencing the sum of all carbon pools (cVeg, cLitter, cSoil, and cProducts or equivalently cLand) from one time step to the next, except in the case of lateral transfer of carbon due to harvest, riverine transport of dissolved organic and/or inorganic carbon, or any other process (in which case the lateral_carbon_transfer_over_land term, see below, will be zero data).</t>
  </si>
  <si>
    <t xml:space="preserve">nppOther</t>
  </si>
  <si>
    <t xml:space="preserve">Net Primary Production Allocated to Other Pools (not Leaves Stem or Roots) as Carbon Mass Flux [kgC m-2 s-1]</t>
  </si>
  <si>
    <t xml:space="preserve">Can not be produced by LPJ-GUESS: Not possible</t>
  </si>
  <si>
    <t xml:space="preserve">added for completeness with npp_root</t>
  </si>
  <si>
    <t xml:space="preserve">nppShrub</t>
  </si>
  <si>
    <t xml:space="preserve">Net Primary Production on Shrub Tiles as Carbon Mass Flux [kgC m-2 s-1]</t>
  </si>
  <si>
    <t xml:space="preserve">Total NPP of shrubs in the grid cell</t>
  </si>
  <si>
    <t xml:space="preserve">nppStem</t>
  </si>
  <si>
    <t xml:space="preserve">Net Primary Production Allocated to Stem as Carbon Mass Flux [kgC m-2 s-1]</t>
  </si>
  <si>
    <t xml:space="preserve">od443dust</t>
  </si>
  <si>
    <t xml:space="preserve">Optical Thickness at 443nm Dust</t>
  </si>
  <si>
    <t xml:space="preserve">Not available in TM5. Although it would be possible at a very near frequency.</t>
  </si>
  <si>
    <t xml:space="preserve">Total aerosol AOD due to dust aerosol at a wavelength of 443 nanometres.</t>
  </si>
  <si>
    <t xml:space="preserve">od550so4so</t>
  </si>
  <si>
    <t xml:space="preserve">Stratospheric Optical Depth at 550nm (Sulphate Only) 2D-Field (Stratosphere Only)</t>
  </si>
  <si>
    <t xml:space="preserve">Not available.</t>
  </si>
  <si>
    <t xml:space="preserve">Stratospheric aerosol AOD due to sulfate aerosol at a wavelength of 550 nanometres.</t>
  </si>
  <si>
    <t xml:space="preserve">od865dust</t>
  </si>
  <si>
    <t xml:space="preserve">Dust Optical Depth at 865nm</t>
  </si>
  <si>
    <t xml:space="preserve">Total aerosol AOD due to dust aerosol at a wavelength of 865 nanometres.</t>
  </si>
  <si>
    <t xml:space="preserve">pr17O</t>
  </si>
  <si>
    <t xml:space="preserve">Precipitation Flux of Water Containing Oxygen-17 (H2 17O)</t>
  </si>
  <si>
    <t xml:space="preserve">Precipitation mass flux of water molecules that contain the oxygen-17 isotope (H2 17O), including solid and liquid phases.</t>
  </si>
  <si>
    <t xml:space="preserve">pr18O</t>
  </si>
  <si>
    <t xml:space="preserve">Precipitation Flux of Water Containing Oxygen-18 (H2 18O)</t>
  </si>
  <si>
    <t xml:space="preserve">Precipitation mass flux of water molecules that contain the oxygen-18 isotope (H2 18O), including solid and liquid phases.</t>
  </si>
  <si>
    <t xml:space="preserve">pr2h</t>
  </si>
  <si>
    <t xml:space="preserve">Precipitation Flux of Water Containing Deuterium (1H 2H O)</t>
  </si>
  <si>
    <t xml:space="preserve">Precipitation mass flux of water molecules that contain one atom of the hydrogen-2 isotope (1H 2H O), including solid and liquid phases.</t>
  </si>
  <si>
    <t xml:space="preserve">prsn17O</t>
  </si>
  <si>
    <t xml:space="preserve">Precipitation Flux of Snow and Ice Containing Oxygen-17 (H2 17O)</t>
  </si>
  <si>
    <t xml:space="preserve">Precipitation mass flux of water molecules that contain the oxygen-17 isotope (H2 17O), including solid phase only.</t>
  </si>
  <si>
    <t xml:space="preserve">prsn18O</t>
  </si>
  <si>
    <t xml:space="preserve">Precipitation Flux of Snow and Ice Containing Oxygen-18 (H2 18O)</t>
  </si>
  <si>
    <t xml:space="preserve">Precipitation mass flux of water molecules that contain the oxygen-18 isotope (H2 18O), including solid phase only.</t>
  </si>
  <si>
    <t xml:space="preserve">prsn2h</t>
  </si>
  <si>
    <t xml:space="preserve">Precipitation Flux of Snow and Ice Containing Deuterium (1H 2H O)</t>
  </si>
  <si>
    <t xml:space="preserve">Precipitation mass flux of water molecules that contain one atom of the hydrogen-2 isotope (1H 2H O), including solid phase only.</t>
  </si>
  <si>
    <t xml:space="preserve">prw17O</t>
  </si>
  <si>
    <t xml:space="preserve">Mass of Water Vapor Containing Oxygen-17 (H2 17O) in Layer</t>
  </si>
  <si>
    <t xml:space="preserve">Water vapor path for water molecules that contain oxygen-17 (H2 17O)</t>
  </si>
  <si>
    <t xml:space="preserve">prw18O</t>
  </si>
  <si>
    <t xml:space="preserve">Mass of Water Vapor Containing Oxygen-18 (H2 18O) in Layer</t>
  </si>
  <si>
    <t xml:space="preserve">Water vapor path for water molecules that contain oxygen-18 (H2 18O)</t>
  </si>
  <si>
    <t xml:space="preserve">prw2H</t>
  </si>
  <si>
    <t xml:space="preserve">Mass of Water Containing Deuterium (1H 2H O) in Layer</t>
  </si>
  <si>
    <t xml:space="preserve">Water vapor path for water molecules that contain one atom of the hydrogen-2 isotope (1H 2H O)</t>
  </si>
  <si>
    <t xml:space="preserve">raShrub</t>
  </si>
  <si>
    <t xml:space="preserve">Autotrophic Respiration on Shrub Tiles as Carbon Mass Flux [kgC m-2 s-1]</t>
  </si>
  <si>
    <t xml:space="preserve">Total RA of shrubs in the grid cell</t>
  </si>
  <si>
    <t xml:space="preserve">rac13</t>
  </si>
  <si>
    <t xml:space="preserve">Carbon-13 Mass Flux into Atmosphere Due to Autotrophic (Plant) Respiration on Land [kgC m-2 s-1]</t>
  </si>
  <si>
    <t xml:space="preserve">Flux of carbon-13 into the atmosphere due to plant respiration. Plant respiration is the sum of respiration by parts of plants both above and below the soil. It is assumed that all the respired carbon dioxide is emitted to the atmosphere. </t>
  </si>
  <si>
    <t xml:space="preserve">rac14</t>
  </si>
  <si>
    <t xml:space="preserve">Carbon-14 Mass Flux into Atmosphere Due to Autotrophic (Plant) Respiration on Land [kgC m-2 s-1]</t>
  </si>
  <si>
    <t xml:space="preserve">Flux of carbon-14 into the atmosphere due to plant respiration. Plant respiration is the sum of respiration by parts of plants both above and below the soil. It is assumed that all the respired carbon dioxide is emitted to the atmosphere. </t>
  </si>
  <si>
    <t xml:space="preserve">rhGrass</t>
  </si>
  <si>
    <t xml:space="preserve">Heterotrophic Respiration on Grass Tiles as Carbon Mass Flux [kgC m-2 s-1]</t>
  </si>
  <si>
    <t xml:space="preserve">Can not be produced by LPJ-GUESS: Can't seperate rh between vegetation types as they compete for the same space</t>
  </si>
  <si>
    <t xml:space="preserve">Total RH of grass in the grid cell</t>
  </si>
  <si>
    <t xml:space="preserve">rhShrub</t>
  </si>
  <si>
    <t xml:space="preserve">Heterotrophic Respiration on Shrub Tiles as Carbon Mass Flux [kgC m-2 s-1]</t>
  </si>
  <si>
    <t xml:space="preserve">Total RH of shrubs in the grid cell</t>
  </si>
  <si>
    <t xml:space="preserve">rhTree</t>
  </si>
  <si>
    <t xml:space="preserve">Heterotrophic Respiration on Tree Tiles as Carbon Mass Flux [kgC m-2 s-1]</t>
  </si>
  <si>
    <t xml:space="preserve">Total RH of trees in the grid cell</t>
  </si>
  <si>
    <t xml:space="preserve">rhc13</t>
  </si>
  <si>
    <t xml:space="preserve">Carbon-13 Mass Flux into Atmosphere Due to Heterotrophic Respiration on Land [kgC m-2 s-1]</t>
  </si>
  <si>
    <t xml:space="preserve">Heterotrophic respiration is respiration by heterotrophs ('consumers'), which are organisms (including animals and decomposers) that consume other organisms or dead organic material, rather than synthesising organic material from inorganic precursors using energy from the environment (especially sunlight) as autotrophs ('producers') do. Heterotrophic respiration goes on within both the soil and litter pools.</t>
  </si>
  <si>
    <t xml:space="preserve">rhc14</t>
  </si>
  <si>
    <t xml:space="preserve">Carbon-14 Mass Flux into Atmosphere Due to Heterotrophic Respiration on Land [kgC m-2 s-1]</t>
  </si>
  <si>
    <t xml:space="preserve">rlusLut</t>
  </si>
  <si>
    <t xml:space="preserve">Surface Upwelling Longwave on Land-Use Tile</t>
  </si>
  <si>
    <t xml:space="preserve">The surface called 'surface' means the lower boundary of the atmosphere. 'longwave' means longwave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</si>
  <si>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rsusLut</t>
  </si>
  <si>
    <t xml:space="preserve">Surface Upwelling Shortwave on Land-Use Tile</t>
  </si>
  <si>
    <t xml:space="preserve">The surface called 'surface' means the lower boundary of the atmosphere. 'shortwave' means shortwave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</si>
  <si>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sconcss</t>
  </si>
  <si>
    <t xml:space="preserve">Surface Concentration of Sea-Salt Aerosol</t>
  </si>
  <si>
    <t xml:space="preserve">mass concentration of sea-salt dry aerosol in air in model lowest layer</t>
  </si>
  <si>
    <t xml:space="preserve">sw17O</t>
  </si>
  <si>
    <t xml:space="preserve">Isotopic Ratio of Oxygen-17 in Sea Water</t>
  </si>
  <si>
    <t xml:space="preserve">Not available in NEMO. According to the ping_ocean_DR1.00.27.xml file sw18O has a dummy status; confusingly the description of sw18O refers to 17O isotopes. But neither is available according to a search in the ping files.</t>
  </si>
  <si>
    <t xml:space="preserve">Ratio of abundance of oxygen-17 (17O) atoms to oxygen-16 (16O) atoms in sea water</t>
  </si>
  <si>
    <t xml:space="preserve">sw18O</t>
  </si>
  <si>
    <t xml:space="preserve">Isotopic Ratio of Oxygen-18 in Sea Water</t>
  </si>
  <si>
    <t xml:space="preserve">Ratio of abundance of oxygen-18 (18O) atoms to oxygen-16 (16O) atoms in sea water</t>
  </si>
  <si>
    <t xml:space="preserve">sw2H</t>
  </si>
  <si>
    <t xml:space="preserve">Isotopic Ratio of Deuterium in Sea Water</t>
  </si>
  <si>
    <t xml:space="preserve">Ratio of abundance of hydrogen-2 (2H) atoms to hydrogen-1 (1H) atoms in sea water</t>
  </si>
  <si>
    <t xml:space="preserve">sweLut</t>
  </si>
  <si>
    <t xml:space="preserve">Snow Water Equivalent on Land-Use Tile</t>
  </si>
  <si>
    <t xml:space="preserve">The surface called 'surface' means the lower boundary of the atmosphere. 'lwe' means liquid water equivalent. 'Amount' means mass per unit area. The construction lwe_thickness_of_X_amount or _content means the vertical extent of a layer of liquid water having the same mass per unit area. Surface amount refers to the amount on the ground, excluding that on the plant or vegetation canopy.</t>
  </si>
  <si>
    <t xml:space="preserve">swsrfasdust</t>
  </si>
  <si>
    <t xml:space="preserve">All-Sky Surface Shortwave Radiative Flux Due to Dust</t>
  </si>
  <si>
    <t xml:space="preserve">swsrfcsdust</t>
  </si>
  <si>
    <t xml:space="preserve">Clear-Sky Surface Shortwave Radiative Flux Due to Dust</t>
  </si>
  <si>
    <t xml:space="preserve">The direct radiative effect refers to the instantaneous radiative impact on the Earth's energy balance, excluding secondary effects such as changes in cloud cover. Calculated in clear-sky conditions.</t>
  </si>
  <si>
    <t xml:space="preserve">swtoaasdust</t>
  </si>
  <si>
    <t xml:space="preserve">All-Sky Shortwave Flux Due to Dust at Toa</t>
  </si>
  <si>
    <t xml:space="preserve">swtoacsdust</t>
  </si>
  <si>
    <t xml:space="preserve">Clear Sky Shortwave Flux Due to Dust at Toa</t>
  </si>
  <si>
    <t xml:space="preserve">tSoilPools</t>
  </si>
  <si>
    <t xml:space="preserve">Turnover Rate of Each Model Soil Carbon Pool</t>
  </si>
  <si>
    <t xml:space="preserve">defined as 1/(turnover time) for each soil pool. Use the same pools reported under cSoilPools</t>
  </si>
  <si>
    <t xml:space="preserve">tasLut</t>
  </si>
  <si>
    <t xml:space="preserve">Near-Surface Air Temperature on Land Use Tile</t>
  </si>
  <si>
    <t xml:space="preserve">Air temperature is the bulk temperature of the air, not the surface (skin) temperature.</t>
  </si>
  <si>
    <t xml:space="preserve">tslsiLut</t>
  </si>
  <si>
    <t xml:space="preserve">Surface Temperature on Landuse Tile</t>
  </si>
  <si>
    <t xml:space="preserve">Surface temperature (i.e. temperature at which long-wave radiation emitted)</t>
  </si>
  <si>
    <t xml:space="preserve">DAMIP,DynVarMIP,VolMIP</t>
  </si>
  <si>
    <t xml:space="preserve">AerChemMIP,C4MIP,DAMIP,HighResMIP,LUMIP,PMIP</t>
  </si>
  <si>
    <t xml:space="preserve">vegHeightCrop</t>
  </si>
  <si>
    <t xml:space="preserve">Height of Crops</t>
  </si>
  <si>
    <t xml:space="preserve">Can not be produced by LPJ-GUESS: crop doesn't have a height</t>
  </si>
  <si>
    <t xml:space="preserve">Vegetation height averaged over the crop fraction of a grid cell.</t>
  </si>
  <si>
    <t xml:space="preserve">vegHeightGrass</t>
  </si>
  <si>
    <t xml:space="preserve">Height of Grass</t>
  </si>
  <si>
    <t xml:space="preserve">Can not be produced by LPJ-GUESS: grass doesn't have a height</t>
  </si>
  <si>
    <t xml:space="preserve">Vegetation height averaged over the grass fraction of a grid cell.</t>
  </si>
  <si>
    <t xml:space="preserve">vegHeightPasture</t>
  </si>
  <si>
    <t xml:space="preserve">Height of Pastures</t>
  </si>
  <si>
    <t xml:space="preserve">Vegetation height averaged over the pasture fraction of a grid cell.</t>
  </si>
  <si>
    <t xml:space="preserve">vegHeightShrub</t>
  </si>
  <si>
    <t xml:space="preserve">Height of Shrubs</t>
  </si>
  <si>
    <t xml:space="preserve">Vegetation height averaged over the shrub fraction of a grid cell.</t>
  </si>
  <si>
    <t xml:space="preserve">wetlandCH4</t>
  </si>
  <si>
    <t xml:space="preserve">Grid Averaged Methane Emissions from Wetlands</t>
  </si>
  <si>
    <t xml:space="preserve">Net upward flux of methane (NH4) from wetlands (areas where water covers the soil, or is present either at or near the surface of the soil all year or for varying periods of time during the year, including during the growing season). </t>
  </si>
  <si>
    <t xml:space="preserve">wetlandCH4cons</t>
  </si>
  <si>
    <t xml:space="preserve">Grid Averaged Methane Consumption (Methanotrophy) from Wetlands</t>
  </si>
  <si>
    <t xml:space="preserve">Biological consumption (methanotrophy) of methane (NH4) by wetlands (areas where water covers the soil, or is present either at or near the surface of the soil all year or for varying periods of time during the year, including during the growing season). </t>
  </si>
  <si>
    <t xml:space="preserve">wetlandCH4prod</t>
  </si>
  <si>
    <t xml:space="preserve">Grid Averaged Methane Production (Methanogenesis) from Wetlands</t>
  </si>
  <si>
    <t xml:space="preserve">Biological emissions (methanogenesis) of methane (NH4) from wetlands (areas where water covers the soil, or is present either at or near the surface of the soil all year or for varying periods of time during the year, including during the growing season). </t>
  </si>
  <si>
    <t xml:space="preserve">wetlandFrac</t>
  </si>
  <si>
    <t xml:space="preserve">longitude latitude time typewetla</t>
  </si>
  <si>
    <t xml:space="preserve">Wetland Percentage Cover</t>
  </si>
  <si>
    <t xml:space="preserve">Percentage of grid cell covered by wetland. Report only one year if  fixed percentage is used, or time series if values are determined dynamically.</t>
  </si>
  <si>
    <t xml:space="preserve">C4MIP,CMIP,LUMIP,PMIP</t>
  </si>
  <si>
    <t xml:space="preserve">wtd</t>
  </si>
  <si>
    <t xml:space="preserve">Water Table Depth</t>
  </si>
  <si>
    <t xml:space="preserve">Can not be produced by LPJ-GUESS: Not calculated in this version</t>
  </si>
  <si>
    <t xml:space="preserve">Depth is the vertical distance below the surface. The water table is the surface below which the soil is saturated with water such that all pore spaces are filled.</t>
  </si>
  <si>
    <t xml:space="preserve">ImonAnt</t>
  </si>
  <si>
    <t xml:space="preserve">xant yant time</t>
  </si>
  <si>
    <t xml:space="preserve">Lmon</t>
  </si>
  <si>
    <t xml:space="preserve">c3PftFrac</t>
  </si>
  <si>
    <t xml:space="preserve">longitude latitude time typec3pft</t>
  </si>
  <si>
    <t xml:space="preserve">Percentage Cover by C3 Plant Functional Type</t>
  </si>
  <si>
    <t xml:space="preserve">Percentage of entire grid cell  that is covered by C3 PFTs (including grass, crops, and trees).</t>
  </si>
  <si>
    <t xml:space="preserve">AerChemMIP,CMIP,FAFMIP,GMMIP,GeoMIP,HighResMIP,LS3MIP,PMIP,RFMIP,VIACSAB,VolMIP</t>
  </si>
  <si>
    <t xml:space="preserve">c4PftFrac</t>
  </si>
  <si>
    <t xml:space="preserve">longitude latitude time typec4pft</t>
  </si>
  <si>
    <t xml:space="preserve">Percentage Cover by C4 Plant Functional Type</t>
  </si>
  <si>
    <t xml:space="preserve">Percentage of entire grid cell  that is covered by C4 PFTs (including grass and crops).</t>
  </si>
  <si>
    <t xml:space="preserve">fVegSoil</t>
  </si>
  <si>
    <t xml:space="preserve">Total Carbon Mass Flux from Vegetation Directly to Soil</t>
  </si>
  <si>
    <t xml:space="preserve">Can not be produced by LPJ-GUESS: No process that does this</t>
  </si>
  <si>
    <t xml:space="preserve">Carbon mass flux per unit area from vegetation directly into soil, without intermediate conversion to litter.</t>
  </si>
  <si>
    <t xml:space="preserve">AerChemMIP,C4MIP,CMIP,FAFMIP,GMMIP,GeoMIP,HighResMIP,LS3MIP,LUMIP,PMIP,RFMIP,VIACSAB,VolMIP</t>
  </si>
  <si>
    <t xml:space="preserve">nppLeaf</t>
  </si>
  <si>
    <t xml:space="preserve">Net Primary Production Allocated to Leaves as Carbon Mass Flux [kgC m-2 s-1]</t>
  </si>
  <si>
    <t xml:space="preserve">This is the rate of carbon uptake by leaves due to NPP</t>
  </si>
  <si>
    <t xml:space="preserve">AerChemMIP,C4MIP,CMIP,FAFMIP,GMMIP,GeoMIP,HighResMIP,LS3MIP,LUMIP,RFMIP,VIACSAB,VolMIP</t>
  </si>
  <si>
    <t xml:space="preserve">nppRoot</t>
  </si>
  <si>
    <t xml:space="preserve">Net Primary Production Allocated to Roots as Carbon Mass Flux [kgC m-2 s-1]</t>
  </si>
  <si>
    <t xml:space="preserve">This is the rate of carbon uptake by roots due to NPP</t>
  </si>
  <si>
    <t xml:space="preserve">nppWood</t>
  </si>
  <si>
    <t xml:space="preserve">Net Primary Production Allocated to Wood as Carbon Mass Flux [kgC m-2 s-1]</t>
  </si>
  <si>
    <t xml:space="preserve">This is the rate of carbon uptake by wood due to NPP</t>
  </si>
  <si>
    <t xml:space="preserve">treeFracPrimDec</t>
  </si>
  <si>
    <t xml:space="preserve">longitude latitude time typepdec</t>
  </si>
  <si>
    <t xml:space="preserve">Percentage Cover by Primary Deciduous Tree</t>
  </si>
  <si>
    <t xml:space="preserve">Percentage of the entire grid cell  that is covered by total primary deciduous trees.</t>
  </si>
  <si>
    <t xml:space="preserve">treeFracPrimEver</t>
  </si>
  <si>
    <t xml:space="preserve">longitude latitude time typepever</t>
  </si>
  <si>
    <t xml:space="preserve">Percentage Cover by Primary Evergreen Trees</t>
  </si>
  <si>
    <t xml:space="preserve">Percentage of entire grid cell  that is covered by primary evergreen trees.</t>
  </si>
  <si>
    <t xml:space="preserve">treeFracSecDec</t>
  </si>
  <si>
    <t xml:space="preserve">longitude latitude time typesdec</t>
  </si>
  <si>
    <t xml:space="preserve">Percentage Cover by Secondary Deciduous Trees</t>
  </si>
  <si>
    <t xml:space="preserve">Percentage of entire grid cell  that is covered by secondary deciduous trees.</t>
  </si>
  <si>
    <t xml:space="preserve">treeFracSecEver</t>
  </si>
  <si>
    <t xml:space="preserve">longitude latitude time typesever</t>
  </si>
  <si>
    <t xml:space="preserve">Percentage Cover by Secondary Evergreen Trees</t>
  </si>
  <si>
    <t xml:space="preserve">Percentage of entire grid cell  that is covered by secondary evergreen trees.</t>
  </si>
  <si>
    <t xml:space="preserve">IfxAnt</t>
  </si>
  <si>
    <t xml:space="preserve">areacellg</t>
  </si>
  <si>
    <t xml:space="preserve">Grid-Cell Area for Ice Sheet Variables</t>
  </si>
  <si>
    <t xml:space="preserve">m2</t>
  </si>
  <si>
    <t xml:space="preserve">We do not have an Antarctic ice sheet.</t>
  </si>
  <si>
    <t xml:space="preserve">Area of the target grid (not the interpolated area of the source grid).</t>
  </si>
  <si>
    <t xml:space="preserve">mrroLi</t>
  </si>
  <si>
    <t xml:space="preserve">Land Ice Runoff Flux</t>
  </si>
  <si>
    <t xml:space="preserve">Runoff flux over land ice is the difference between any available liquid water in the snowpack less any refreezing. Computed as the sum of rainfall and melt of snow or ice less any refreezing or water retained in the snowpack</t>
  </si>
  <si>
    <t xml:space="preserve">IyrAnt</t>
  </si>
  <si>
    <t xml:space="preserve">modelCellAreai</t>
  </si>
  <si>
    <t xml:space="preserve">The cell area of the ice sheet model.</t>
  </si>
  <si>
    <t xml:space="preserve">web</t>
  </si>
  <si>
    <t xml:space="preserve">Horizontal area of ice-sheet grid cells</t>
  </si>
  <si>
    <t xml:space="preserve">sftgif</t>
  </si>
  <si>
    <t xml:space="preserve">xant yant time typeli</t>
  </si>
  <si>
    <t xml:space="preserve">Fraction of Grid Cell Covered with Glacier</t>
  </si>
  <si>
    <t xml:space="preserve">Fraction of grid cell covered by land ice (ice sheet, ice shelf, ice cap, glacier)</t>
  </si>
  <si>
    <t xml:space="preserve">sftgrf</t>
  </si>
  <si>
    <t xml:space="preserve">xant yant time typegis</t>
  </si>
  <si>
    <t xml:space="preserve">Grounded Ice Sheet  Area Fraction</t>
  </si>
  <si>
    <t xml:space="preserve">Fraction of grid cell covered by grounded ice sheet</t>
  </si>
  <si>
    <t xml:space="preserve">alevhalf spectband</t>
  </si>
  <si>
    <t xml:space="preserve">Not available in IFS: All Up and downwelling radiation is only at the TOA and the surface available in IFS standard output. In IFS it is not possible to distinguish output in spectral intervals. Note here also global area and time averages are asked. Or maybe output at a certain diagnostic time step is meant? (No grib code available on table 128 -  Grib 1 for different spectral bands). Would it be possible to output 2 spectral bands: UV and NIR both of them diffuse and parallel. We need to ask expert of the radiation code.</t>
  </si>
  <si>
    <t xml:space="preserve">swtoafluxaerocs</t>
  </si>
  <si>
    <t xml:space="preserve">Shortwave flux due to volcanic aerosols at TOA under clear sky</t>
  </si>
  <si>
    <t xml:space="preserve">Not available, because it is not available in IFS.</t>
  </si>
  <si>
    <t xml:space="preserve">Downwelling shortwave flux due to volcanic aerosols at TOA under clear sky to be diagnosed through double radiation call</t>
  </si>
  <si>
    <t xml:space="preserve">VolMIP</t>
  </si>
  <si>
    <t xml:space="preserve">lwtoafluxaerocs</t>
  </si>
  <si>
    <t xml:space="preserve">Longwave flux due to volcanic aerosols at TOA under clear sky</t>
  </si>
  <si>
    <t xml:space="preserve">downwelling longwave flux due to volcanic aerosols at TOA under clear sky to be diagnosed through double radiation call</t>
  </si>
  <si>
    <t xml:space="preserve">aod550volso4</t>
  </si>
  <si>
    <t xml:space="preserve">Aerosol optical depth at 550 nm due to stratospheric volcanic aerosols</t>
  </si>
  <si>
    <t xml:space="preserve">aerosol optical depth at 550 nm due to stratospheric volcanic aerosols</t>
  </si>
  <si>
    <t xml:space="preserve">ec550aer</t>
  </si>
  <si>
    <t xml:space="preserve">longitude latitude alevel time lambda550nm</t>
  </si>
  <si>
    <t xml:space="preserve">Aerosol extinction coefficient</t>
  </si>
  <si>
    <t xml:space="preserve">m-1</t>
  </si>
  <si>
    <t xml:space="preserve">Though available for 6hrLev  tm5 code name = ec550aer this variable is not available for Emon</t>
  </si>
  <si>
    <t xml:space="preserve">Aerosol Extinction at 550nm</t>
  </si>
  <si>
    <t xml:space="preserve">E6hrZ</t>
  </si>
  <si>
    <t xml:space="preserve">zmswaero</t>
  </si>
  <si>
    <t xml:space="preserve">latitude alevel time1</t>
  </si>
  <si>
    <t xml:space="preserve">Zonal mean shortwave heating rate due to volcanic aerosols</t>
  </si>
  <si>
    <t xml:space="preserve">shortwave heating rate due to volcanic aerosols to be diagnosed through double radiation call, zonal average values required</t>
  </si>
  <si>
    <t xml:space="preserve">zmlwaero</t>
  </si>
  <si>
    <t xml:space="preserve">Zonal mean longwave heating rate due to volcanic aerosols</t>
  </si>
  <si>
    <t xml:space="preserve">longwave heating rate due to volcanic aerosols to be diagnosed through double radiation call, zonal average values required</t>
  </si>
  <si>
    <t xml:space="preserve">not available </t>
  </si>
  <si>
    <t xml:space="preserve">albc</t>
  </si>
  <si>
    <t xml:space="preserve">Canopy Albedo</t>
  </si>
  <si>
    <t xml:space="preserve">Not easy  available in IFS or HTESSEL, so ignoring.</t>
  </si>
  <si>
    <t xml:space="preserve">Andrea Alessandri, Thomas</t>
  </si>
  <si>
    <t xml:space="preserve">Albedo of the vegetation: fraction of incoming solar radiation which is reflected before reaching the ground.</t>
  </si>
  <si>
    <t xml:space="preserve">ares</t>
  </si>
  <si>
    <t xml:space="preserve">Aerodynamic Resistance</t>
  </si>
  <si>
    <t xml:space="preserve">s m-1</t>
  </si>
  <si>
    <t xml:space="preserve">The 'aerodynamic_resistance' is the resistance to mixing through the boundary layer toward the surface by means of the dominant process, turbulent transport. Reference: Wesely, M. L., 1989,  doi:10.1016/0004-6981(89)90153-4.</t>
  </si>
  <si>
    <t xml:space="preserve">cnc</t>
  </si>
  <si>
    <t xml:space="preserve">Canopy Covered Area Percentage</t>
  </si>
  <si>
    <t xml:space="preserve">'X_area_fraction' means the fraction of horizontal area occupied by X. 'X_area' means the horizontal area occupied by X within the grid cell. 'Vegetation' means any plants e.g. trees, shrubs, grass.</t>
  </si>
  <si>
    <t xml:space="preserve">dcw</t>
  </si>
  <si>
    <t xml:space="preserve">Change in Interception Storage</t>
  </si>
  <si>
    <t xml:space="preserve">The phrase 'change_over_time_in_X' means change in a quantity X over a time-interval, which should be defined by the bounds of the time coordinate. 'Canopy' means the plant or vegetation canopy. Canopy water is the water on the canopy. 'Water' means water in all phases, including frozen, i.e. ice and snow. 'Amount' means mass per unit area.</t>
  </si>
  <si>
    <t xml:space="preserve">dgw</t>
  </si>
  <si>
    <t xml:space="preserve">Change in Groundwater</t>
  </si>
  <si>
    <t xml:space="preserve">Not represented</t>
  </si>
  <si>
    <t xml:space="preserve">Groundwater is subsurface water below the depth of the water table.</t>
  </si>
  <si>
    <t xml:space="preserve">dmlt</t>
  </si>
  <si>
    <t xml:space="preserve">longitude latitude time stempzero</t>
  </si>
  <si>
    <t xml:space="preserve">Depth to Soil Thaw</t>
  </si>
  <si>
    <t xml:space="preserve">Depth from surface to the zero degree isotherm. Above this isotherm T &gt; 0o, and below this line T &lt; 0o. Missing if surface is frozen or if soil is unfrozen at all depths.</t>
  </si>
  <si>
    <t xml:space="preserve">drivw</t>
  </si>
  <si>
    <t xml:space="preserve">Change in River Storage</t>
  </si>
  <si>
    <t xml:space="preserve">Change over time of the mass of water per unit area in the fluvial system (stream and floodplain).</t>
  </si>
  <si>
    <t xml:space="preserve">dslw</t>
  </si>
  <si>
    <t xml:space="preserve">Change in Soil Moisture</t>
  </si>
  <si>
    <t xml:space="preserve">The phrase 'change_over_time_in_X' means change in a quantity X over a time-interval, which should be defined by the bounds of the time coordinate. 'Content' indicates a quantity per unit area. The mass content of water in soil refers to the vertical integral from the surface down to the bottom of the soil model. For the content between specified levels in the soil, standard names including 'content_of_soil_layer' are used. 'Water' means water in all phases.</t>
  </si>
  <si>
    <t xml:space="preserve">dsn</t>
  </si>
  <si>
    <t xml:space="preserve">Change in Snow Water Equivalent</t>
  </si>
  <si>
    <t xml:space="preserve">Change in time of the mass per unit area of ice in glaciers, ice caps, ice sheets and shelves, river and lake ice, any other ice on a land surface, such as frozen flood water, and snow lying on such ice or on the land surface.</t>
  </si>
  <si>
    <t xml:space="preserve">dsw</t>
  </si>
  <si>
    <t xml:space="preserve">Change in Surface Water Storage</t>
  </si>
  <si>
    <t xml:space="preserve">The phrase 'land_water_amount', often known as 'Terrestrial Water Storage', includes: surface liquid water (water in rivers, wetlands, lakes, reservoirs, rainfall intercepted by the canopy); surface ice and snow (glaciers, ice caps, grounded ice sheets not displacing sea water, river and lake ice, other surface ice such as frozen flood water, snow lying on the surface and intercepted by the canopy); subsurface water (liquid and frozen soil water, groundwater).</t>
  </si>
  <si>
    <t xml:space="preserve">dtes</t>
  </si>
  <si>
    <t xml:space="preserve">Change in Surface Heat Storage</t>
  </si>
  <si>
    <t xml:space="preserve">J m-2</t>
  </si>
  <si>
    <t xml:space="preserve">Change in heat storage over the soil layer and the vegetation for which the energy balance is calculated, accumulated over the sampling time interval.</t>
  </si>
  <si>
    <t xml:space="preserve">dtesn</t>
  </si>
  <si>
    <t xml:space="preserve">Change in Snow and Ice Cold Content</t>
  </si>
  <si>
    <t xml:space="preserve">Change in cold content over the snow layer for which the energy balance is calculated, accumulated over the sampling time interval. This should also include the energy contained in the liquid water in the snow pack.</t>
  </si>
  <si>
    <t xml:space="preserve">eow</t>
  </si>
  <si>
    <t xml:space="preserve">Open Water Evaporation</t>
  </si>
  <si>
    <t xml:space="preserve">Not available </t>
  </si>
  <si>
    <t xml:space="preserve">Evaporation (conversion of liquid or solid into vapor) from open water. </t>
  </si>
  <si>
    <t xml:space="preserve">es</t>
  </si>
  <si>
    <t xml:space="preserve">Bare Soil Evaporation</t>
  </si>
  <si>
    <t xml:space="preserve">Water here means water in all phases. Evaporation is the conversion of liquid or solid into vapor. (The conversion of solid alone into vapor is called 'sublimation'.) In accordance with common usage in geophysical disciplines, 'flux' implies per unit area, called 'flux density' in physics.</t>
  </si>
  <si>
    <t xml:space="preserve">hfdsnb</t>
  </si>
  <si>
    <t xml:space="preserve">Downward Heat Flux at Snow Base</t>
  </si>
  <si>
    <t xml:space="preserve">Not available in IFS output, however it is computed in H-TESSEL</t>
  </si>
  <si>
    <t xml:space="preserve">Gijs, Andrea, Thomas</t>
  </si>
  <si>
    <t xml:space="preserve">Heat flux from snow into the ice or land under the snow.</t>
  </si>
  <si>
    <t xml:space="preserve">hfrs</t>
  </si>
  <si>
    <t xml:space="preserve">Heat Transferred to Snowpack by Rainfall</t>
  </si>
  <si>
    <t xml:space="preserve">zero</t>
  </si>
  <si>
    <t xml:space="preserve">Heat transferred to a snow cover by rain..</t>
  </si>
  <si>
    <t xml:space="preserve">mrfsofr</t>
  </si>
  <si>
    <t xml:space="preserve">Average Layer Fraction of Frozen Moisture</t>
  </si>
  <si>
    <t xml:space="preserve">Fraction of soil moisture mass in the solid phase in each user-defined soil layer (3D variable)</t>
  </si>
  <si>
    <t xml:space="preserve">mrlqso</t>
  </si>
  <si>
    <t xml:space="preserve">Average Layer Fraction of Liquid Moisture</t>
  </si>
  <si>
    <t xml:space="preserve">Fraction of soil moisture mass in the liquid phase in each user-defined soil layer (3D variable)</t>
  </si>
  <si>
    <t xml:space="preserve">nudgincsm</t>
  </si>
  <si>
    <t xml:space="preserve">Nudging Increment of Water in Soil Moisture</t>
  </si>
  <si>
    <t xml:space="preserve">A nudging increment refers to an amount added to parts of a model system. The phrase 'nudging_increment_in_X' refers to an increment in quantity X over a time period which should be defined in the bounds of the time coordinate. 'Content' indicates a quantity per unit area. 'Water' means water in all phases. The mass content of water in soil refers to the vertical integral from the surface down to the bottom of the soil model. The 'soil content' of a quantity refers to the vertical integral from the surface down to the bottom of the soil model. For the content between specified levels in the soil, standard names including 'content_of_soil_layer' are used.</t>
  </si>
  <si>
    <t xml:space="preserve">nudgincswe</t>
  </si>
  <si>
    <t xml:space="preserve">Nudging Increment of Water in Snow</t>
  </si>
  <si>
    <t xml:space="preserve">A nudging increment refers to an amount added to parts of a model system. The phrase 'nudging_increment_in_X' refers to an increment in quantity X over a time period which should be defined in the bounds of the time coordinate. The surface called 'surface' means the lower boundary of the atmosphere. 'Amount' means mass per unit area. 'Snow and ice on land' means ice in glaciers, ice caps, ice sheets &amp; shelves, river and lake ice, any other ice on a land surface, such as frozen flood water, and snow lying on such ice or on the land surface.</t>
  </si>
  <si>
    <t xml:space="preserve">prrsn</t>
  </si>
  <si>
    <t xml:space="preserve">Fraction of Rainfall on Snow</t>
  </si>
  <si>
    <t xml:space="preserve">The fraction of the grid averaged rainfall which falls on the snow pack</t>
  </si>
  <si>
    <t xml:space="preserve">prsnsn</t>
  </si>
  <si>
    <t xml:space="preserve">Fraction of Snowfall (Including Hail and Graupel) on Snow</t>
  </si>
  <si>
    <t xml:space="preserve">The fraction of the snowfall which falls on the snow pack</t>
  </si>
  <si>
    <t xml:space="preserve">qgwr</t>
  </si>
  <si>
    <t xml:space="preserve">Groundwater Recharge from Soil Layer</t>
  </si>
  <si>
    <t xml:space="preserve">Mass flux of water from the soil layer into ground water.</t>
  </si>
  <si>
    <t xml:space="preserve">rivi</t>
  </si>
  <si>
    <t xml:space="preserve">River Inflow</t>
  </si>
  <si>
    <t xml:space="preserve">m3 s-1</t>
  </si>
  <si>
    <t xml:space="preserve">Inflow of River Water into Cell</t>
  </si>
  <si>
    <t xml:space="preserve">rivo</t>
  </si>
  <si>
    <t xml:space="preserve">River Discharge</t>
  </si>
  <si>
    <t xml:space="preserve">Outflow of River Water from Cell</t>
  </si>
  <si>
    <t xml:space="preserve">rzwc</t>
  </si>
  <si>
    <t xml:space="preserve">Root Zone Soil Moisture</t>
  </si>
  <si>
    <t xml:space="preserve">'Content' indicates a quantity per unit area. The content of a soil layer is the vertical integral of the specified quantity within the layer. The quantity with standard name mass_content_of_water_in_soil_layer_defined_by_root_depth is the vertical integral between the surface and the depth to which plant roots penetrate. A coordinate variable or scalar coordinate variable with standard name root_depth can be used to specify the extent of the layer. 'Water' means water in all phases.</t>
  </si>
  <si>
    <t xml:space="preserve">sblnosn</t>
  </si>
  <si>
    <t xml:space="preserve">Sublimation of the Snow Free Area</t>
  </si>
  <si>
    <t xml:space="preserve">Rate of sublimation of ice into the atmosphere from areas with no snow.</t>
  </si>
  <si>
    <t xml:space="preserve">snmsl</t>
  </si>
  <si>
    <t xml:space="preserve">Water Flowing out of Snowpack</t>
  </si>
  <si>
    <t xml:space="preserve">Mass flow rate of water draining out of the snow pack.</t>
  </si>
  <si>
    <t xml:space="preserve">snrefr</t>
  </si>
  <si>
    <t xml:space="preserve">Refreezing of Water in the Snow</t>
  </si>
  <si>
    <t xml:space="preserve">In accordance with common usage in geophysical disciplines, 'flux' implies per unit area, called 'flux density' in physics. The surface called 'surface' means the lower boundary of the atmosphere. 'Surface snow and ice refreezing flux' means the mass flux of surface  meltwater which refreezes within the snow or firn.</t>
  </si>
  <si>
    <t xml:space="preserve">snwc</t>
  </si>
  <si>
    <t xml:space="preserve"> snow water equivalent intercepted by the vegetation</t>
  </si>
  <si>
    <t xml:space="preserve">no represented: equal to zero</t>
  </si>
  <si>
    <t xml:space="preserve">Total water mass of the snowpack (liquid or frozen), averaged over a grid cell and intercepted by the canopy.</t>
  </si>
  <si>
    <t xml:space="preserve">sw</t>
  </si>
  <si>
    <t xml:space="preserve">Surface Water Storage</t>
  </si>
  <si>
    <t xml:space="preserve">not represented</t>
  </si>
  <si>
    <t xml:space="preserve">Total liquid water storage, other than soil, snow or interception storage (i.e. lakes, river channel or depression storage).</t>
  </si>
  <si>
    <t xml:space="preserve">tcs</t>
  </si>
  <si>
    <t xml:space="preserve">Vegetation Canopy Temperature</t>
  </si>
  <si>
    <t xml:space="preserve">Vegetation temperature, averaged over all vegetation types</t>
  </si>
  <si>
    <t xml:space="preserve">tgs</t>
  </si>
  <si>
    <t xml:space="preserve">Temperature of Bare Soil</t>
  </si>
  <si>
    <t xml:space="preserve">Surface bare soil temperature</t>
  </si>
  <si>
    <t xml:space="preserve">phalf</t>
  </si>
  <si>
    <t xml:space="preserve">longitude latitude alevhalf time2</t>
  </si>
  <si>
    <t xml:space="preserve">Pressure on Model Half-Levels</t>
  </si>
  <si>
    <t xml:space="preserve">No pressure on vertical staggered levels in IFS #385.</t>
  </si>
  <si>
    <t xml:space="preserve">automatic</t>
  </si>
  <si>
    <t xml:space="preserve">Air pressure on model half-levels</t>
  </si>
  <si>
    <t xml:space="preserve">cl</t>
  </si>
  <si>
    <t xml:space="preserve">Percentage Cloud Cover</t>
  </si>
  <si>
    <t xml:space="preserve">No subhr output. ifs code name = 248.128</t>
  </si>
  <si>
    <t xml:space="preserve">Percentage cloud cover, including both large-scale and convective cloud.</t>
  </si>
  <si>
    <t xml:space="preserve">clw</t>
  </si>
  <si>
    <t xml:space="preserve">Mass Fraction of Cloud Liquid Water</t>
  </si>
  <si>
    <t xml:space="preserve">No subhr output. ifs code name = 246.128</t>
  </si>
  <si>
    <t xml:space="preserve">Includes both large-scale and convective cloud. Calculate as the mass of cloud liquid water in the grid cell divided by the mass of air (including the water in all phases) in the grid cells. Precipitating hydrometeors are included ONLY if the precipitating hydrometeors affect the calculation of radiative transfer in model.</t>
  </si>
  <si>
    <t xml:space="preserve">cli</t>
  </si>
  <si>
    <t xml:space="preserve">Mass Fraction of Cloud Ice</t>
  </si>
  <si>
    <t xml:space="preserve">No subhr output. ifs code name = 247.128</t>
  </si>
  <si>
    <t xml:space="preserve">Includes both large-scale and convective cloud. This is calculated as the mass of cloud ice in the grid cell divided by the mass of air (including the water in all phases) in the grid cell. It includes precipitating hydrometeors ONLY if the precipitating hydrometeors affect the calculation of radiative transfer in model.</t>
  </si>
  <si>
    <t xml:space="preserve">ta</t>
  </si>
  <si>
    <t xml:space="preserve">Air Temperature</t>
  </si>
  <si>
    <t xml:space="preserve">No subhr output. ifs code name = 130.128</t>
  </si>
  <si>
    <t xml:space="preserve">ua</t>
  </si>
  <si>
    <t xml:space="preserve">Eastward Wind</t>
  </si>
  <si>
    <t xml:space="preserve">No subhr output. ifs code name = 131.128</t>
  </si>
  <si>
    <t xml:space="preserve">Zonal wind (positive in a eastward direction).</t>
  </si>
  <si>
    <t xml:space="preserve">va</t>
  </si>
  <si>
    <t xml:space="preserve">Northward Wind</t>
  </si>
  <si>
    <t xml:space="preserve">No subhr output. ifs code name = 132.128</t>
  </si>
  <si>
    <t xml:space="preserve">Meridional wind (positive in a northward direction).</t>
  </si>
  <si>
    <t xml:space="preserve">hus</t>
  </si>
  <si>
    <t xml:space="preserve">Specific Humidity</t>
  </si>
  <si>
    <t xml:space="preserve">No subhr output. ifs code name = 133.128</t>
  </si>
  <si>
    <t xml:space="preserve">Specific humidity is the mass fraction of water vapor in (moist) air.</t>
  </si>
  <si>
    <t xml:space="preserve">hur</t>
  </si>
  <si>
    <t xml:space="preserve">Relative Humidity</t>
  </si>
  <si>
    <t xml:space="preserve">No subhr output. ifs code name = 157.128</t>
  </si>
  <si>
    <t xml:space="preserve">wap</t>
  </si>
  <si>
    <t xml:space="preserve">Omega (=dp/dt)</t>
  </si>
  <si>
    <t xml:space="preserve">Pa s-1</t>
  </si>
  <si>
    <t xml:space="preserve">No subhr output. ifs code name = 135.128</t>
  </si>
  <si>
    <t xml:space="preserve">Omega (vertical velocity in pressure coordinates, positive downwards)</t>
  </si>
  <si>
    <t xml:space="preserve">zg</t>
  </si>
  <si>
    <t xml:space="preserve">Geopotential Height</t>
  </si>
  <si>
    <t xml:space="preserve">No subhr output. ifs code name = 129.128</t>
  </si>
  <si>
    <t xml:space="preserve">Geopotential is the sum of the specific gravitational potential energy relative to the geoid and the specific centripetal potential energy. Geopotential height is the geopotential divided by the standard acceleration due to gravity. It is numerically similar to the altitude (or geometric height) and not to the quantity with standard name height, which is relative to the surface.</t>
  </si>
  <si>
    <t xml:space="preserve">pfull</t>
  </si>
  <si>
    <t xml:space="preserve">Pressure at Model Full-Levels</t>
  </si>
  <si>
    <t xml:space="preserve">No subhr output. ifs code name = 54.128</t>
  </si>
  <si>
    <t xml:space="preserve">Air pressure on model levels</t>
  </si>
  <si>
    <t xml:space="preserve">No subhr output. tm5 code name = phalf</t>
  </si>
  <si>
    <t xml:space="preserve">tas</t>
  </si>
  <si>
    <t xml:space="preserve">site time1 height2m</t>
  </si>
  <si>
    <t xml:space="preserve">Near-Surface Air Temperature</t>
  </si>
  <si>
    <t xml:space="preserve">No subhr output. ifs code name = 167.128</t>
  </si>
  <si>
    <t xml:space="preserve">near-surface (usually, 2 meter) air temperature</t>
  </si>
  <si>
    <t xml:space="preserve">ts</t>
  </si>
  <si>
    <t xml:space="preserve">Surface Temperature</t>
  </si>
  <si>
    <t xml:space="preserve">No subhr output. ifs code name = 139.128</t>
  </si>
  <si>
    <t xml:space="preserve">Temperature of the lower boundary of the atmosphere</t>
  </si>
  <si>
    <t xml:space="preserve">psl</t>
  </si>
  <si>
    <t xml:space="preserve">Sea Level Pressure</t>
  </si>
  <si>
    <t xml:space="preserve">No subhr output. ifs code name = 151.128</t>
  </si>
  <si>
    <t xml:space="preserve">ps</t>
  </si>
  <si>
    <t xml:space="preserve">Surface Air Pressure</t>
  </si>
  <si>
    <t xml:space="preserve">No subhr output. tm5 code name = ps</t>
  </si>
  <si>
    <t xml:space="preserve">surface pressure (not mean sea-level pressure), 2-D field to calculate the 3-D pressure field from hybrid coordinates</t>
  </si>
  <si>
    <t xml:space="preserve">uas</t>
  </si>
  <si>
    <t xml:space="preserve">site time1 height10m</t>
  </si>
  <si>
    <t xml:space="preserve">Eastward Near-Surface Wind</t>
  </si>
  <si>
    <t xml:space="preserve">No subhr output. ifs code name = 165.128</t>
  </si>
  <si>
    <t xml:space="preserve">Eastward component of the near-surface (usually, 10 meters)  wind</t>
  </si>
  <si>
    <t xml:space="preserve">vas</t>
  </si>
  <si>
    <t xml:space="preserve">Northward Near-Surface Wind</t>
  </si>
  <si>
    <t xml:space="preserve">No subhr output. ifs code name = 166.128</t>
  </si>
  <si>
    <t xml:space="preserve">Northward component of the near surface wind</t>
  </si>
  <si>
    <t xml:space="preserve">sfcWind</t>
  </si>
  <si>
    <t xml:space="preserve">Near-Surface Wind Speed</t>
  </si>
  <si>
    <t xml:space="preserve">No subhr output. ifs code name = 214.128, expression = sqrt(sqr(var165)+sqr(var166))</t>
  </si>
  <si>
    <t xml:space="preserve">near-surface (usually, 10 meters) wind speed.</t>
  </si>
  <si>
    <t xml:space="preserve">hurs</t>
  </si>
  <si>
    <t xml:space="preserve">Near-Surface Relative Humidity</t>
  </si>
  <si>
    <t xml:space="preserve">No subhr output. ifs code name = 80.129, expression = 100.*exp(17.62*((var168-273.15)/(var168-30.03)-(var167-273.15)/(var167-30.03)))</t>
  </si>
  <si>
    <t xml:space="preserve">huss</t>
  </si>
  <si>
    <t xml:space="preserve">Near-Surface Specific Humidity</t>
  </si>
  <si>
    <t xml:space="preserve">No subhr output. ifs code name = 81.129, expression = 1./(1.+1.608*(var134*exp(-17.62*(var168-273.15)/(var168-30.03))/611.-1.))</t>
  </si>
  <si>
    <t xml:space="preserve">Near-surface (usually, 2 meter) specific humidity.</t>
  </si>
  <si>
    <t xml:space="preserve">pr</t>
  </si>
  <si>
    <t xml:space="preserve">Precipitation</t>
  </si>
  <si>
    <t xml:space="preserve">No subhr output. ifs code name = 228.128</t>
  </si>
  <si>
    <t xml:space="preserve">includes both liquid and solid phases</t>
  </si>
  <si>
    <t xml:space="preserve">prsn</t>
  </si>
  <si>
    <t xml:space="preserve">Snowfall Flux</t>
  </si>
  <si>
    <t xml:space="preserve">No subhr output. ifs code name = 144.128</t>
  </si>
  <si>
    <t xml:space="preserve">At surface; includes precipitation of all forms of water in the solid phase</t>
  </si>
  <si>
    <t xml:space="preserve">prc</t>
  </si>
  <si>
    <t xml:space="preserve">Convective Precipitation</t>
  </si>
  <si>
    <t xml:space="preserve">No subhr output. ifs code name = 143.128</t>
  </si>
  <si>
    <t xml:space="preserve">Convective precipitation at surface; includes both liquid and solid phases.</t>
  </si>
  <si>
    <t xml:space="preserve">evspsbl</t>
  </si>
  <si>
    <t xml:space="preserve">Evaporation Including Sublimation and Transpiration</t>
  </si>
  <si>
    <t xml:space="preserve">No subhr output. ifs code name = 182.128</t>
  </si>
  <si>
    <t xml:space="preserve">Evaporation at surface (also known as evapotranspiration): flux of water into the atmosphere due to conversion of both liquid and solid phases to vapor (from underlying surface and vegetation)</t>
  </si>
  <si>
    <t xml:space="preserve">sbl</t>
  </si>
  <si>
    <t xml:space="preserve">Surface Snow and Ice Sublimation Flux</t>
  </si>
  <si>
    <t xml:space="preserve">No subhr output. ifs code name = 44.128</t>
  </si>
  <si>
    <t xml:space="preserve">The snow and ice sublimation flux is the loss of snow and ice mass per unit area from the surface resulting from their direct conversion to water vapor that enters the atmosphere.</t>
  </si>
  <si>
    <t xml:space="preserve">tauu</t>
  </si>
  <si>
    <t xml:space="preserve">Surface Downward Eastward Wind Stress</t>
  </si>
  <si>
    <t xml:space="preserve">No subhr output. ifs code name = 180.128</t>
  </si>
  <si>
    <t xml:space="preserve">Downward eastward wind stress at the surface</t>
  </si>
  <si>
    <t xml:space="preserve">tauv</t>
  </si>
  <si>
    <t xml:space="preserve">Surface Downward Northward Wind Stress</t>
  </si>
  <si>
    <t xml:space="preserve">No subhr output. ifs code name = 181.128</t>
  </si>
  <si>
    <t xml:space="preserve">Downward northward wind stress at the surface</t>
  </si>
  <si>
    <t xml:space="preserve">hfls</t>
  </si>
  <si>
    <t xml:space="preserve">Surface Upward Latent Heat Flux</t>
  </si>
  <si>
    <t xml:space="preserve">No subhr output. ifs code name = 147.128</t>
  </si>
  <si>
    <t xml:space="preserve">hfss</t>
  </si>
  <si>
    <t xml:space="preserve">Surface Upward Sensible Heat Flux</t>
  </si>
  <si>
    <t xml:space="preserve">No subhr output. ifs code name = 146.128</t>
  </si>
  <si>
    <t xml:space="preserve">The surface sensible heat flux, also called turbulent heat flux, is the exchange of heat between the surface and the air by motion of air.</t>
  </si>
  <si>
    <t xml:space="preserve">rlds</t>
  </si>
  <si>
    <t xml:space="preserve">Surface Downwelling Longwave Radiation</t>
  </si>
  <si>
    <t xml:space="preserve">No subhr output. ifs code name = 175.128</t>
  </si>
  <si>
    <t xml:space="preserve">The surface called 'surface' means the lower boundary of the atmosphere. 'longwave' means longwave radiation. Downwelling radiation is radiation from above. It does not mean 'net downward'.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</si>
  <si>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rlus</t>
  </si>
  <si>
    <t xml:space="preserve">Surface Upwelling Longwave Radiation</t>
  </si>
  <si>
    <t xml:space="preserve">No subhr output. ifs code name = 96.129, expression = var177-var175</t>
  </si>
  <si>
    <t xml:space="preserve">rsds</t>
  </si>
  <si>
    <t xml:space="preserve">Surface Downwelling Shortwave Radiation</t>
  </si>
  <si>
    <t xml:space="preserve">No subhr output. ifs code name = 169.128</t>
  </si>
  <si>
    <t xml:space="preserve">Surface solar irradiance for UV calculations.</t>
  </si>
  <si>
    <t xml:space="preserve">rsus</t>
  </si>
  <si>
    <t xml:space="preserve">Surface Upwelling Shortwave Radiation</t>
  </si>
  <si>
    <t xml:space="preserve">No subhr output. ifs code name = 95.129, expression = var176-var169</t>
  </si>
  <si>
    <t xml:space="preserve">rsdscs</t>
  </si>
  <si>
    <t xml:space="preserve">Surface Downwelling Clear-Sky Shortwave Radiation</t>
  </si>
  <si>
    <t xml:space="preserve">No subhr output. ifs code name = 102.129, expression = var210-var176+var169</t>
  </si>
  <si>
    <t xml:space="preserve">Surface solar irradiance clear sky for UV calculations</t>
  </si>
  <si>
    <t xml:space="preserve">rsuscs</t>
  </si>
  <si>
    <t xml:space="preserve">Surface Upwelling Clear-Sky Shortwave Radiation</t>
  </si>
  <si>
    <t xml:space="preserve">Surface Upwelling Clear-sky Shortwave Radiation</t>
  </si>
  <si>
    <t xml:space="preserve">rldscs</t>
  </si>
  <si>
    <t xml:space="preserve">Surface Downwelling Clear-Sky Longwave Radiation</t>
  </si>
  <si>
    <t xml:space="preserve">No subhr output. ifs code name = 104.129, expression = var211-var177+var175</t>
  </si>
  <si>
    <t xml:space="preserve">Surface downwelling clear-sky longwave radiation</t>
  </si>
  <si>
    <t xml:space="preserve">rsdt</t>
  </si>
  <si>
    <t xml:space="preserve">TOA Incident Shortwave Radiation</t>
  </si>
  <si>
    <t xml:space="preserve">No subhr output. ifs code name = 212.128</t>
  </si>
  <si>
    <t xml:space="preserve">Shortwave radiation incident at the top of the atmosphere</t>
  </si>
  <si>
    <t xml:space="preserve">rsut</t>
  </si>
  <si>
    <t xml:space="preserve">TOA Outgoing Shortwave Radiation</t>
  </si>
  <si>
    <t xml:space="preserve">No subhr output. ifs code name = 97.129, expression = var178-var212</t>
  </si>
  <si>
    <t xml:space="preserve">at the top of the atmosphere</t>
  </si>
  <si>
    <t xml:space="preserve">rlut</t>
  </si>
  <si>
    <t xml:space="preserve">TOA Outgoing Longwave Radiation</t>
  </si>
  <si>
    <t xml:space="preserve">No subhr output. ifs code name = 179.128</t>
  </si>
  <si>
    <t xml:space="preserve">at the top of the atmosphere (to be compared with satellite measurements)</t>
  </si>
  <si>
    <t xml:space="preserve">rlutcs</t>
  </si>
  <si>
    <t xml:space="preserve">TOA Outgoing Clear-Sky Longwave Radiation</t>
  </si>
  <si>
    <t xml:space="preserve">No subhr output. ifs code name = 209.128</t>
  </si>
  <si>
    <t xml:space="preserve">Upwelling clear-sky longwave radiation at top of atmosphere</t>
  </si>
  <si>
    <t xml:space="preserve">rsutcs</t>
  </si>
  <si>
    <t xml:space="preserve">TOA Outgoing Clear-Sky Shortwave Radiation</t>
  </si>
  <si>
    <t xml:space="preserve">No subhr output. ifs code name = 103.129, expression = var208-var212</t>
  </si>
  <si>
    <t xml:space="preserve">Calculated in the absence of clouds.</t>
  </si>
  <si>
    <t xml:space="preserve">prw</t>
  </si>
  <si>
    <t xml:space="preserve">Water Vapor Path</t>
  </si>
  <si>
    <t xml:space="preserve">No subhr output. ifs code name = 137.128</t>
  </si>
  <si>
    <t xml:space="preserve">vertically integrated through the atmospheric column</t>
  </si>
  <si>
    <t xml:space="preserve">clt</t>
  </si>
  <si>
    <t xml:space="preserve">Total Cloud Cover Percentage</t>
  </si>
  <si>
    <t xml:space="preserve">No subhr output. ifs code name = 164.128</t>
  </si>
  <si>
    <t xml:space="preserve">Total cloud area fraction for the whole atmospheric column, as seen from the surface or the top of the atmosphere. Includes both large-scale and convective cloud.</t>
  </si>
  <si>
    <t xml:space="preserve">clwvi</t>
  </si>
  <si>
    <t xml:space="preserve">Condensed Water Path</t>
  </si>
  <si>
    <t xml:space="preserve">No subhr output. ifs code name = 116.129, expression = var78+var79</t>
  </si>
  <si>
    <t xml:space="preserve">Mass of condensed (liquid + ice) water in the column divided by the area of the column (not just the area of the cloudy portion of the column). Includes precipitating hydrometeors ONLY if the precipitating hydrometeors affect the calculation of radiative transfer in model.</t>
  </si>
  <si>
    <t xml:space="preserve">clivi</t>
  </si>
  <si>
    <t xml:space="preserve">Ice Water Path</t>
  </si>
  <si>
    <t xml:space="preserve">No subhr output. ifs code name = 79.128</t>
  </si>
  <si>
    <t xml:space="preserve">mass of ice water in the column divided by the area of the column (not just the area of the cloudy portion of the column). Includes precipitating frozen hydrometeors ONLY if the precipitating hydrometeor affects the calculation of radiative transfer in model.</t>
  </si>
  <si>
    <t xml:space="preserve">rtmt</t>
  </si>
  <si>
    <t xml:space="preserve">Net Downward Radiative Flux at Top of Model</t>
  </si>
  <si>
    <t xml:space="preserve">No subhr output. ifs code name = 98.129, expression = var178+var179</t>
  </si>
  <si>
    <t xml:space="preserve">Net Downward Radiative Flux at Top of Model : I.e., at the top of that portion of the atmosphere where dynamics are explicitly treated by the model. This is reported only if it differs from the net downward radiative flux at the top of the atmosphere.</t>
  </si>
  <si>
    <t xml:space="preserve">fco2antt</t>
  </si>
  <si>
    <t xml:space="preserve">Carbon Mass Flux into Atmosphere Due to All Anthropogenic Emissions of CO2</t>
  </si>
  <si>
    <t xml:space="preserve">No subhr output. lpjg code name = fco2antt</t>
  </si>
  <si>
    <t xml:space="preserve">This is requested only for the emission-driven coupled carbon climate model runs.  Does not include natural fire sources but, includes all anthropogenic sources, including fossil fuel use, cement production, agricultural burning, and sources associated with anthropogenic land use change excluding forest regrowth.</t>
  </si>
  <si>
    <t xml:space="preserve">fco2nat</t>
  </si>
  <si>
    <t xml:space="preserve">Surface Carbon Mass Flux into the Atmosphere Due to Natural Sources</t>
  </si>
  <si>
    <t xml:space="preserve">No subhr output. lpjg code name = fco2nat</t>
  </si>
  <si>
    <t xml:space="preserve">This is what the atmosphere sees (on its own grid).  This field should be equivalent to the combined natural fluxes of carbon  that account for natural exchanges between the atmosphere and land (nep) or ocean (fgco2) reservoirs.</t>
  </si>
  <si>
    <t xml:space="preserve">tnhus</t>
  </si>
  <si>
    <t xml:space="preserve">Tendency of Specific Humidity</t>
  </si>
  <si>
    <t xml:space="preserve">No subhr output. Grib 126.94 + 126.99 + 126.106 + 126.110  Adding all the q-tendencies, thus: grib 128.94 + 128.99 + 128.106 + 128.110.  Alternatively, in IFS: just estimating the delta q per month. So far no direct grib code for the totoal q-tendency found</t>
  </si>
  <si>
    <t xml:space="preserve">tnhusc</t>
  </si>
  <si>
    <t xml:space="preserve">Tendency of Specific Humidity Due to Convection</t>
  </si>
  <si>
    <t xml:space="preserve">No subhr output. grib 126.106                              Available in IFS: q-tendency from convection: grib 128.106</t>
  </si>
  <si>
    <t xml:space="preserve">Tendencies from cumulus convection scheme.</t>
  </si>
  <si>
    <t xml:space="preserve">tnhusmp</t>
  </si>
  <si>
    <t xml:space="preserve">Tendency of Specific Humidity Due to Model Physics</t>
  </si>
  <si>
    <t xml:space="preserve">No subhr output. grib 126.99 + 126.106 + 126.110           Adding all the q-tendencies without advection, thus: grib 128.99 + 128.106 + 128.110.</t>
  </si>
  <si>
    <t xml:space="preserve">Tendency of specific humidity due to model physics. This includes sources and sinks from parametrized moist physics (e.g. convection, boundary layer, stratiform condensation/evaporation, etc.) and excludes sources and sinks from resolved dynamics or from horizontal or vertical numerical diffusion not associated with model physics.  For example any diffusive mixing by the boundary layer scheme would be included.</t>
  </si>
  <si>
    <t xml:space="preserve">tntc</t>
  </si>
  <si>
    <t xml:space="preserve">Tendency of Air Temperature Due to Convection</t>
  </si>
  <si>
    <t xml:space="preserve">No subhr output. grib 126.105                              Available in IFS: T-tendency from convection : grib 128.105</t>
  </si>
  <si>
    <t xml:space="preserve">tntr</t>
  </si>
  <si>
    <t xml:space="preserve">Tendency of Air Temperature Due to Radiative Heating</t>
  </si>
  <si>
    <t xml:space="preserve">No subhr output. grib 126.95                               Available in IFS: T-tendency from radiation: grib 128.95</t>
  </si>
  <si>
    <t xml:space="preserve">Tendency of Air Temperature due to Radiative Heating</t>
  </si>
  <si>
    <t xml:space="preserve">No subhr output. Alternatively, just estimating the delta T per month. No direct grib code for the totoal T-tendency found. In IFS from Cycle 39R1: add all the T-Tendencies: grib 128.93 + 128.95 + 128.98 + 128.102 + 128.105 + 128.109. But with IFS cycle 36 the T-tendency of gravity wave drag grib 128.102 is bugged until Cycle 39R1. This has been checked by Gijs with ECMWF: https://software.ecmwf.int/wiki/pages/viewpage.action?pageId=97384581</t>
  </si>
  <si>
    <t xml:space="preserve">longitude</t>
  </si>
  <si>
    <t xml:space="preserve">site</t>
  </si>
  <si>
    <t xml:space="preserve">Longitude</t>
  </si>
  <si>
    <t xml:space="preserve">degrees_east</t>
  </si>
  <si>
    <t xml:space="preserve">No subhr output. This site lon,lat is specifed by the experiment we guess, and should be available in the netcdf file. So far it doesn't seem to be specified in the data request: in the CMIP6_coordinate.json table file the requested": "" is empty for site.</t>
  </si>
  <si>
    <t xml:space="preserve">Longitude is positive eastward; its units of degree_east (or equivalent) indicate this explicitly. In a latitude-longitude system defined with respect to a rotated North Pole, the standard name of grid_longitude should be used instead of longitude. Grid longitude is positive in the grid-eastward direction, but its units should be plain degree.</t>
  </si>
  <si>
    <t xml:space="preserve">latitude</t>
  </si>
  <si>
    <t xml:space="preserve">Latitude</t>
  </si>
  <si>
    <t xml:space="preserve">degrees_north</t>
  </si>
  <si>
    <t xml:space="preserve">Latitude is positive northward; its units of degree_north (or equivalent) indicate this explicitly. In a latitude-longitude system defined with respect to a rotated North Pole, the standard name of grid_latitude should be used instead of latitude. Grid latitude is positive in the grid-northward direction, but its units should be plain degree.</t>
  </si>
  <si>
    <t xml:space="preserve">No subhr output. Grib 126.94 + 126.99 + 126.106 + 126.110       part of MFP3D        Adding all the q-tendencies, thus: grib 128.94 + 128.99 + 128.106 + 128.110.  Alternatively, in IFS: just estimating the delta q per month. So far no direct grib code for the totoal q-tendency found</t>
  </si>
  <si>
    <t xml:space="preserve">reffclws</t>
  </si>
  <si>
    <t xml:space="preserve">No subhr output. From the AerChem side there is interest in Emon reffclws. This variable is identified as the already available PEXTRA variable with the table 126 grib code 126021, i.e. proposing to add reffclws as 21.126 to ifspar.json.  Note that this variable is not requested by CMIP6 AerChem, and that reffclws not occurs in any CMIP6 data request of the experiments in which any EC-Earth3* configuration participates. See further #564.</t>
  </si>
  <si>
    <t xml:space="preserve">gpp</t>
  </si>
  <si>
    <t xml:space="preserve">Carbon Mass Flux out of Atmosphere Due to Gross Primary Production on Land</t>
  </si>
  <si>
    <t xml:space="preserve">Can not be produced by LPJ-GUESS: Shotest timestep in LPJ-GUESS for this variable is one month currently</t>
  </si>
  <si>
    <t xml:space="preserve">David Warlind, Thomas</t>
  </si>
  <si>
    <t xml:space="preserve">The rate of synthesis of biomass from inorganic precursors by autotrophs ('producers') expressed as the mass of carbon which it contains. For example, photosynthesis in plants or phytoplankton. The producers also respire some of this biomass and the difference is referred to as the net primary production. </t>
  </si>
  <si>
    <t xml:space="preserve">ra</t>
  </si>
  <si>
    <t xml:space="preserve">Carbon Mass Flux into Atmosphere Due to Autotrophic (Plant) Respiration on Land</t>
  </si>
  <si>
    <t xml:space="preserve">Carbon mass flux per unit area into atmosphere due to autotrophic respiration on land (respiration by producers) [see rh for heterotrophic production]</t>
  </si>
  <si>
    <t xml:space="preserve">rh</t>
  </si>
  <si>
    <t xml:space="preserve">Carbon Mass Flux into Atmosphere Due to Heterotrophic Respiration on Land</t>
  </si>
  <si>
    <t xml:space="preserve">Carbon mass flux per unit area into atmosphere due to heterotrophic respiration on land (respiration by consumers)</t>
  </si>
  <si>
    <t xml:space="preserve">thkcello</t>
  </si>
  <si>
    <t xml:space="preserve">Ocean Model Cell Thickness</t>
  </si>
  <si>
    <t xml:space="preserve">nemo code name = thkcello  but not constant in time in NEMO</t>
  </si>
  <si>
    <t xml:space="preserve">automatic, Thomas</t>
  </si>
  <si>
    <t xml:space="preserve">'Thickness' means the vertical extent of a layer. 'Cell' refers to a model grid-cell.</t>
  </si>
  <si>
    <t xml:space="preserve">CMIP,DCPP,PAMIP,PMIP,VIACSAB</t>
  </si>
  <si>
    <t xml:space="preserve">masscello</t>
  </si>
  <si>
    <t xml:space="preserve">Ocean Grid-Cell Mass per Area</t>
  </si>
  <si>
    <t xml:space="preserve">nemo code name = masscello  but not constant in time in NEMO</t>
  </si>
  <si>
    <t xml:space="preserve">Tracer grid-cell mass per unit area used for computing tracer budgets. For Boussinesq models with static ocean grid cell thickness, masscello = rhozero*thickcello, where thickcello is static cell thickness and rhozero is constant Boussinesq reference density. More generally, masscello is time dependent and reported as part of Omon.</t>
  </si>
  <si>
    <t xml:space="preserve">CMIP,OMIP</t>
  </si>
  <si>
    <t xml:space="preserve">o3</t>
  </si>
  <si>
    <t xml:space="preserve">Mole Fraction of O3</t>
  </si>
  <si>
    <t xml:space="preserve">This combination is decided to be ignored in #440. tm5 code name = o3|ifs code name = 203.128</t>
  </si>
  <si>
    <t xml:space="preserve">o3Clim</t>
  </si>
  <si>
    <t xml:space="preserve">This combination is decided to be ignored in #440. tm5 code name = o3Clim</t>
  </si>
  <si>
    <t xml:space="preserve">ch4Clim</t>
  </si>
  <si>
    <t xml:space="preserve">Mole Fraction of CH4</t>
  </si>
  <si>
    <t xml:space="preserve">This combination is decided to be ignored in #441 tm5 code name = ch4</t>
  </si>
  <si>
    <t xml:space="preserve">ch4globalClim</t>
  </si>
  <si>
    <t xml:space="preserve">Global Mean Mole Fraction of CH4</t>
  </si>
  <si>
    <t xml:space="preserve">Grib 126.94 + 126.99 + 126.106 + 126.110  Adding all the q-tendencies, thus: grib 128.94 + 128.99 + 128.106 + 128.110.  Alternatively, in IFS: just estimating the delta q per month. So far no direct grib code for the totoal q-tendency found</t>
  </si>
  <si>
    <t xml:space="preserve">Convective Rainfall rate</t>
  </si>
  <si>
    <t xml:space="preserve">prra</t>
  </si>
  <si>
    <t xml:space="preserve">Rainfall Flux where Ice Free Ocean over Sea</t>
  </si>
  <si>
    <t xml:space="preserve">Large-scale precipitation (rain+snow) + Convective precipitation (rain+snow) - Snowfall: grib 128.142 + 128.143 - 128.144</t>
  </si>
  <si>
    <t xml:space="preserve">Shuting, Thomas</t>
  </si>
  <si>
    <t xml:space="preserve">Change in surface heat storage</t>
  </si>
  <si>
    <t xml:space="preserve">Change in snow/ice cold content</t>
  </si>
  <si>
    <t xml:space="preserve">Temperature of bare soil</t>
  </si>
  <si>
    <t xml:space="preserve">Canopy covered area percentage</t>
  </si>
  <si>
    <t xml:space="preserve">Bare soil evaporation</t>
  </si>
  <si>
    <t xml:space="preserve">'Water' means water in all phases. Evaporation is the conversion of liquid or solid into vapor. (The conversion of solid alone into vapor is called 'sublimation'.) In accordance with common usage in geophysical disciplines, 'flux' implies per unit area, called 'flux density' in physics.</t>
  </si>
  <si>
    <t xml:space="preserve">Water flowing out of snowpack</t>
  </si>
  <si>
    <t xml:space="preserve">In accordance with common usage in geophysical disciplines, 'flux' implies per unit area, called 'flux density' in physics. The phrase 'surface_snow' means snow lying on the surface. The specification of a physical process by the phrase 'due_to_' process means that the quantity named is a single term in a sum of terms which together compose the general quantity named by omitting the phrase.</t>
  </si>
  <si>
    <t xml:space="preserve">Change in soil moisture</t>
  </si>
  <si>
    <t xml:space="preserve">Change in snow water equivalent</t>
  </si>
  <si>
    <t xml:space="preserve">The phrase 'change_over_time_in_X' means change in a quantity X over a time-interval, which should be defined by the bounds of the time coordinate. 'Amount' means mass per unit area. The phrase 'ice_and_snow_on_land' means ice in glaciers, ice caps, ice sheets and shelves, river and lake ice, any other ice on a land surface, such as frozen flood water, and snow lying on such ice or on the land surface.</t>
  </si>
  <si>
    <t xml:space="preserve">The phrase 'change_over_time_in_X' means change in a quantity X over a time-interval, which should be defined by the bounds of the time coordinate. 'Amount' means mass per unit area. 'Water' means water in all phases. The phrase 'land_water_amount', often known as 'Terrestrial Water Storage', includes: surface liquid water (water in rivers, wetlands, lakes, reservoirs, rainfall intercepted by the canopy); surface ice and snow (glaciers, ice caps, grounded ice sheets not displacing sea water, river and lake ice, other surface ice such as frozen flood water, snow lying on the surface and intercepted by the canopy); subsurface water (liquid and frozen soil water, groundwater).</t>
  </si>
  <si>
    <t xml:space="preserve">Root zone soil moisture</t>
  </si>
  <si>
    <t xml:space="preserve">Average layer fraction of liquid moisture</t>
  </si>
  <si>
    <t xml:space="preserve">Average layer fraction of frozen moisture</t>
  </si>
  <si>
    <t xml:space="preserve">Depth to soil thaw</t>
  </si>
  <si>
    <t xml:space="preserve">Aerodynamic resistance</t>
  </si>
  <si>
    <t xml:space="preserve">Nudging Increment of Water in Soil Mositure</t>
  </si>
  <si>
    <t xml:space="preserve">A 'nudging increment' refers to an amount added to parts of a model system. The phrase 'nudging_increment_in_X' refers to an increment in quantity X over a time period which should be defined in the bounds of the time coordinate. 'Content' indicates a quantity per unit area. 'Water' means water in all phases. The mass content of water in soil refers to the vertical integral from the surface down to the bottom of the soil model. The 'soil content' of a quantity refers to the vertical integral from the surface down to the bottom of the soil model. For the content between specified levels in the soil, standard names including 'content_of_soil_layer' are used.</t>
  </si>
  <si>
    <t xml:space="preserve">A 'nudging increment' refers to an amount added to parts of a model system. The phrase 'nudging_increment_in_X' refers to an increment in quantity X over a time period which should be defined in the bounds of the time coordinate. The surface called 'surface' means the lower boundary of the atmosphere. 'Amount' means mass per unit area. 'Snow and ice on land' means ice in glaciers, ice caps, ice sheets &amp; shelves, river and lake ice, any other ice on a land surface, such as frozen flood water, and snow lying on such ice or on the land surface.</t>
  </si>
  <si>
    <t xml:space="preserve">rsutcsaf</t>
  </si>
  <si>
    <t xml:space="preserve">TOA Outgoing Clear-Sky, Aerosol-Free Shortwave Radiation</t>
  </si>
  <si>
    <t xml:space="preserve">ifs code name = 68.126</t>
  </si>
  <si>
    <t xml:space="preserve">Flux corresponding to rsutcs resulting from aerosol-free call to radiation, following Ghan (ACP, 2013)</t>
  </si>
  <si>
    <t xml:space="preserve">ec</t>
  </si>
  <si>
    <t xml:space="preserve">Interception Evaporation</t>
  </si>
  <si>
    <t xml:space="preserve">Not available in IFS   #557</t>
  </si>
  <si>
    <t xml:space="preserve">Franco, Thomas</t>
  </si>
  <si>
    <t xml:space="preserve">'Water' means water in all phases. 'Canopy' means the plant or vegetation canopy. Evaporation is the conversion of liquid or solid into vapor. (The conversion of solid alone into vapor is called 'sublimation'.) In accordance with common usage in geophysical disciplines, 'flux' implies per unit area, called 'flux density' in physics. Unless indicated in the cell_methods attribute, a quantity is assumed to apply to the whole area of each horizontal grid box. Previously, the qualifier where_type was used to specify that the quantity applies only to the part of the grid box of the named type.  Names containing the where_type qualifier are deprecated and newly created data should use the cell_methods attribute to indicate the horizontal area to which the quantity applies.</t>
  </si>
  <si>
    <t xml:space="preserve">co2</t>
  </si>
  <si>
    <t xml:space="preserve">Not available in TM5. CO2 only transported in C-Cycle version, unclear if it is needed as output from TM5?</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</si>
</sst>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1048576"/>
  <sheetViews>
    <sheetView showFormulas="false" showGridLines="true" showRowColHeaders="true" showZeros="true" rightToLeft="false" tabSelected="true" showOutlineSymbols="true" defaultGridColor="true" view="normal" topLeftCell="A548" colorId="64" zoomScale="100" zoomScaleNormal="100" zoomScalePageLayoutView="100" workbookViewId="0">
      <selection pane="topLeft" activeCell="A568" activeCellId="0" sqref="A568"/>
    </sheetView>
  </sheetViews>
  <sheetFormatPr defaultRowHeight="15" zeroHeight="false" outlineLevelRow="0" outlineLevelCol="0"/>
  <cols>
    <col collapsed="false" customWidth="true" hidden="false" outlineLevel="0" max="1" min="1" style="0" width="10.71"/>
    <col collapsed="false" customWidth="true" hidden="false" outlineLevel="0" max="2" min="2" style="0" width="15.71"/>
    <col collapsed="false" customWidth="true" hidden="false" outlineLevel="0" max="3" min="3" style="0" width="4.71"/>
    <col collapsed="false" customWidth="true" hidden="false" outlineLevel="0" max="4" min="4" style="0" width="35.71"/>
    <col collapsed="false" customWidth="true" hidden="false" outlineLevel="0" max="5" min="5" style="0" width="80.71"/>
    <col collapsed="false" customWidth="true" hidden="false" outlineLevel="0" max="6" min="6" style="0" width="15.71"/>
    <col collapsed="false" customWidth="true" hidden="false" outlineLevel="0" max="7" min="7" style="0" width="4.71"/>
    <col collapsed="false" customWidth="true" hidden="false" outlineLevel="0" max="8" min="8" style="0" width="80.71"/>
    <col collapsed="false" customWidth="true" hidden="false" outlineLevel="0" max="9" min="9" style="0" width="15.71"/>
    <col collapsed="false" customWidth="true" hidden="false" outlineLevel="0" max="10" min="10" style="0" width="200.69"/>
    <col collapsed="false" customWidth="true" hidden="false" outlineLevel="0" max="11" min="11" style="0" width="80.71"/>
    <col collapsed="false" customWidth="true" hidden="false" outlineLevel="0" max="1025" min="12" style="0" width="8.67"/>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c r="K1" s="1" t="s">
        <v>10</v>
      </c>
    </row>
    <row r="3" customFormat="false" ht="15" hidden="false" customHeight="false" outlineLevel="0" collapsed="false">
      <c r="A3" s="0" t="s">
        <v>11</v>
      </c>
      <c r="B3" s="0" t="s">
        <v>12</v>
      </c>
      <c r="C3" s="0" t="s">
        <v>13</v>
      </c>
      <c r="D3" s="0" t="s">
        <v>14</v>
      </c>
      <c r="E3" s="0" t="s">
        <v>15</v>
      </c>
      <c r="F3" s="0" t="s">
        <v>16</v>
      </c>
      <c r="G3" s="0" t="n">
        <f aca="false">HYPERLINK("http://clipc-services.ceda.ac.uk/dreq/u/7124a0cc-c7b6-11e6-bb2a-ac72891c3257.html","web")</f>
        <v>0</v>
      </c>
      <c r="H3" s="0" t="s">
        <v>17</v>
      </c>
      <c r="I3" s="0" t="s">
        <v>18</v>
      </c>
      <c r="J3" s="0" t="s">
        <v>19</v>
      </c>
      <c r="K3" s="0" t="s">
        <v>20</v>
      </c>
    </row>
    <row r="4" customFormat="false" ht="15" hidden="false" customHeight="false" outlineLevel="0" collapsed="false">
      <c r="A4" s="0" t="s">
        <v>11</v>
      </c>
      <c r="B4" s="0" t="s">
        <v>21</v>
      </c>
      <c r="C4" s="0" t="s">
        <v>13</v>
      </c>
      <c r="D4" s="0" t="s">
        <v>14</v>
      </c>
      <c r="E4" s="0" t="s">
        <v>22</v>
      </c>
      <c r="F4" s="0" t="s">
        <v>23</v>
      </c>
      <c r="G4" s="0" t="n">
        <f aca="false">HYPERLINK("http://clipc-services.ceda.ac.uk/dreq/u/7124996a-c7b6-11e6-bb2a-ac72891c3257.html","web")</f>
        <v>0</v>
      </c>
      <c r="H4" s="0" t="s">
        <v>24</v>
      </c>
      <c r="I4" s="0" t="s">
        <v>18</v>
      </c>
      <c r="J4" s="0" t="s">
        <v>25</v>
      </c>
      <c r="K4" s="0" t="s">
        <v>20</v>
      </c>
    </row>
    <row r="5" customFormat="false" ht="15" hidden="false" customHeight="false" outlineLevel="0" collapsed="false">
      <c r="A5" s="0" t="s">
        <v>11</v>
      </c>
      <c r="B5" s="0" t="s">
        <v>26</v>
      </c>
      <c r="C5" s="0" t="s">
        <v>13</v>
      </c>
      <c r="D5" s="0" t="s">
        <v>14</v>
      </c>
      <c r="E5" s="0" t="s">
        <v>27</v>
      </c>
      <c r="F5" s="0" t="s">
        <v>28</v>
      </c>
      <c r="G5" s="0" t="n">
        <f aca="false">HYPERLINK("http://clipc-services.ceda.ac.uk/dreq/u/71249bb8-c7b6-11e6-bb2a-ac72891c3257.html","web")</f>
        <v>0</v>
      </c>
      <c r="H5" s="0" t="s">
        <v>29</v>
      </c>
      <c r="I5" s="0" t="s">
        <v>18</v>
      </c>
      <c r="J5" s="0" t="s">
        <v>30</v>
      </c>
      <c r="K5" s="0" t="s">
        <v>20</v>
      </c>
    </row>
    <row r="6" customFormat="false" ht="15" hidden="false" customHeight="false" outlineLevel="0" collapsed="false">
      <c r="A6" s="0" t="s">
        <v>11</v>
      </c>
      <c r="B6" s="0" t="s">
        <v>31</v>
      </c>
      <c r="C6" s="0" t="s">
        <v>32</v>
      </c>
      <c r="D6" s="0" t="s">
        <v>33</v>
      </c>
      <c r="E6" s="0" t="s">
        <v>34</v>
      </c>
      <c r="F6" s="0" t="s">
        <v>16</v>
      </c>
      <c r="G6" s="0" t="n">
        <f aca="false">HYPERLINK("http://clipc-services.ceda.ac.uk/dreq/u/590dbe0c-9e49-11e5-803c-0d0b866b59f3.html","web")</f>
        <v>0</v>
      </c>
      <c r="H6" s="0" t="s">
        <v>35</v>
      </c>
      <c r="I6" s="0" t="s">
        <v>36</v>
      </c>
      <c r="J6" s="0" t="s">
        <v>37</v>
      </c>
      <c r="K6" s="0" t="s">
        <v>38</v>
      </c>
    </row>
    <row r="7" customFormat="false" ht="15" hidden="false" customHeight="false" outlineLevel="0" collapsed="false">
      <c r="A7" s="0" t="s">
        <v>11</v>
      </c>
      <c r="B7" s="0" t="s">
        <v>39</v>
      </c>
      <c r="C7" s="0" t="s">
        <v>32</v>
      </c>
      <c r="D7" s="0" t="s">
        <v>33</v>
      </c>
      <c r="E7" s="0" t="s">
        <v>40</v>
      </c>
      <c r="F7" s="0" t="s">
        <v>41</v>
      </c>
      <c r="G7" s="0" t="n">
        <f aca="false">HYPERLINK("http://clipc-services.ceda.ac.uk/dreq/u/59170cbe-9e49-11e5-803c-0d0b866b59f3.html","web")</f>
        <v>0</v>
      </c>
      <c r="H7" s="0" t="s">
        <v>42</v>
      </c>
      <c r="I7" s="0" t="s">
        <v>43</v>
      </c>
      <c r="J7" s="0" t="s">
        <v>44</v>
      </c>
      <c r="K7" s="0" t="s">
        <v>45</v>
      </c>
    </row>
    <row r="8" customFormat="false" ht="15" hidden="false" customHeight="false" outlineLevel="0" collapsed="false">
      <c r="A8" s="0" t="s">
        <v>11</v>
      </c>
      <c r="B8" s="0" t="s">
        <v>46</v>
      </c>
      <c r="C8" s="0" t="s">
        <v>13</v>
      </c>
      <c r="D8" s="0" t="s">
        <v>14</v>
      </c>
      <c r="E8" s="0" t="s">
        <v>47</v>
      </c>
      <c r="F8" s="0" t="s">
        <v>16</v>
      </c>
      <c r="G8" s="0" t="n">
        <f aca="false">HYPERLINK("http://clipc-services.ceda.ac.uk/dreq/u/7124926c-c7b6-11e6-bb2a-ac72891c3257.html","web")</f>
        <v>0</v>
      </c>
      <c r="H8" s="0" t="s">
        <v>48</v>
      </c>
      <c r="I8" s="0" t="s">
        <v>18</v>
      </c>
      <c r="J8" s="0" t="s">
        <v>49</v>
      </c>
      <c r="K8" s="0" t="s">
        <v>20</v>
      </c>
    </row>
    <row r="10" customFormat="false" ht="15" hidden="false" customHeight="false" outlineLevel="0" collapsed="false">
      <c r="A10" s="0" t="s">
        <v>50</v>
      </c>
      <c r="B10" s="0" t="s">
        <v>51</v>
      </c>
      <c r="C10" s="0" t="s">
        <v>13</v>
      </c>
      <c r="D10" s="0" t="s">
        <v>52</v>
      </c>
      <c r="E10" s="0" t="s">
        <v>53</v>
      </c>
      <c r="F10" s="0" t="s">
        <v>54</v>
      </c>
      <c r="G10" s="0" t="n">
        <f aca="false">HYPERLINK("http://clipc-services.ceda.ac.uk/dreq/u/c9a77f2a-c5f0-11e6-ac20-5404a60d96b5.html","web")</f>
        <v>0</v>
      </c>
      <c r="H10" s="0" t="s">
        <v>55</v>
      </c>
      <c r="I10" s="0" t="s">
        <v>56</v>
      </c>
      <c r="J10" s="0" t="s">
        <v>57</v>
      </c>
      <c r="K10" s="0" t="s">
        <v>58</v>
      </c>
    </row>
    <row r="12" customFormat="false" ht="15" hidden="false" customHeight="false" outlineLevel="0" collapsed="false">
      <c r="A12" s="0" t="s">
        <v>59</v>
      </c>
      <c r="B12" s="0" t="s">
        <v>60</v>
      </c>
      <c r="C12" s="0" t="s">
        <v>32</v>
      </c>
      <c r="D12" s="0" t="s">
        <v>61</v>
      </c>
      <c r="E12" s="0" t="s">
        <v>62</v>
      </c>
      <c r="F12" s="0" t="s">
        <v>63</v>
      </c>
      <c r="G12" s="0" t="n">
        <f aca="false">HYPERLINK("http://clipc-services.ceda.ac.uk/dreq/u/a72a0bcf271db9db3a7fb9b7f3e7b93a.html","web")</f>
        <v>0</v>
      </c>
      <c r="H12" s="0" t="s">
        <v>64</v>
      </c>
      <c r="I12" s="0" t="s">
        <v>65</v>
      </c>
      <c r="J12" s="0" t="s">
        <v>66</v>
      </c>
      <c r="K12" s="0" t="s">
        <v>67</v>
      </c>
    </row>
    <row r="13" customFormat="false" ht="15" hidden="false" customHeight="false" outlineLevel="0" collapsed="false">
      <c r="A13" s="0" t="s">
        <v>59</v>
      </c>
      <c r="B13" s="0" t="s">
        <v>68</v>
      </c>
      <c r="C13" s="0" t="s">
        <v>69</v>
      </c>
      <c r="D13" s="0" t="s">
        <v>61</v>
      </c>
      <c r="E13" s="0" t="s">
        <v>70</v>
      </c>
      <c r="F13" s="0" t="s">
        <v>63</v>
      </c>
      <c r="G13" s="0" t="n">
        <f aca="false">HYPERLINK("http://clipc-services.ceda.ac.uk/dreq/u/27ad2512525b0c42b7edd88f1dad5955.html","web")</f>
        <v>0</v>
      </c>
      <c r="H13" s="0" t="s">
        <v>64</v>
      </c>
      <c r="I13" s="0" t="s">
        <v>65</v>
      </c>
      <c r="J13" s="0" t="s">
        <v>71</v>
      </c>
      <c r="K13" s="0" t="s">
        <v>67</v>
      </c>
    </row>
    <row r="14" customFormat="false" ht="15" hidden="false" customHeight="false" outlineLevel="0" collapsed="false">
      <c r="A14" s="0" t="s">
        <v>59</v>
      </c>
      <c r="B14" s="0" t="s">
        <v>72</v>
      </c>
      <c r="C14" s="0" t="s">
        <v>69</v>
      </c>
      <c r="D14" s="0" t="s">
        <v>61</v>
      </c>
      <c r="E14" s="0" t="s">
        <v>73</v>
      </c>
      <c r="F14" s="0" t="s">
        <v>74</v>
      </c>
      <c r="G14" s="0" t="n">
        <f aca="false">HYPERLINK("http://clipc-services.ceda.ac.uk/dreq/u/e5a8a5a5c4ff0920fa237e5274df57ba.html","web")</f>
        <v>0</v>
      </c>
      <c r="H14" s="0" t="s">
        <v>75</v>
      </c>
      <c r="I14" s="0" t="s">
        <v>76</v>
      </c>
      <c r="J14" s="0" t="s">
        <v>77</v>
      </c>
      <c r="K14" s="0" t="s">
        <v>78</v>
      </c>
    </row>
    <row r="15" customFormat="false" ht="15" hidden="false" customHeight="false" outlineLevel="0" collapsed="false">
      <c r="A15" s="0" t="s">
        <v>59</v>
      </c>
      <c r="B15" s="0" t="s">
        <v>79</v>
      </c>
      <c r="C15" s="0" t="s">
        <v>69</v>
      </c>
      <c r="D15" s="0" t="s">
        <v>61</v>
      </c>
      <c r="E15" s="0" t="s">
        <v>80</v>
      </c>
      <c r="F15" s="0" t="s">
        <v>74</v>
      </c>
      <c r="G15" s="0" t="n">
        <f aca="false">HYPERLINK("http://clipc-services.ceda.ac.uk/dreq/u/1df32c1e9440e03187aa8253e1a0f2d9.html","web")</f>
        <v>0</v>
      </c>
      <c r="H15" s="0" t="s">
        <v>81</v>
      </c>
      <c r="I15" s="0" t="s">
        <v>76</v>
      </c>
      <c r="J15" s="0" t="s">
        <v>82</v>
      </c>
      <c r="K15" s="0" t="s">
        <v>78</v>
      </c>
    </row>
    <row r="16" customFormat="false" ht="15" hidden="false" customHeight="false" outlineLevel="0" collapsed="false">
      <c r="A16" s="0" t="s">
        <v>59</v>
      </c>
      <c r="B16" s="0" t="s">
        <v>83</v>
      </c>
      <c r="C16" s="0" t="s">
        <v>69</v>
      </c>
      <c r="D16" s="0" t="s">
        <v>61</v>
      </c>
      <c r="E16" s="0" t="s">
        <v>84</v>
      </c>
      <c r="F16" s="0" t="s">
        <v>74</v>
      </c>
      <c r="G16" s="0" t="n">
        <f aca="false">HYPERLINK("http://clipc-services.ceda.ac.uk/dreq/u/6674625c225f14aa8d6795d1df244c28.html","web")</f>
        <v>0</v>
      </c>
      <c r="H16" s="0" t="s">
        <v>85</v>
      </c>
      <c r="I16" s="0" t="s">
        <v>76</v>
      </c>
      <c r="J16" s="0" t="s">
        <v>86</v>
      </c>
      <c r="K16" s="0" t="s">
        <v>78</v>
      </c>
    </row>
    <row r="17" customFormat="false" ht="15" hidden="false" customHeight="false" outlineLevel="0" collapsed="false">
      <c r="A17" s="0" t="s">
        <v>59</v>
      </c>
      <c r="B17" s="0" t="s">
        <v>87</v>
      </c>
      <c r="C17" s="0" t="s">
        <v>69</v>
      </c>
      <c r="D17" s="0" t="s">
        <v>61</v>
      </c>
      <c r="E17" s="0" t="s">
        <v>88</v>
      </c>
      <c r="F17" s="0" t="s">
        <v>74</v>
      </c>
      <c r="G17" s="0" t="n">
        <f aca="false">HYPERLINK("http://clipc-services.ceda.ac.uk/dreq/u/c075ee7167ef3bc43fef7ce624f960af.html","web")</f>
        <v>0</v>
      </c>
      <c r="H17" s="0" t="s">
        <v>89</v>
      </c>
      <c r="I17" s="0" t="s">
        <v>76</v>
      </c>
      <c r="J17" s="0" t="s">
        <v>90</v>
      </c>
      <c r="K17" s="0" t="s">
        <v>78</v>
      </c>
    </row>
    <row r="18" customFormat="false" ht="15" hidden="false" customHeight="false" outlineLevel="0" collapsed="false">
      <c r="A18" s="0" t="s">
        <v>59</v>
      </c>
      <c r="B18" s="0" t="s">
        <v>91</v>
      </c>
      <c r="C18" s="0" t="s">
        <v>69</v>
      </c>
      <c r="D18" s="0" t="s">
        <v>61</v>
      </c>
      <c r="E18" s="0" t="s">
        <v>92</v>
      </c>
      <c r="F18" s="0" t="s">
        <v>74</v>
      </c>
      <c r="G18" s="0" t="n">
        <f aca="false">HYPERLINK("http://clipc-services.ceda.ac.uk/dreq/u/cc3eb19e60c00c77520c2cbf58c322b1.html","web")</f>
        <v>0</v>
      </c>
      <c r="H18" s="0" t="s">
        <v>93</v>
      </c>
      <c r="I18" s="0" t="s">
        <v>76</v>
      </c>
      <c r="J18" s="0" t="s">
        <v>94</v>
      </c>
      <c r="K18" s="0" t="s">
        <v>78</v>
      </c>
    </row>
    <row r="19" customFormat="false" ht="15" hidden="false" customHeight="false" outlineLevel="0" collapsed="false">
      <c r="A19" s="0" t="s">
        <v>59</v>
      </c>
      <c r="B19" s="0" t="s">
        <v>95</v>
      </c>
      <c r="C19" s="0" t="s">
        <v>69</v>
      </c>
      <c r="D19" s="0" t="s">
        <v>61</v>
      </c>
      <c r="E19" s="0" t="s">
        <v>96</v>
      </c>
      <c r="F19" s="0" t="s">
        <v>74</v>
      </c>
      <c r="G19" s="0" t="n">
        <f aca="false">HYPERLINK("http://clipc-services.ceda.ac.uk/dreq/u/2157a343384243be18fe8a06826aecb5.html","web")</f>
        <v>0</v>
      </c>
      <c r="H19" s="0" t="s">
        <v>97</v>
      </c>
      <c r="I19" s="0" t="s">
        <v>76</v>
      </c>
      <c r="J19" s="0" t="s">
        <v>98</v>
      </c>
      <c r="K19" s="0" t="s">
        <v>78</v>
      </c>
    </row>
    <row r="20" customFormat="false" ht="15" hidden="false" customHeight="false" outlineLevel="0" collapsed="false">
      <c r="A20" s="0" t="s">
        <v>59</v>
      </c>
      <c r="B20" s="0" t="s">
        <v>99</v>
      </c>
      <c r="C20" s="0" t="s">
        <v>32</v>
      </c>
      <c r="D20" s="0" t="s">
        <v>61</v>
      </c>
      <c r="E20" s="0" t="s">
        <v>100</v>
      </c>
      <c r="F20" s="0" t="s">
        <v>101</v>
      </c>
      <c r="G20" s="0" t="n">
        <f aca="false">HYPERLINK("http://clipc-services.ceda.ac.uk/dreq/u/df96c61c07957da1c4e8212f0553fa98.html","web")</f>
        <v>0</v>
      </c>
      <c r="H20" s="0" t="s">
        <v>102</v>
      </c>
      <c r="I20" s="0" t="s">
        <v>103</v>
      </c>
      <c r="J20" s="0" t="s">
        <v>104</v>
      </c>
      <c r="K20" s="0" t="s">
        <v>105</v>
      </c>
    </row>
    <row r="21" customFormat="false" ht="15" hidden="false" customHeight="false" outlineLevel="0" collapsed="false">
      <c r="A21" s="0" t="s">
        <v>59</v>
      </c>
      <c r="B21" s="0" t="s">
        <v>106</v>
      </c>
      <c r="C21" s="0" t="s">
        <v>32</v>
      </c>
      <c r="D21" s="0" t="s">
        <v>61</v>
      </c>
      <c r="E21" s="0" t="s">
        <v>107</v>
      </c>
      <c r="F21" s="0" t="s">
        <v>101</v>
      </c>
      <c r="G21" s="0" t="n">
        <f aca="false">HYPERLINK("http://clipc-services.ceda.ac.uk/dreq/u/171d617ceca8a4351f53d090c0ead89c.html","web")</f>
        <v>0</v>
      </c>
      <c r="H21" s="0" t="s">
        <v>102</v>
      </c>
      <c r="I21" s="0" t="s">
        <v>103</v>
      </c>
      <c r="J21" s="0" t="s">
        <v>108</v>
      </c>
      <c r="K21" s="0" t="s">
        <v>105</v>
      </c>
    </row>
    <row r="22" customFormat="false" ht="15" hidden="false" customHeight="false" outlineLevel="0" collapsed="false">
      <c r="A22" s="0" t="s">
        <v>59</v>
      </c>
      <c r="B22" s="0" t="s">
        <v>109</v>
      </c>
      <c r="C22" s="0" t="s">
        <v>32</v>
      </c>
      <c r="D22" s="0" t="s">
        <v>61</v>
      </c>
      <c r="E22" s="0" t="s">
        <v>110</v>
      </c>
      <c r="F22" s="0" t="s">
        <v>101</v>
      </c>
      <c r="G22" s="0" t="n">
        <f aca="false">HYPERLINK("http://clipc-services.ceda.ac.uk/dreq/u/edc3d019be9c383abbd82a4d5fad43ca.html","web")</f>
        <v>0</v>
      </c>
      <c r="H22" s="0" t="s">
        <v>102</v>
      </c>
      <c r="I22" s="0" t="s">
        <v>103</v>
      </c>
      <c r="J22" s="0" t="s">
        <v>111</v>
      </c>
      <c r="K22" s="0" t="s">
        <v>105</v>
      </c>
    </row>
    <row r="23" customFormat="false" ht="15" hidden="false" customHeight="false" outlineLevel="0" collapsed="false">
      <c r="A23" s="0" t="s">
        <v>59</v>
      </c>
      <c r="B23" s="0" t="s">
        <v>112</v>
      </c>
      <c r="C23" s="0" t="s">
        <v>32</v>
      </c>
      <c r="D23" s="0" t="s">
        <v>61</v>
      </c>
      <c r="E23" s="0" t="s">
        <v>113</v>
      </c>
      <c r="F23" s="0" t="s">
        <v>63</v>
      </c>
      <c r="G23" s="0" t="n">
        <f aca="false">HYPERLINK("http://clipc-services.ceda.ac.uk/dreq/u/065edaa295c376f0e9bc1985bc3f491c.html","web")</f>
        <v>0</v>
      </c>
      <c r="H23" s="0" t="s">
        <v>64</v>
      </c>
      <c r="I23" s="0" t="s">
        <v>65</v>
      </c>
      <c r="J23" s="0" t="s">
        <v>114</v>
      </c>
      <c r="K23" s="0" t="s">
        <v>78</v>
      </c>
    </row>
    <row r="24" customFormat="false" ht="15" hidden="false" customHeight="false" outlineLevel="0" collapsed="false">
      <c r="A24" s="0" t="s">
        <v>59</v>
      </c>
      <c r="B24" s="0" t="s">
        <v>115</v>
      </c>
      <c r="C24" s="0" t="s">
        <v>32</v>
      </c>
      <c r="D24" s="0" t="s">
        <v>61</v>
      </c>
      <c r="E24" s="0" t="s">
        <v>116</v>
      </c>
      <c r="F24" s="0" t="s">
        <v>74</v>
      </c>
      <c r="G24" s="0" t="n">
        <f aca="false">HYPERLINK("http://clipc-services.ceda.ac.uk/dreq/u/402d88cf81105fe603118df92bb9eecb.html","web")</f>
        <v>0</v>
      </c>
      <c r="H24" s="0" t="s">
        <v>117</v>
      </c>
      <c r="I24" s="0" t="s">
        <v>76</v>
      </c>
      <c r="J24" s="0" t="s">
        <v>118</v>
      </c>
      <c r="K24" s="0" t="s">
        <v>78</v>
      </c>
    </row>
    <row r="25" customFormat="false" ht="15" hidden="false" customHeight="false" outlineLevel="0" collapsed="false">
      <c r="A25" s="0" t="s">
        <v>59</v>
      </c>
      <c r="B25" s="0" t="s">
        <v>119</v>
      </c>
      <c r="C25" s="0" t="s">
        <v>13</v>
      </c>
      <c r="D25" s="0" t="s">
        <v>61</v>
      </c>
      <c r="E25" s="0" t="s">
        <v>120</v>
      </c>
      <c r="F25" s="0" t="s">
        <v>63</v>
      </c>
      <c r="G25" s="0" t="n">
        <f aca="false">HYPERLINK("http://clipc-services.ceda.ac.uk/dreq/u/59175660-9e49-11e5-803c-0d0b866b59f3.html","web")</f>
        <v>0</v>
      </c>
      <c r="H25" s="0" t="s">
        <v>121</v>
      </c>
      <c r="I25" s="0" t="s">
        <v>65</v>
      </c>
      <c r="J25" s="0" t="s">
        <v>122</v>
      </c>
      <c r="K25" s="0" t="s">
        <v>105</v>
      </c>
    </row>
    <row r="26" customFormat="false" ht="15" hidden="false" customHeight="false" outlineLevel="0" collapsed="false">
      <c r="A26" s="0" t="s">
        <v>59</v>
      </c>
      <c r="B26" s="0" t="s">
        <v>123</v>
      </c>
      <c r="C26" s="0" t="s">
        <v>13</v>
      </c>
      <c r="D26" s="0" t="s">
        <v>61</v>
      </c>
      <c r="E26" s="0" t="s">
        <v>124</v>
      </c>
      <c r="F26" s="0" t="s">
        <v>63</v>
      </c>
      <c r="G26" s="0" t="n">
        <f aca="false">HYPERLINK("http://clipc-services.ceda.ac.uk/dreq/u/1391b0d99790cec6597b02ce4d7c5a67.html","web")</f>
        <v>0</v>
      </c>
      <c r="H26" s="0" t="s">
        <v>64</v>
      </c>
      <c r="I26" s="0" t="s">
        <v>65</v>
      </c>
      <c r="J26" s="0" t="s">
        <v>125</v>
      </c>
      <c r="K26" s="0" t="s">
        <v>105</v>
      </c>
    </row>
    <row r="27" customFormat="false" ht="15" hidden="false" customHeight="false" outlineLevel="0" collapsed="false">
      <c r="A27" s="0" t="s">
        <v>59</v>
      </c>
      <c r="B27" s="0" t="s">
        <v>126</v>
      </c>
      <c r="C27" s="0" t="s">
        <v>13</v>
      </c>
      <c r="D27" s="0" t="s">
        <v>61</v>
      </c>
      <c r="E27" s="0" t="s">
        <v>127</v>
      </c>
      <c r="F27" s="0" t="s">
        <v>63</v>
      </c>
      <c r="G27" s="0" t="n">
        <f aca="false">HYPERLINK("http://clipc-services.ceda.ac.uk/dreq/u/55febff83b78e06576947e1c0e5b7a7d.html","web")</f>
        <v>0</v>
      </c>
      <c r="H27" s="0" t="s">
        <v>121</v>
      </c>
      <c r="I27" s="0" t="s">
        <v>65</v>
      </c>
      <c r="J27" s="0" t="s">
        <v>128</v>
      </c>
      <c r="K27" s="0" t="s">
        <v>105</v>
      </c>
    </row>
    <row r="28" customFormat="false" ht="15" hidden="false" customHeight="false" outlineLevel="0" collapsed="false">
      <c r="A28" s="0" t="s">
        <v>59</v>
      </c>
      <c r="B28" s="0" t="s">
        <v>129</v>
      </c>
      <c r="C28" s="0" t="s">
        <v>32</v>
      </c>
      <c r="D28" s="0" t="s">
        <v>61</v>
      </c>
      <c r="E28" s="0" t="s">
        <v>130</v>
      </c>
      <c r="F28" s="0" t="s">
        <v>63</v>
      </c>
      <c r="G28" s="0" t="n">
        <f aca="false">HYPERLINK("http://clipc-services.ceda.ac.uk/dreq/u/bdce9878-233e-11e6-a788-5404a60d96b5.html","web")</f>
        <v>0</v>
      </c>
      <c r="H28" s="0" t="s">
        <v>117</v>
      </c>
      <c r="I28" s="0" t="s">
        <v>76</v>
      </c>
      <c r="J28" s="0" t="s">
        <v>131</v>
      </c>
      <c r="K28" s="0" t="s">
        <v>78</v>
      </c>
    </row>
    <row r="29" customFormat="false" ht="15" hidden="false" customHeight="false" outlineLevel="0" collapsed="false">
      <c r="A29" s="0" t="s">
        <v>59</v>
      </c>
      <c r="B29" s="0" t="s">
        <v>132</v>
      </c>
      <c r="C29" s="0" t="s">
        <v>32</v>
      </c>
      <c r="D29" s="0" t="s">
        <v>61</v>
      </c>
      <c r="E29" s="0" t="s">
        <v>133</v>
      </c>
      <c r="F29" s="0" t="s">
        <v>134</v>
      </c>
      <c r="G29" s="0" t="n">
        <f aca="false">HYPERLINK("http://clipc-services.ceda.ac.uk/dreq/u/684d3f3543045a89ecbb0ca81ba6705f.html","web")</f>
        <v>0</v>
      </c>
      <c r="H29" s="0" t="s">
        <v>135</v>
      </c>
      <c r="I29" s="0" t="s">
        <v>136</v>
      </c>
      <c r="J29" s="0" t="s">
        <v>137</v>
      </c>
      <c r="K29" s="0" t="s">
        <v>78</v>
      </c>
    </row>
    <row r="30" customFormat="false" ht="15" hidden="false" customHeight="false" outlineLevel="0" collapsed="false">
      <c r="A30" s="0" t="s">
        <v>59</v>
      </c>
      <c r="B30" s="0" t="s">
        <v>138</v>
      </c>
      <c r="C30" s="0" t="s">
        <v>32</v>
      </c>
      <c r="D30" s="0" t="s">
        <v>61</v>
      </c>
      <c r="E30" s="0" t="s">
        <v>139</v>
      </c>
      <c r="F30" s="0" t="s">
        <v>134</v>
      </c>
      <c r="G30" s="0" t="n">
        <f aca="false">HYPERLINK("http://clipc-services.ceda.ac.uk/dreq/u/71480abb30ae62d262fcea6cfdd753cf.html","web")</f>
        <v>0</v>
      </c>
      <c r="H30" s="0" t="s">
        <v>140</v>
      </c>
      <c r="I30" s="0" t="s">
        <v>43</v>
      </c>
      <c r="J30" s="0" t="s">
        <v>141</v>
      </c>
      <c r="K30" s="0" t="s">
        <v>67</v>
      </c>
    </row>
    <row r="31" customFormat="false" ht="15" hidden="false" customHeight="false" outlineLevel="0" collapsed="false">
      <c r="A31" s="0" t="s">
        <v>59</v>
      </c>
      <c r="B31" s="0" t="s">
        <v>142</v>
      </c>
      <c r="C31" s="0" t="s">
        <v>32</v>
      </c>
      <c r="D31" s="0" t="s">
        <v>61</v>
      </c>
      <c r="E31" s="0" t="s">
        <v>143</v>
      </c>
      <c r="F31" s="0" t="s">
        <v>134</v>
      </c>
      <c r="G31" s="0" t="n">
        <f aca="false">HYPERLINK("http://clipc-services.ceda.ac.uk/dreq/u/e52528e8-dd83-11e5-9194-ac72891c3257.html","web")</f>
        <v>0</v>
      </c>
      <c r="H31" s="0" t="s">
        <v>140</v>
      </c>
      <c r="I31" s="0" t="s">
        <v>43</v>
      </c>
      <c r="J31" s="0" t="s">
        <v>144</v>
      </c>
      <c r="K31" s="0" t="s">
        <v>78</v>
      </c>
    </row>
    <row r="32" customFormat="false" ht="15" hidden="false" customHeight="false" outlineLevel="0" collapsed="false">
      <c r="A32" s="0" t="s">
        <v>59</v>
      </c>
      <c r="B32" s="0" t="s">
        <v>145</v>
      </c>
      <c r="C32" s="0" t="s">
        <v>32</v>
      </c>
      <c r="D32" s="0" t="s">
        <v>61</v>
      </c>
      <c r="E32" s="0" t="s">
        <v>146</v>
      </c>
      <c r="F32" s="0" t="s">
        <v>134</v>
      </c>
      <c r="G32" s="0" t="n">
        <f aca="false">HYPERLINK("http://clipc-services.ceda.ac.uk/dreq/u/236430ceeb7aa3d23577b3a03d13f7fb.html","web")</f>
        <v>0</v>
      </c>
      <c r="H32" s="0" t="s">
        <v>140</v>
      </c>
      <c r="I32" s="0" t="s">
        <v>43</v>
      </c>
      <c r="J32" s="0" t="s">
        <v>144</v>
      </c>
      <c r="K32" s="0" t="s">
        <v>67</v>
      </c>
    </row>
    <row r="33" customFormat="false" ht="15" hidden="false" customHeight="false" outlineLevel="0" collapsed="false">
      <c r="A33" s="0" t="s">
        <v>59</v>
      </c>
      <c r="B33" s="0" t="s">
        <v>147</v>
      </c>
      <c r="C33" s="0" t="s">
        <v>69</v>
      </c>
      <c r="D33" s="0" t="s">
        <v>61</v>
      </c>
      <c r="E33" s="0" t="s">
        <v>148</v>
      </c>
      <c r="F33" s="0" t="s">
        <v>74</v>
      </c>
      <c r="G33" s="0" t="n">
        <f aca="false">HYPERLINK("http://clipc-services.ceda.ac.uk/dreq/u/9a9dda6b54b64f67bda703c77465cceb.html","web")</f>
        <v>0</v>
      </c>
      <c r="H33" s="0" t="s">
        <v>117</v>
      </c>
      <c r="I33" s="0" t="s">
        <v>76</v>
      </c>
      <c r="J33" s="0" t="s">
        <v>149</v>
      </c>
      <c r="K33" s="0" t="s">
        <v>78</v>
      </c>
    </row>
    <row r="34" customFormat="false" ht="15" hidden="false" customHeight="false" outlineLevel="0" collapsed="false">
      <c r="A34" s="0" t="s">
        <v>59</v>
      </c>
      <c r="B34" s="0" t="s">
        <v>150</v>
      </c>
      <c r="C34" s="0" t="s">
        <v>13</v>
      </c>
      <c r="D34" s="0" t="s">
        <v>151</v>
      </c>
      <c r="E34" s="0" t="s">
        <v>152</v>
      </c>
      <c r="F34" s="0" t="s">
        <v>153</v>
      </c>
      <c r="G34" s="0" t="n">
        <f aca="false">HYPERLINK("http://clipc-services.ceda.ac.uk/dreq/u/590e5b82-9e49-11e5-803c-0d0b866b59f3.html","web")</f>
        <v>0</v>
      </c>
      <c r="H34" s="0" t="s">
        <v>121</v>
      </c>
      <c r="I34" s="0" t="s">
        <v>65</v>
      </c>
      <c r="J34" s="0" t="s">
        <v>154</v>
      </c>
      <c r="K34" s="0" t="s">
        <v>105</v>
      </c>
    </row>
    <row r="35" customFormat="false" ht="15" hidden="false" customHeight="false" outlineLevel="0" collapsed="false">
      <c r="A35" s="0" t="s">
        <v>59</v>
      </c>
      <c r="B35" s="0" t="s">
        <v>155</v>
      </c>
      <c r="C35" s="0" t="s">
        <v>13</v>
      </c>
      <c r="D35" s="0" t="s">
        <v>151</v>
      </c>
      <c r="E35" s="0" t="s">
        <v>156</v>
      </c>
      <c r="F35" s="0" t="s">
        <v>153</v>
      </c>
      <c r="G35" s="0" t="n">
        <f aca="false">HYPERLINK("http://clipc-services.ceda.ac.uk/dreq/u/f36046ab9a8a24ce4d7431e2defd9cf6.html","web")</f>
        <v>0</v>
      </c>
      <c r="H35" s="0" t="s">
        <v>157</v>
      </c>
      <c r="I35" s="0" t="s">
        <v>136</v>
      </c>
      <c r="J35" s="0" t="s">
        <v>158</v>
      </c>
      <c r="K35" s="0" t="s">
        <v>105</v>
      </c>
    </row>
    <row r="36" customFormat="false" ht="15" hidden="false" customHeight="false" outlineLevel="0" collapsed="false">
      <c r="A36" s="0" t="s">
        <v>59</v>
      </c>
      <c r="B36" s="0" t="s">
        <v>159</v>
      </c>
      <c r="C36" s="0" t="s">
        <v>13</v>
      </c>
      <c r="D36" s="0" t="s">
        <v>151</v>
      </c>
      <c r="E36" s="0" t="s">
        <v>160</v>
      </c>
      <c r="F36" s="0" t="s">
        <v>153</v>
      </c>
      <c r="G36" s="0" t="n">
        <f aca="false">HYPERLINK("http://clipc-services.ceda.ac.uk/dreq/u/042e575e61a271e122d317ca7b39dcb4.html","web")</f>
        <v>0</v>
      </c>
      <c r="H36" s="0" t="s">
        <v>135</v>
      </c>
      <c r="I36" s="0" t="s">
        <v>136</v>
      </c>
      <c r="J36" s="0" t="s">
        <v>161</v>
      </c>
      <c r="K36" s="0" t="s">
        <v>105</v>
      </c>
    </row>
    <row r="37" customFormat="false" ht="15" hidden="false" customHeight="false" outlineLevel="0" collapsed="false">
      <c r="A37" s="0" t="s">
        <v>59</v>
      </c>
      <c r="B37" s="0" t="s">
        <v>162</v>
      </c>
      <c r="C37" s="0" t="s">
        <v>13</v>
      </c>
      <c r="D37" s="0" t="s">
        <v>151</v>
      </c>
      <c r="E37" s="0" t="s">
        <v>163</v>
      </c>
      <c r="F37" s="0" t="s">
        <v>153</v>
      </c>
      <c r="G37" s="0" t="n">
        <f aca="false">HYPERLINK("http://clipc-services.ceda.ac.uk/dreq/u/97c037c3357f24c4e06c07123224b400.html","web")</f>
        <v>0</v>
      </c>
      <c r="H37" s="0" t="s">
        <v>164</v>
      </c>
      <c r="I37" s="0" t="s">
        <v>136</v>
      </c>
      <c r="J37" s="0" t="s">
        <v>165</v>
      </c>
      <c r="K37" s="0" t="s">
        <v>105</v>
      </c>
    </row>
    <row r="38" customFormat="false" ht="15" hidden="false" customHeight="false" outlineLevel="0" collapsed="false">
      <c r="A38" s="0" t="s">
        <v>59</v>
      </c>
      <c r="B38" s="0" t="s">
        <v>166</v>
      </c>
      <c r="C38" s="0" t="s">
        <v>32</v>
      </c>
      <c r="D38" s="0" t="s">
        <v>61</v>
      </c>
      <c r="E38" s="0" t="s">
        <v>167</v>
      </c>
      <c r="F38" s="0" t="s">
        <v>74</v>
      </c>
      <c r="G38" s="0" t="n">
        <f aca="false">HYPERLINK("http://clipc-services.ceda.ac.uk/dreq/u/6aec29521de81a361630aac9ffc69f8f.html","web")</f>
        <v>0</v>
      </c>
      <c r="H38" s="0" t="s">
        <v>117</v>
      </c>
      <c r="I38" s="0" t="s">
        <v>76</v>
      </c>
      <c r="J38" s="0" t="s">
        <v>168</v>
      </c>
      <c r="K38" s="0" t="s">
        <v>78</v>
      </c>
    </row>
    <row r="39" customFormat="false" ht="15" hidden="false" customHeight="false" outlineLevel="0" collapsed="false">
      <c r="A39" s="0" t="s">
        <v>59</v>
      </c>
      <c r="B39" s="0" t="s">
        <v>169</v>
      </c>
      <c r="C39" s="0" t="s">
        <v>13</v>
      </c>
      <c r="D39" s="0" t="s">
        <v>61</v>
      </c>
      <c r="E39" s="0" t="s">
        <v>170</v>
      </c>
      <c r="F39" s="0" t="s">
        <v>13</v>
      </c>
      <c r="G39" s="0" t="n">
        <f aca="false">HYPERLINK("http://clipc-services.ceda.ac.uk/dreq/u/c977c2da-c5f0-11e6-ac20-5404a60d96b5.html","web")</f>
        <v>0</v>
      </c>
      <c r="H39" s="0" t="s">
        <v>121</v>
      </c>
      <c r="I39" s="0" t="s">
        <v>65</v>
      </c>
      <c r="J39" s="0" t="s">
        <v>171</v>
      </c>
      <c r="K39" s="0" t="s">
        <v>105</v>
      </c>
    </row>
    <row r="40" customFormat="false" ht="15" hidden="false" customHeight="false" outlineLevel="0" collapsed="false">
      <c r="A40" s="0" t="s">
        <v>59</v>
      </c>
      <c r="B40" s="0" t="s">
        <v>172</v>
      </c>
      <c r="C40" s="0" t="s">
        <v>13</v>
      </c>
      <c r="D40" s="0" t="s">
        <v>61</v>
      </c>
      <c r="E40" s="0" t="s">
        <v>173</v>
      </c>
      <c r="F40" s="0" t="s">
        <v>13</v>
      </c>
      <c r="G40" s="0" t="n">
        <f aca="false">HYPERLINK("http://clipc-services.ceda.ac.uk/dreq/u/c97004d2-c5f0-11e6-ac20-5404a60d96b5.html","web")</f>
        <v>0</v>
      </c>
      <c r="H40" s="0" t="s">
        <v>174</v>
      </c>
      <c r="I40" s="0" t="s">
        <v>65</v>
      </c>
      <c r="J40" s="0" t="s">
        <v>175</v>
      </c>
      <c r="K40" s="0" t="s">
        <v>105</v>
      </c>
    </row>
    <row r="41" customFormat="false" ht="15" hidden="false" customHeight="false" outlineLevel="0" collapsed="false">
      <c r="A41" s="0" t="s">
        <v>59</v>
      </c>
      <c r="B41" s="0" t="s">
        <v>176</v>
      </c>
      <c r="C41" s="0" t="s">
        <v>69</v>
      </c>
      <c r="D41" s="0" t="s">
        <v>61</v>
      </c>
      <c r="E41" s="0" t="s">
        <v>177</v>
      </c>
      <c r="F41" s="0" t="s">
        <v>63</v>
      </c>
      <c r="G41" s="0" t="n">
        <f aca="false">HYPERLINK("http://clipc-services.ceda.ac.uk/dreq/u/38c7aa97ad0f74e33dfd3f115124d04f.html","web")</f>
        <v>0</v>
      </c>
      <c r="H41" s="0" t="s">
        <v>64</v>
      </c>
      <c r="I41" s="0" t="s">
        <v>65</v>
      </c>
      <c r="J41" s="0" t="s">
        <v>178</v>
      </c>
      <c r="K41" s="0" t="s">
        <v>67</v>
      </c>
    </row>
    <row r="42" customFormat="false" ht="15" hidden="false" customHeight="false" outlineLevel="0" collapsed="false">
      <c r="A42" s="0" t="s">
        <v>59</v>
      </c>
      <c r="B42" s="0" t="s">
        <v>179</v>
      </c>
      <c r="C42" s="0" t="s">
        <v>69</v>
      </c>
      <c r="D42" s="0" t="s">
        <v>61</v>
      </c>
      <c r="E42" s="0" t="s">
        <v>180</v>
      </c>
      <c r="F42" s="0" t="s">
        <v>63</v>
      </c>
      <c r="G42" s="0" t="n">
        <f aca="false">HYPERLINK("http://clipc-services.ceda.ac.uk/dreq/u/ad7df7199759ad25164da83e37a6da17.html","web")</f>
        <v>0</v>
      </c>
      <c r="H42" s="0" t="s">
        <v>64</v>
      </c>
      <c r="I42" s="0" t="s">
        <v>65</v>
      </c>
      <c r="J42" s="0" t="s">
        <v>181</v>
      </c>
      <c r="K42" s="0" t="s">
        <v>67</v>
      </c>
    </row>
    <row r="43" customFormat="false" ht="15" hidden="false" customHeight="false" outlineLevel="0" collapsed="false">
      <c r="A43" s="0" t="s">
        <v>59</v>
      </c>
      <c r="B43" s="0" t="s">
        <v>182</v>
      </c>
      <c r="C43" s="0" t="s">
        <v>32</v>
      </c>
      <c r="D43" s="0" t="s">
        <v>61</v>
      </c>
      <c r="E43" s="0" t="s">
        <v>183</v>
      </c>
      <c r="F43" s="0" t="s">
        <v>63</v>
      </c>
      <c r="G43" s="0" t="n">
        <f aca="false">HYPERLINK("http://clipc-services.ceda.ac.uk/dreq/u/80f337469efdd0d5392ad995a90fd15c.html","web")</f>
        <v>0</v>
      </c>
      <c r="H43" s="0" t="s">
        <v>102</v>
      </c>
      <c r="I43" s="0" t="s">
        <v>103</v>
      </c>
      <c r="J43" s="0" t="s">
        <v>184</v>
      </c>
      <c r="K43" s="0" t="s">
        <v>105</v>
      </c>
    </row>
    <row r="44" customFormat="false" ht="15" hidden="false" customHeight="false" outlineLevel="0" collapsed="false">
      <c r="A44" s="0" t="s">
        <v>59</v>
      </c>
      <c r="B44" s="0" t="s">
        <v>185</v>
      </c>
      <c r="C44" s="0" t="s">
        <v>32</v>
      </c>
      <c r="D44" s="0" t="s">
        <v>61</v>
      </c>
      <c r="E44" s="0" t="s">
        <v>186</v>
      </c>
      <c r="F44" s="0" t="s">
        <v>63</v>
      </c>
      <c r="G44" s="0" t="n">
        <f aca="false">HYPERLINK("http://clipc-services.ceda.ac.uk/dreq/u/1ae710e405acc14b368f55d9205be258.html","web")</f>
        <v>0</v>
      </c>
      <c r="H44" s="0" t="s">
        <v>102</v>
      </c>
      <c r="I44" s="0" t="s">
        <v>103</v>
      </c>
      <c r="J44" s="0" t="s">
        <v>187</v>
      </c>
      <c r="K44" s="0" t="s">
        <v>105</v>
      </c>
    </row>
    <row r="45" customFormat="false" ht="15" hidden="false" customHeight="false" outlineLevel="0" collapsed="false">
      <c r="A45" s="0" t="s">
        <v>59</v>
      </c>
      <c r="B45" s="0" t="s">
        <v>188</v>
      </c>
      <c r="C45" s="0" t="s">
        <v>69</v>
      </c>
      <c r="D45" s="0" t="s">
        <v>61</v>
      </c>
      <c r="E45" s="0" t="s">
        <v>189</v>
      </c>
      <c r="F45" s="0" t="s">
        <v>63</v>
      </c>
      <c r="G45" s="0" t="n">
        <f aca="false">HYPERLINK("http://clipc-services.ceda.ac.uk/dreq/u/3aa265a13ddf4caa82a8e1e3d4482f42.html","web")</f>
        <v>0</v>
      </c>
      <c r="H45" s="0" t="s">
        <v>190</v>
      </c>
      <c r="I45" s="0" t="s">
        <v>76</v>
      </c>
      <c r="J45" s="0" t="s">
        <v>191</v>
      </c>
      <c r="K45" s="0" t="s">
        <v>67</v>
      </c>
    </row>
    <row r="46" customFormat="false" ht="15" hidden="false" customHeight="false" outlineLevel="0" collapsed="false">
      <c r="A46" s="0" t="s">
        <v>59</v>
      </c>
      <c r="B46" s="0" t="s">
        <v>192</v>
      </c>
      <c r="C46" s="0" t="s">
        <v>32</v>
      </c>
      <c r="D46" s="0" t="s">
        <v>61</v>
      </c>
      <c r="E46" s="0" t="s">
        <v>193</v>
      </c>
      <c r="F46" s="0" t="s">
        <v>63</v>
      </c>
      <c r="G46" s="0" t="n">
        <f aca="false">HYPERLINK("http://clipc-services.ceda.ac.uk/dreq/u/14e5a31ac93e26c50f8c01ed9a032168.html","web")</f>
        <v>0</v>
      </c>
      <c r="H46" s="0" t="s">
        <v>102</v>
      </c>
      <c r="I46" s="0" t="s">
        <v>103</v>
      </c>
      <c r="J46" s="0" t="s">
        <v>194</v>
      </c>
      <c r="K46" s="0" t="s">
        <v>105</v>
      </c>
    </row>
    <row r="47" customFormat="false" ht="15" hidden="false" customHeight="false" outlineLevel="0" collapsed="false">
      <c r="A47" s="0" t="s">
        <v>59</v>
      </c>
      <c r="B47" s="0" t="s">
        <v>195</v>
      </c>
      <c r="C47" s="0" t="s">
        <v>32</v>
      </c>
      <c r="D47" s="0" t="s">
        <v>61</v>
      </c>
      <c r="E47" s="0" t="s">
        <v>196</v>
      </c>
      <c r="F47" s="0" t="s">
        <v>63</v>
      </c>
      <c r="G47" s="0" t="n">
        <f aca="false">HYPERLINK("http://clipc-services.ceda.ac.uk/dreq/u/562c99ff069851867df730ed9531c796.html","web")</f>
        <v>0</v>
      </c>
      <c r="H47" s="0" t="s">
        <v>102</v>
      </c>
      <c r="I47" s="0" t="s">
        <v>103</v>
      </c>
      <c r="J47" s="0" t="s">
        <v>197</v>
      </c>
      <c r="K47" s="0" t="s">
        <v>105</v>
      </c>
    </row>
    <row r="48" customFormat="false" ht="15" hidden="false" customHeight="false" outlineLevel="0" collapsed="false">
      <c r="A48" s="0" t="s">
        <v>59</v>
      </c>
      <c r="B48" s="0" t="s">
        <v>198</v>
      </c>
      <c r="C48" s="0" t="s">
        <v>69</v>
      </c>
      <c r="D48" s="0" t="s">
        <v>61</v>
      </c>
      <c r="E48" s="0" t="s">
        <v>199</v>
      </c>
      <c r="F48" s="0" t="s">
        <v>74</v>
      </c>
      <c r="G48" s="0" t="n">
        <f aca="false">HYPERLINK("http://clipc-services.ceda.ac.uk/dreq/u/e526caea-dd83-11e5-9194-ac72891c3257.html","web")</f>
        <v>0</v>
      </c>
      <c r="H48" s="0" t="s">
        <v>135</v>
      </c>
      <c r="I48" s="0" t="s">
        <v>136</v>
      </c>
      <c r="J48" s="0" t="s">
        <v>200</v>
      </c>
      <c r="K48" s="0" t="s">
        <v>105</v>
      </c>
    </row>
    <row r="49" customFormat="false" ht="15" hidden="false" customHeight="false" outlineLevel="0" collapsed="false">
      <c r="A49" s="0" t="s">
        <v>59</v>
      </c>
      <c r="B49" s="0" t="s">
        <v>201</v>
      </c>
      <c r="C49" s="0" t="s">
        <v>69</v>
      </c>
      <c r="D49" s="0" t="s">
        <v>61</v>
      </c>
      <c r="E49" s="0" t="s">
        <v>202</v>
      </c>
      <c r="F49" s="0" t="s">
        <v>74</v>
      </c>
      <c r="G49" s="0" t="n">
        <f aca="false">HYPERLINK("http://clipc-services.ceda.ac.uk/dreq/u/e525bed4-dd83-11e5-9194-ac72891c3257.html","web")</f>
        <v>0</v>
      </c>
      <c r="H49" s="0" t="s">
        <v>140</v>
      </c>
      <c r="I49" s="0" t="s">
        <v>43</v>
      </c>
      <c r="J49" s="0" t="s">
        <v>203</v>
      </c>
      <c r="K49" s="0" t="s">
        <v>78</v>
      </c>
    </row>
    <row r="50" customFormat="false" ht="15" hidden="false" customHeight="false" outlineLevel="0" collapsed="false">
      <c r="A50" s="0" t="s">
        <v>59</v>
      </c>
      <c r="B50" s="0" t="s">
        <v>204</v>
      </c>
      <c r="C50" s="0" t="s">
        <v>69</v>
      </c>
      <c r="D50" s="0" t="s">
        <v>61</v>
      </c>
      <c r="E50" s="0" t="s">
        <v>205</v>
      </c>
      <c r="F50" s="0" t="s">
        <v>74</v>
      </c>
      <c r="G50" s="0" t="n">
        <f aca="false">HYPERLINK("http://clipc-services.ceda.ac.uk/dreq/u/e52644bc-dd83-11e5-9194-ac72891c3257.html","web")</f>
        <v>0</v>
      </c>
      <c r="H50" s="0" t="s">
        <v>135</v>
      </c>
      <c r="I50" s="0" t="s">
        <v>136</v>
      </c>
      <c r="J50" s="0" t="s">
        <v>206</v>
      </c>
      <c r="K50" s="0" t="s">
        <v>105</v>
      </c>
    </row>
    <row r="51" customFormat="false" ht="15" hidden="false" customHeight="false" outlineLevel="0" collapsed="false">
      <c r="A51" s="0" t="s">
        <v>59</v>
      </c>
      <c r="B51" s="0" t="s">
        <v>207</v>
      </c>
      <c r="C51" s="0" t="s">
        <v>69</v>
      </c>
      <c r="D51" s="0" t="s">
        <v>61</v>
      </c>
      <c r="E51" s="0" t="s">
        <v>208</v>
      </c>
      <c r="F51" s="0" t="s">
        <v>74</v>
      </c>
      <c r="G51" s="0" t="n">
        <f aca="false">HYPERLINK("http://clipc-services.ceda.ac.uk/dreq/u/e5278b06-dd83-11e5-9194-ac72891c3257.html","web")</f>
        <v>0</v>
      </c>
      <c r="H51" s="0" t="s">
        <v>140</v>
      </c>
      <c r="I51" s="0" t="s">
        <v>43</v>
      </c>
      <c r="J51" s="0" t="s">
        <v>209</v>
      </c>
      <c r="K51" s="0" t="s">
        <v>78</v>
      </c>
    </row>
    <row r="52" customFormat="false" ht="15" hidden="false" customHeight="false" outlineLevel="0" collapsed="false">
      <c r="A52" s="0" t="s">
        <v>59</v>
      </c>
      <c r="B52" s="0" t="s">
        <v>210</v>
      </c>
      <c r="C52" s="0" t="s">
        <v>69</v>
      </c>
      <c r="D52" s="0" t="s">
        <v>61</v>
      </c>
      <c r="E52" s="0" t="s">
        <v>211</v>
      </c>
      <c r="F52" s="0" t="s">
        <v>74</v>
      </c>
      <c r="G52" s="0" t="n">
        <f aca="false">HYPERLINK("http://clipc-services.ceda.ac.uk/dreq/u/e527532a-dd83-11e5-9194-ac72891c3257.html","web")</f>
        <v>0</v>
      </c>
      <c r="H52" s="0" t="s">
        <v>135</v>
      </c>
      <c r="I52" s="0" t="s">
        <v>136</v>
      </c>
      <c r="J52" s="0" t="s">
        <v>212</v>
      </c>
      <c r="K52" s="0" t="s">
        <v>105</v>
      </c>
    </row>
    <row r="53" customFormat="false" ht="15" hidden="false" customHeight="false" outlineLevel="0" collapsed="false">
      <c r="A53" s="0" t="s">
        <v>59</v>
      </c>
      <c r="B53" s="0" t="s">
        <v>213</v>
      </c>
      <c r="C53" s="0" t="s">
        <v>13</v>
      </c>
      <c r="D53" s="0" t="s">
        <v>61</v>
      </c>
      <c r="E53" s="0" t="s">
        <v>214</v>
      </c>
      <c r="F53" s="0" t="s">
        <v>215</v>
      </c>
      <c r="G53" s="0" t="n">
        <f aca="false">HYPERLINK("http://clipc-services.ceda.ac.uk/dreq/u/4c69515bfc84c5cb5624e94228f58351.html","web")</f>
        <v>0</v>
      </c>
      <c r="H53" s="0" t="s">
        <v>216</v>
      </c>
      <c r="I53" s="0" t="s">
        <v>65</v>
      </c>
      <c r="J53" s="0" t="s">
        <v>217</v>
      </c>
      <c r="K53" s="0" t="s">
        <v>105</v>
      </c>
    </row>
    <row r="54" customFormat="false" ht="15" hidden="false" customHeight="false" outlineLevel="0" collapsed="false">
      <c r="A54" s="0" t="s">
        <v>59</v>
      </c>
      <c r="B54" s="0" t="s">
        <v>218</v>
      </c>
      <c r="C54" s="0" t="s">
        <v>69</v>
      </c>
      <c r="D54" s="0" t="s">
        <v>61</v>
      </c>
      <c r="E54" s="0" t="s">
        <v>219</v>
      </c>
      <c r="F54" s="0" t="s">
        <v>63</v>
      </c>
      <c r="G54" s="0" t="n">
        <f aca="false">HYPERLINK("http://clipc-services.ceda.ac.uk/dreq/u/c9776970-c5f0-11e6-ac20-5404a60d96b5.html","web")</f>
        <v>0</v>
      </c>
      <c r="H54" s="0" t="s">
        <v>64</v>
      </c>
      <c r="I54" s="0" t="s">
        <v>65</v>
      </c>
      <c r="J54" s="0" t="s">
        <v>220</v>
      </c>
      <c r="K54" s="0" t="s">
        <v>221</v>
      </c>
    </row>
    <row r="56" customFormat="false" ht="15" hidden="false" customHeight="false" outlineLevel="0" collapsed="false">
      <c r="A56" s="0" t="s">
        <v>222</v>
      </c>
      <c r="B56" s="0" t="s">
        <v>223</v>
      </c>
      <c r="C56" s="0" t="s">
        <v>13</v>
      </c>
      <c r="D56" s="0" t="s">
        <v>224</v>
      </c>
      <c r="E56" s="0" t="s">
        <v>225</v>
      </c>
      <c r="F56" s="0" t="s">
        <v>41</v>
      </c>
      <c r="G56" s="0" t="n">
        <f aca="false">HYPERLINK("http://clipc-services.ceda.ac.uk/dreq/u/00e77372e8b909d9a827a0790e991fd9.html","web")</f>
        <v>0</v>
      </c>
      <c r="H56" s="0" t="s">
        <v>226</v>
      </c>
      <c r="I56" s="0" t="s">
        <v>43</v>
      </c>
      <c r="J56" s="0" t="s">
        <v>227</v>
      </c>
      <c r="K56" s="0" t="s">
        <v>228</v>
      </c>
    </row>
    <row r="58" customFormat="false" ht="15" hidden="false" customHeight="false" outlineLevel="0" collapsed="false">
      <c r="A58" s="0" t="s">
        <v>229</v>
      </c>
      <c r="B58" s="0" t="s">
        <v>230</v>
      </c>
      <c r="C58" s="0" t="s">
        <v>13</v>
      </c>
      <c r="D58" s="0" t="s">
        <v>151</v>
      </c>
      <c r="E58" s="0" t="s">
        <v>231</v>
      </c>
      <c r="F58" s="0" t="s">
        <v>232</v>
      </c>
      <c r="G58" s="0" t="n">
        <f aca="false">HYPERLINK("http://clipc-services.ceda.ac.uk/dreq/u/13484743dd3369c69df93379e6dafbb5.html","web")</f>
        <v>0</v>
      </c>
      <c r="H58" s="0" t="s">
        <v>233</v>
      </c>
      <c r="J58" s="0" t="s">
        <v>234</v>
      </c>
      <c r="K58" s="0" t="s">
        <v>235</v>
      </c>
    </row>
    <row r="59" customFormat="false" ht="15" hidden="false" customHeight="false" outlineLevel="0" collapsed="false">
      <c r="A59" s="0" t="s">
        <v>229</v>
      </c>
      <c r="B59" s="0" t="s">
        <v>236</v>
      </c>
      <c r="C59" s="0" t="s">
        <v>13</v>
      </c>
      <c r="D59" s="0" t="s">
        <v>151</v>
      </c>
      <c r="E59" s="0" t="s">
        <v>237</v>
      </c>
      <c r="F59" s="0" t="s">
        <v>232</v>
      </c>
      <c r="G59" s="0" t="n">
        <f aca="false">HYPERLINK("http://clipc-services.ceda.ac.uk/dreq/u/0062272a6a4176b8c32af87642b062c5.html","web")</f>
        <v>0</v>
      </c>
      <c r="H59" s="0" t="s">
        <v>238</v>
      </c>
      <c r="I59" s="0" t="s">
        <v>239</v>
      </c>
      <c r="J59" s="0" t="s">
        <v>240</v>
      </c>
      <c r="K59" s="0" t="s">
        <v>235</v>
      </c>
    </row>
    <row r="60" customFormat="false" ht="15" hidden="false" customHeight="false" outlineLevel="0" collapsed="false">
      <c r="A60" s="0" t="s">
        <v>229</v>
      </c>
      <c r="B60" s="0" t="s">
        <v>241</v>
      </c>
      <c r="C60" s="0" t="s">
        <v>13</v>
      </c>
      <c r="D60" s="0" t="s">
        <v>242</v>
      </c>
      <c r="E60" s="0" t="s">
        <v>243</v>
      </c>
      <c r="F60" s="0" t="s">
        <v>16</v>
      </c>
      <c r="G60" s="0" t="n">
        <f aca="false">HYPERLINK("http://clipc-services.ceda.ac.uk/dreq/u/400e5707b65c01e31f2ec6a59dd3983b.html","web")</f>
        <v>0</v>
      </c>
      <c r="H60" s="0" t="s">
        <v>244</v>
      </c>
      <c r="I60" s="0" t="s">
        <v>245</v>
      </c>
      <c r="J60" s="0" t="s">
        <v>246</v>
      </c>
      <c r="K60" s="0" t="s">
        <v>235</v>
      </c>
    </row>
    <row r="61" customFormat="false" ht="15" hidden="false" customHeight="false" outlineLevel="0" collapsed="false">
      <c r="A61" s="0" t="s">
        <v>229</v>
      </c>
      <c r="B61" s="0" t="s">
        <v>247</v>
      </c>
      <c r="C61" s="0" t="s">
        <v>13</v>
      </c>
      <c r="D61" s="0" t="s">
        <v>248</v>
      </c>
      <c r="E61" s="0" t="s">
        <v>249</v>
      </c>
      <c r="F61" s="0" t="s">
        <v>16</v>
      </c>
      <c r="G61" s="0" t="n">
        <f aca="false">HYPERLINK("http://clipc-services.ceda.ac.uk/dreq/u/fa7666d61b92de5bad1ad76561b8b850.html","web")</f>
        <v>0</v>
      </c>
      <c r="H61" s="0" t="s">
        <v>244</v>
      </c>
      <c r="I61" s="0" t="s">
        <v>245</v>
      </c>
      <c r="J61" s="0" t="s">
        <v>250</v>
      </c>
      <c r="K61" s="0" t="s">
        <v>235</v>
      </c>
    </row>
    <row r="62" customFormat="false" ht="15" hidden="false" customHeight="false" outlineLevel="0" collapsed="false">
      <c r="A62" s="0" t="s">
        <v>229</v>
      </c>
      <c r="B62" s="0" t="s">
        <v>251</v>
      </c>
      <c r="C62" s="0" t="s">
        <v>13</v>
      </c>
      <c r="D62" s="0" t="s">
        <v>252</v>
      </c>
      <c r="E62" s="0" t="s">
        <v>253</v>
      </c>
      <c r="F62" s="0" t="s">
        <v>153</v>
      </c>
      <c r="G62" s="0" t="n">
        <f aca="false">HYPERLINK("http://clipc-services.ceda.ac.uk/dreq/u/6d790fe4caa7feff46a41ae7b3811e52.html","web")</f>
        <v>0</v>
      </c>
      <c r="H62" s="0" t="s">
        <v>254</v>
      </c>
      <c r="J62" s="0" t="s">
        <v>255</v>
      </c>
      <c r="K62" s="0" t="s">
        <v>235</v>
      </c>
    </row>
    <row r="64" customFormat="false" ht="15" hidden="false" customHeight="false" outlineLevel="0" collapsed="false">
      <c r="A64" s="0" t="s">
        <v>256</v>
      </c>
      <c r="B64" s="0" t="s">
        <v>257</v>
      </c>
      <c r="C64" s="0" t="s">
        <v>13</v>
      </c>
      <c r="D64" s="0" t="s">
        <v>61</v>
      </c>
      <c r="E64" s="0" t="s">
        <v>258</v>
      </c>
      <c r="F64" s="0" t="s">
        <v>41</v>
      </c>
      <c r="G64" s="0" t="n">
        <f aca="false">HYPERLINK("http://clipc-services.ceda.ac.uk/dreq/u/44471dd9799293cef70ac63fcdd2476e.html","web")</f>
        <v>0</v>
      </c>
      <c r="I64" s="0" t="s">
        <v>43</v>
      </c>
      <c r="J64" s="0" t="s">
        <v>259</v>
      </c>
      <c r="K64" s="0" t="s">
        <v>260</v>
      </c>
    </row>
    <row r="66" customFormat="false" ht="15" hidden="false" customHeight="false" outlineLevel="0" collapsed="false">
      <c r="A66" s="0" t="s">
        <v>261</v>
      </c>
      <c r="B66" s="0" t="s">
        <v>262</v>
      </c>
      <c r="C66" s="0" t="s">
        <v>13</v>
      </c>
      <c r="D66" s="0" t="s">
        <v>263</v>
      </c>
      <c r="E66" s="0" t="s">
        <v>264</v>
      </c>
      <c r="F66" s="0" t="s">
        <v>265</v>
      </c>
      <c r="G66" s="0" t="n">
        <f aca="false">HYPERLINK("http://clipc-services.ceda.ac.uk/dreq/u/9522ca96d0b066ebe8defd5541de0582.html","web")</f>
        <v>0</v>
      </c>
      <c r="H66" s="0" t="s">
        <v>266</v>
      </c>
      <c r="I66" s="0" t="s">
        <v>56</v>
      </c>
      <c r="J66" s="0" t="s">
        <v>267</v>
      </c>
      <c r="K66" s="0" t="s">
        <v>268</v>
      </c>
    </row>
    <row r="67" customFormat="false" ht="15" hidden="false" customHeight="false" outlineLevel="0" collapsed="false">
      <c r="A67" s="0" t="s">
        <v>261</v>
      </c>
      <c r="B67" s="0" t="s">
        <v>269</v>
      </c>
      <c r="C67" s="0" t="s">
        <v>13</v>
      </c>
      <c r="D67" s="0" t="s">
        <v>263</v>
      </c>
      <c r="E67" s="0" t="s">
        <v>270</v>
      </c>
      <c r="F67" s="0" t="s">
        <v>265</v>
      </c>
      <c r="G67" s="0" t="n">
        <f aca="false">HYPERLINK("http://clipc-services.ceda.ac.uk/dreq/u/85631e0f7a8fdcb10737a525f4134181.html","web")</f>
        <v>0</v>
      </c>
      <c r="H67" s="0" t="s">
        <v>266</v>
      </c>
      <c r="I67" s="0" t="s">
        <v>56</v>
      </c>
      <c r="J67" s="0" t="s">
        <v>271</v>
      </c>
      <c r="K67" s="0" t="s">
        <v>268</v>
      </c>
    </row>
    <row r="68" customFormat="false" ht="15" hidden="false" customHeight="false" outlineLevel="0" collapsed="false">
      <c r="A68" s="0" t="s">
        <v>261</v>
      </c>
      <c r="B68" s="0" t="s">
        <v>272</v>
      </c>
      <c r="C68" s="0" t="s">
        <v>13</v>
      </c>
      <c r="D68" s="0" t="s">
        <v>263</v>
      </c>
      <c r="E68" s="0" t="s">
        <v>273</v>
      </c>
      <c r="F68" s="0" t="s">
        <v>274</v>
      </c>
      <c r="G68" s="0" t="n">
        <f aca="false">HYPERLINK("http://clipc-services.ceda.ac.uk/dreq/u/59137716-9e49-11e5-803c-0d0b866b59f3.html","web")</f>
        <v>0</v>
      </c>
      <c r="H68" s="0" t="s">
        <v>266</v>
      </c>
      <c r="I68" s="0" t="s">
        <v>56</v>
      </c>
      <c r="J68" s="0" t="s">
        <v>275</v>
      </c>
      <c r="K68" s="0" t="s">
        <v>268</v>
      </c>
    </row>
    <row r="69" customFormat="false" ht="15" hidden="false" customHeight="false" outlineLevel="0" collapsed="false">
      <c r="A69" s="0" t="s">
        <v>261</v>
      </c>
      <c r="B69" s="0" t="s">
        <v>276</v>
      </c>
      <c r="C69" s="0" t="s">
        <v>13</v>
      </c>
      <c r="D69" s="0" t="s">
        <v>263</v>
      </c>
      <c r="E69" s="0" t="s">
        <v>277</v>
      </c>
      <c r="F69" s="0" t="s">
        <v>278</v>
      </c>
      <c r="G69" s="0" t="n">
        <f aca="false">HYPERLINK("http://clipc-services.ceda.ac.uk/dreq/u/590fa2bc-9e49-11e5-803c-0d0b866b59f3.html","web")</f>
        <v>0</v>
      </c>
      <c r="H69" s="0" t="s">
        <v>266</v>
      </c>
      <c r="I69" s="0" t="s">
        <v>56</v>
      </c>
      <c r="J69" s="0" t="s">
        <v>279</v>
      </c>
      <c r="K69" s="0" t="s">
        <v>268</v>
      </c>
    </row>
    <row r="70" customFormat="false" ht="15" hidden="false" customHeight="false" outlineLevel="0" collapsed="false">
      <c r="A70" s="0" t="s">
        <v>261</v>
      </c>
      <c r="B70" s="0" t="s">
        <v>280</v>
      </c>
      <c r="C70" s="0" t="s">
        <v>13</v>
      </c>
      <c r="D70" s="0" t="s">
        <v>263</v>
      </c>
      <c r="E70" s="0" t="s">
        <v>281</v>
      </c>
      <c r="F70" s="0" t="s">
        <v>278</v>
      </c>
      <c r="G70" s="0" t="n">
        <f aca="false">HYPERLINK("http://clipc-services.ceda.ac.uk/dreq/u/590e85a8-9e49-11e5-803c-0d0b866b59f3.html","web")</f>
        <v>0</v>
      </c>
      <c r="H70" s="0" t="s">
        <v>282</v>
      </c>
      <c r="I70" s="0" t="s">
        <v>56</v>
      </c>
      <c r="J70" s="0" t="s">
        <v>283</v>
      </c>
      <c r="K70" s="0" t="s">
        <v>268</v>
      </c>
    </row>
    <row r="71" customFormat="false" ht="15" hidden="false" customHeight="false" outlineLevel="0" collapsed="false">
      <c r="A71" s="0" t="s">
        <v>261</v>
      </c>
      <c r="B71" s="0" t="s">
        <v>284</v>
      </c>
      <c r="C71" s="0" t="s">
        <v>13</v>
      </c>
      <c r="D71" s="0" t="s">
        <v>263</v>
      </c>
      <c r="E71" s="0" t="s">
        <v>285</v>
      </c>
      <c r="F71" s="0" t="s">
        <v>278</v>
      </c>
      <c r="G71" s="0" t="n">
        <f aca="false">HYPERLINK("http://clipc-services.ceda.ac.uk/dreq/u/590ed5a8-9e49-11e5-803c-0d0b866b59f3.html","web")</f>
        <v>0</v>
      </c>
      <c r="H71" s="0" t="s">
        <v>282</v>
      </c>
      <c r="I71" s="0" t="s">
        <v>56</v>
      </c>
      <c r="J71" s="0" t="s">
        <v>286</v>
      </c>
      <c r="K71" s="0" t="s">
        <v>268</v>
      </c>
    </row>
    <row r="72" customFormat="false" ht="15" hidden="false" customHeight="false" outlineLevel="0" collapsed="false">
      <c r="A72" s="0" t="s">
        <v>261</v>
      </c>
      <c r="B72" s="0" t="s">
        <v>287</v>
      </c>
      <c r="C72" s="0" t="s">
        <v>13</v>
      </c>
      <c r="D72" s="0" t="s">
        <v>263</v>
      </c>
      <c r="E72" s="0" t="s">
        <v>288</v>
      </c>
      <c r="F72" s="0" t="s">
        <v>289</v>
      </c>
      <c r="G72" s="0" t="n">
        <f aca="false">HYPERLINK("http://clipc-services.ceda.ac.uk/dreq/u/590e48f4-9e49-11e5-803c-0d0b866b59f3.html","web")</f>
        <v>0</v>
      </c>
      <c r="H72" s="0" t="s">
        <v>266</v>
      </c>
      <c r="I72" s="0" t="s">
        <v>56</v>
      </c>
      <c r="J72" s="0" t="s">
        <v>290</v>
      </c>
      <c r="K72" s="0" t="s">
        <v>268</v>
      </c>
    </row>
    <row r="73" customFormat="false" ht="15" hidden="false" customHeight="false" outlineLevel="0" collapsed="false">
      <c r="A73" s="0" t="s">
        <v>261</v>
      </c>
      <c r="B73" s="0" t="s">
        <v>291</v>
      </c>
      <c r="C73" s="0" t="s">
        <v>13</v>
      </c>
      <c r="D73" s="0" t="s">
        <v>263</v>
      </c>
      <c r="E73" s="0" t="s">
        <v>292</v>
      </c>
      <c r="F73" s="0" t="s">
        <v>289</v>
      </c>
      <c r="G73" s="0" t="n">
        <f aca="false">HYPERLINK("http://clipc-services.ceda.ac.uk/dreq/u/590e883c-9e49-11e5-803c-0d0b866b59f3.html","web")</f>
        <v>0</v>
      </c>
      <c r="H73" s="0" t="s">
        <v>266</v>
      </c>
      <c r="I73" s="0" t="s">
        <v>56</v>
      </c>
      <c r="J73" s="0" t="s">
        <v>293</v>
      </c>
      <c r="K73" s="0" t="s">
        <v>268</v>
      </c>
    </row>
    <row r="74" customFormat="false" ht="15" hidden="false" customHeight="false" outlineLevel="0" collapsed="false">
      <c r="A74" s="0" t="s">
        <v>261</v>
      </c>
      <c r="B74" s="0" t="s">
        <v>294</v>
      </c>
      <c r="C74" s="0" t="s">
        <v>13</v>
      </c>
      <c r="D74" s="0" t="s">
        <v>263</v>
      </c>
      <c r="E74" s="0" t="s">
        <v>295</v>
      </c>
      <c r="F74" s="0" t="s">
        <v>296</v>
      </c>
      <c r="G74" s="0" t="n">
        <f aca="false">HYPERLINK("http://clipc-services.ceda.ac.uk/dreq/u/ba7be4134a9cf4838434bf204d80b903.html","web")</f>
        <v>0</v>
      </c>
      <c r="H74" s="0" t="s">
        <v>266</v>
      </c>
      <c r="I74" s="0" t="s">
        <v>56</v>
      </c>
      <c r="J74" s="0" t="s">
        <v>297</v>
      </c>
      <c r="K74" s="0" t="s">
        <v>268</v>
      </c>
    </row>
    <row r="75" customFormat="false" ht="15" hidden="false" customHeight="false" outlineLevel="0" collapsed="false">
      <c r="A75" s="0" t="s">
        <v>261</v>
      </c>
      <c r="B75" s="0" t="s">
        <v>298</v>
      </c>
      <c r="C75" s="0" t="s">
        <v>13</v>
      </c>
      <c r="D75" s="0" t="s">
        <v>263</v>
      </c>
      <c r="E75" s="0" t="s">
        <v>299</v>
      </c>
      <c r="F75" s="0" t="s">
        <v>296</v>
      </c>
      <c r="G75" s="0" t="n">
        <f aca="false">HYPERLINK("http://clipc-services.ceda.ac.uk/dreq/u/c64364df884a3cebaa7aebb664260776.html","web")</f>
        <v>0</v>
      </c>
      <c r="H75" s="0" t="s">
        <v>266</v>
      </c>
      <c r="I75" s="0" t="s">
        <v>56</v>
      </c>
      <c r="J75" s="0" t="s">
        <v>300</v>
      </c>
      <c r="K75" s="0" t="s">
        <v>268</v>
      </c>
    </row>
    <row r="77" customFormat="false" ht="15" hidden="false" customHeight="false" outlineLevel="0" collapsed="false">
      <c r="A77" s="0" t="s">
        <v>301</v>
      </c>
      <c r="B77" s="0" t="s">
        <v>302</v>
      </c>
      <c r="C77" s="0" t="s">
        <v>13</v>
      </c>
      <c r="D77" s="0" t="s">
        <v>151</v>
      </c>
      <c r="E77" s="0" t="s">
        <v>303</v>
      </c>
      <c r="F77" s="0" t="s">
        <v>304</v>
      </c>
      <c r="G77" s="0" t="n">
        <f aca="false">HYPERLINK("http://clipc-services.ceda.ac.uk/dreq/u/51e0588121783d77407236e0d2eb5d14.html","web")</f>
        <v>0</v>
      </c>
      <c r="H77" s="0" t="s">
        <v>305</v>
      </c>
      <c r="I77" s="0" t="s">
        <v>306</v>
      </c>
      <c r="J77" s="0" t="s">
        <v>307</v>
      </c>
      <c r="K77" s="0" t="s">
        <v>308</v>
      </c>
    </row>
    <row r="78" customFormat="false" ht="15" hidden="false" customHeight="false" outlineLevel="0" collapsed="false">
      <c r="A78" s="0" t="s">
        <v>301</v>
      </c>
      <c r="B78" s="0" t="s">
        <v>309</v>
      </c>
      <c r="C78" s="0" t="s">
        <v>69</v>
      </c>
      <c r="D78" s="0" t="s">
        <v>151</v>
      </c>
      <c r="E78" s="0" t="s">
        <v>310</v>
      </c>
      <c r="F78" s="0" t="s">
        <v>28</v>
      </c>
      <c r="G78" s="0" t="n">
        <f aca="false">HYPERLINK("http://clipc-services.ceda.ac.uk/dreq/u/67adc30ae1278d2ef6d696ba0e2c92e8.html","web")</f>
        <v>0</v>
      </c>
      <c r="H78" s="0" t="s">
        <v>311</v>
      </c>
      <c r="I78" s="0" t="s">
        <v>312</v>
      </c>
      <c r="J78" s="0" t="s">
        <v>313</v>
      </c>
      <c r="K78" s="0" t="s">
        <v>314</v>
      </c>
    </row>
    <row r="79" customFormat="false" ht="15" hidden="false" customHeight="false" outlineLevel="0" collapsed="false">
      <c r="A79" s="0" t="s">
        <v>301</v>
      </c>
      <c r="B79" s="0" t="s">
        <v>31</v>
      </c>
      <c r="C79" s="0" t="s">
        <v>32</v>
      </c>
      <c r="D79" s="0" t="s">
        <v>151</v>
      </c>
      <c r="E79" s="0" t="s">
        <v>34</v>
      </c>
      <c r="F79" s="0" t="s">
        <v>16</v>
      </c>
      <c r="G79" s="0" t="n">
        <f aca="false">HYPERLINK("http://clipc-services.ceda.ac.uk/dreq/u/590dbe0c-9e49-11e5-803c-0d0b866b59f3.html","web")</f>
        <v>0</v>
      </c>
      <c r="H79" s="0" t="s">
        <v>35</v>
      </c>
      <c r="I79" s="0" t="s">
        <v>36</v>
      </c>
      <c r="J79" s="0" t="s">
        <v>37</v>
      </c>
      <c r="K79" s="0" t="s">
        <v>38</v>
      </c>
    </row>
    <row r="80" customFormat="false" ht="15" hidden="false" customHeight="false" outlineLevel="0" collapsed="false">
      <c r="A80" s="0" t="s">
        <v>301</v>
      </c>
      <c r="B80" s="0" t="s">
        <v>315</v>
      </c>
      <c r="C80" s="0" t="s">
        <v>32</v>
      </c>
      <c r="D80" s="0" t="s">
        <v>151</v>
      </c>
      <c r="E80" s="0" t="s">
        <v>316</v>
      </c>
      <c r="F80" s="0" t="s">
        <v>28</v>
      </c>
      <c r="G80" s="0" t="n">
        <f aca="false">HYPERLINK("http://clipc-services.ceda.ac.uk/dreq/u/d421b6923b396998106a8c1c66ea07f1.html","web")</f>
        <v>0</v>
      </c>
      <c r="H80" s="0" t="s">
        <v>311</v>
      </c>
      <c r="I80" s="0" t="s">
        <v>312</v>
      </c>
      <c r="J80" s="0" t="s">
        <v>317</v>
      </c>
      <c r="K80" s="0" t="s">
        <v>314</v>
      </c>
    </row>
    <row r="81" customFormat="false" ht="15" hidden="false" customHeight="false" outlineLevel="0" collapsed="false">
      <c r="A81" s="0" t="s">
        <v>301</v>
      </c>
      <c r="B81" s="0" t="s">
        <v>318</v>
      </c>
      <c r="C81" s="0" t="s">
        <v>69</v>
      </c>
      <c r="D81" s="0" t="s">
        <v>151</v>
      </c>
      <c r="E81" s="0" t="s">
        <v>319</v>
      </c>
      <c r="F81" s="0" t="s">
        <v>41</v>
      </c>
      <c r="G81" s="0" t="n">
        <f aca="false">HYPERLINK("http://clipc-services.ceda.ac.uk/dreq/u/3e437daab5bc69123a859ad361babc59.html","web")</f>
        <v>0</v>
      </c>
      <c r="H81" s="0" t="s">
        <v>320</v>
      </c>
      <c r="I81" s="0" t="s">
        <v>321</v>
      </c>
      <c r="J81" s="0" t="s">
        <v>322</v>
      </c>
      <c r="K81" s="0" t="s">
        <v>323</v>
      </c>
    </row>
    <row r="83" customFormat="false" ht="15" hidden="false" customHeight="false" outlineLevel="0" collapsed="false">
      <c r="A83" s="0" t="s">
        <v>324</v>
      </c>
      <c r="B83" s="0" t="s">
        <v>230</v>
      </c>
      <c r="C83" s="0" t="s">
        <v>13</v>
      </c>
      <c r="D83" s="0" t="s">
        <v>325</v>
      </c>
      <c r="E83" s="0" t="s">
        <v>231</v>
      </c>
      <c r="F83" s="0" t="s">
        <v>232</v>
      </c>
      <c r="G83" s="0" t="n">
        <f aca="false">HYPERLINK("http://clipc-services.ceda.ac.uk/dreq/u/13484743dd3369c69df93379e6dafbb5.html","web")</f>
        <v>0</v>
      </c>
      <c r="H83" s="0" t="s">
        <v>233</v>
      </c>
      <c r="J83" s="0" t="s">
        <v>234</v>
      </c>
      <c r="K83" s="0" t="s">
        <v>326</v>
      </c>
    </row>
    <row r="84" customFormat="false" ht="15" hidden="false" customHeight="false" outlineLevel="0" collapsed="false">
      <c r="A84" s="0" t="s">
        <v>324</v>
      </c>
      <c r="B84" s="0" t="s">
        <v>236</v>
      </c>
      <c r="C84" s="0" t="s">
        <v>13</v>
      </c>
      <c r="D84" s="0" t="s">
        <v>325</v>
      </c>
      <c r="E84" s="0" t="s">
        <v>237</v>
      </c>
      <c r="F84" s="0" t="s">
        <v>232</v>
      </c>
      <c r="G84" s="0" t="n">
        <f aca="false">HYPERLINK("http://clipc-services.ceda.ac.uk/dreq/u/0062272a6a4176b8c32af87642b062c5.html","web")</f>
        <v>0</v>
      </c>
      <c r="H84" s="0" t="s">
        <v>238</v>
      </c>
      <c r="I84" s="0" t="s">
        <v>239</v>
      </c>
      <c r="J84" s="0" t="s">
        <v>240</v>
      </c>
      <c r="K84" s="0" t="s">
        <v>326</v>
      </c>
    </row>
    <row r="85" customFormat="false" ht="15" hidden="false" customHeight="false" outlineLevel="0" collapsed="false">
      <c r="A85" s="0" t="s">
        <v>324</v>
      </c>
      <c r="B85" s="0" t="s">
        <v>327</v>
      </c>
      <c r="C85" s="0" t="s">
        <v>13</v>
      </c>
      <c r="D85" s="0" t="s">
        <v>325</v>
      </c>
      <c r="E85" s="0" t="s">
        <v>328</v>
      </c>
      <c r="F85" s="0" t="s">
        <v>13</v>
      </c>
      <c r="G85" s="0" t="n">
        <f aca="false">HYPERLINK("http://clipc-services.ceda.ac.uk/dreq/u/29fae9ea0f236a3eb144026e1bafde28.html","web")</f>
        <v>0</v>
      </c>
      <c r="H85" s="0" t="s">
        <v>329</v>
      </c>
      <c r="I85" s="0" t="s">
        <v>330</v>
      </c>
      <c r="J85" s="0" t="s">
        <v>331</v>
      </c>
      <c r="K85" s="0" t="s">
        <v>326</v>
      </c>
    </row>
    <row r="86" customFormat="false" ht="15" hidden="false" customHeight="false" outlineLevel="0" collapsed="false">
      <c r="A86" s="0" t="s">
        <v>324</v>
      </c>
      <c r="B86" s="0" t="s">
        <v>332</v>
      </c>
      <c r="C86" s="0" t="s">
        <v>13</v>
      </c>
      <c r="D86" s="0" t="s">
        <v>333</v>
      </c>
      <c r="E86" s="0" t="s">
        <v>334</v>
      </c>
      <c r="F86" s="0" t="s">
        <v>335</v>
      </c>
      <c r="G86" s="0" t="n">
        <f aca="false">HYPERLINK("http://clipc-services.ceda.ac.uk/dreq/u/c373986159daf18eee63ca731d52b6f7.html","web")</f>
        <v>0</v>
      </c>
      <c r="H86" s="0" t="s">
        <v>266</v>
      </c>
      <c r="I86" s="0" t="s">
        <v>56</v>
      </c>
      <c r="J86" s="0" t="s">
        <v>336</v>
      </c>
      <c r="K86" s="0" t="s">
        <v>326</v>
      </c>
    </row>
    <row r="87" customFormat="false" ht="15" hidden="false" customHeight="false" outlineLevel="0" collapsed="false">
      <c r="A87" s="0" t="s">
        <v>324</v>
      </c>
      <c r="B87" s="0" t="s">
        <v>337</v>
      </c>
      <c r="C87" s="0" t="s">
        <v>13</v>
      </c>
      <c r="D87" s="0" t="s">
        <v>333</v>
      </c>
      <c r="E87" s="0" t="s">
        <v>338</v>
      </c>
      <c r="F87" s="0" t="s">
        <v>335</v>
      </c>
      <c r="G87" s="0" t="n">
        <f aca="false">HYPERLINK("http://clipc-services.ceda.ac.uk/dreq/u/52c137a21845ae294b27ad40eaca096d.html","web")</f>
        <v>0</v>
      </c>
      <c r="H87" s="0" t="s">
        <v>266</v>
      </c>
      <c r="I87" s="0" t="s">
        <v>56</v>
      </c>
      <c r="J87" s="0" t="s">
        <v>339</v>
      </c>
      <c r="K87" s="0" t="s">
        <v>326</v>
      </c>
    </row>
    <row r="88" customFormat="false" ht="15" hidden="false" customHeight="false" outlineLevel="0" collapsed="false">
      <c r="A88" s="0" t="s">
        <v>324</v>
      </c>
      <c r="B88" s="0" t="s">
        <v>340</v>
      </c>
      <c r="C88" s="0" t="s">
        <v>13</v>
      </c>
      <c r="D88" s="0" t="s">
        <v>325</v>
      </c>
      <c r="E88" s="0" t="s">
        <v>341</v>
      </c>
      <c r="F88" s="0" t="s">
        <v>153</v>
      </c>
      <c r="G88" s="0" t="n">
        <f aca="false">HYPERLINK("http://clipc-services.ceda.ac.uk/dreq/u/5e49c0b73ac161d5e5dd05173416c400.html","web")</f>
        <v>0</v>
      </c>
      <c r="H88" s="0" t="s">
        <v>342</v>
      </c>
      <c r="I88" s="0" t="s">
        <v>343</v>
      </c>
      <c r="J88" s="0" t="s">
        <v>344</v>
      </c>
      <c r="K88" s="0" t="s">
        <v>326</v>
      </c>
    </row>
    <row r="89" customFormat="false" ht="15" hidden="false" customHeight="false" outlineLevel="0" collapsed="false">
      <c r="A89" s="0" t="s">
        <v>324</v>
      </c>
      <c r="B89" s="0" t="s">
        <v>251</v>
      </c>
      <c r="C89" s="0" t="s">
        <v>13</v>
      </c>
      <c r="D89" s="0" t="s">
        <v>345</v>
      </c>
      <c r="E89" s="0" t="s">
        <v>253</v>
      </c>
      <c r="F89" s="0" t="s">
        <v>153</v>
      </c>
      <c r="G89" s="0" t="n">
        <f aca="false">HYPERLINK("http://clipc-services.ceda.ac.uk/dreq/u/6d790fe4caa7feff46a41ae7b3811e52.html","web")</f>
        <v>0</v>
      </c>
      <c r="H89" s="0" t="s">
        <v>254</v>
      </c>
      <c r="J89" s="0" t="s">
        <v>255</v>
      </c>
      <c r="K89" s="0" t="s">
        <v>326</v>
      </c>
    </row>
    <row r="90" customFormat="false" ht="15" hidden="false" customHeight="false" outlineLevel="0" collapsed="false">
      <c r="A90" s="0" t="s">
        <v>324</v>
      </c>
      <c r="B90" s="0" t="s">
        <v>346</v>
      </c>
      <c r="C90" s="0" t="s">
        <v>13</v>
      </c>
      <c r="D90" s="0" t="s">
        <v>345</v>
      </c>
      <c r="E90" s="0" t="s">
        <v>347</v>
      </c>
      <c r="F90" s="0" t="s">
        <v>348</v>
      </c>
      <c r="G90" s="0" t="n">
        <f aca="false">HYPERLINK("http://clipc-services.ceda.ac.uk/dreq/u/c432bfbfc0e7f4403f91af39736ff61c.html","web")</f>
        <v>0</v>
      </c>
      <c r="H90" s="0" t="s">
        <v>349</v>
      </c>
      <c r="I90" s="0" t="s">
        <v>56</v>
      </c>
      <c r="J90" s="0" t="s">
        <v>350</v>
      </c>
      <c r="K90" s="0" t="s">
        <v>326</v>
      </c>
    </row>
    <row r="91" customFormat="false" ht="15" hidden="false" customHeight="false" outlineLevel="0" collapsed="false">
      <c r="A91" s="0" t="s">
        <v>324</v>
      </c>
      <c r="B91" s="0" t="s">
        <v>351</v>
      </c>
      <c r="C91" s="0" t="s">
        <v>13</v>
      </c>
      <c r="D91" s="0" t="s">
        <v>345</v>
      </c>
      <c r="E91" s="0" t="s">
        <v>352</v>
      </c>
      <c r="F91" s="0" t="s">
        <v>348</v>
      </c>
      <c r="G91" s="0" t="n">
        <f aca="false">HYPERLINK("http://clipc-services.ceda.ac.uk/dreq/u/e79eb59d74038643b2201bb0556e720a.html","web")</f>
        <v>0</v>
      </c>
      <c r="H91" s="0" t="s">
        <v>349</v>
      </c>
      <c r="I91" s="0" t="s">
        <v>56</v>
      </c>
      <c r="J91" s="0" t="s">
        <v>353</v>
      </c>
      <c r="K91" s="0" t="s">
        <v>326</v>
      </c>
    </row>
    <row r="92" customFormat="false" ht="15" hidden="false" customHeight="false" outlineLevel="0" collapsed="false">
      <c r="A92" s="0" t="s">
        <v>324</v>
      </c>
      <c r="B92" s="0" t="s">
        <v>354</v>
      </c>
      <c r="C92" s="0" t="s">
        <v>13</v>
      </c>
      <c r="D92" s="0" t="s">
        <v>345</v>
      </c>
      <c r="E92" s="0" t="s">
        <v>355</v>
      </c>
      <c r="F92" s="0" t="s">
        <v>348</v>
      </c>
      <c r="G92" s="0" t="n">
        <f aca="false">HYPERLINK("http://clipc-services.ceda.ac.uk/dreq/u/bcfeacf77d49ef51a6ee66a1ab0ebcb4.html","web")</f>
        <v>0</v>
      </c>
      <c r="H92" s="0" t="s">
        <v>349</v>
      </c>
      <c r="I92" s="0" t="s">
        <v>56</v>
      </c>
      <c r="J92" s="0" t="s">
        <v>356</v>
      </c>
      <c r="K92" s="0" t="s">
        <v>326</v>
      </c>
    </row>
    <row r="93" customFormat="false" ht="15" hidden="false" customHeight="false" outlineLevel="0" collapsed="false">
      <c r="A93" s="0" t="s">
        <v>324</v>
      </c>
      <c r="B93" s="0" t="s">
        <v>357</v>
      </c>
      <c r="C93" s="0" t="s">
        <v>13</v>
      </c>
      <c r="D93" s="0" t="s">
        <v>345</v>
      </c>
      <c r="E93" s="0" t="s">
        <v>358</v>
      </c>
      <c r="F93" s="0" t="s">
        <v>348</v>
      </c>
      <c r="G93" s="0" t="n">
        <f aca="false">HYPERLINK("http://clipc-services.ceda.ac.uk/dreq/u/a8607fe15cb4f2997228523340233d91.html","web")</f>
        <v>0</v>
      </c>
      <c r="H93" s="0" t="s">
        <v>349</v>
      </c>
      <c r="I93" s="0" t="s">
        <v>56</v>
      </c>
      <c r="J93" s="0" t="s">
        <v>359</v>
      </c>
      <c r="K93" s="0" t="s">
        <v>326</v>
      </c>
    </row>
    <row r="94" customFormat="false" ht="15" hidden="false" customHeight="false" outlineLevel="0" collapsed="false">
      <c r="A94" s="0" t="s">
        <v>324</v>
      </c>
      <c r="B94" s="0" t="s">
        <v>360</v>
      </c>
      <c r="C94" s="0" t="s">
        <v>13</v>
      </c>
      <c r="D94" s="0" t="s">
        <v>345</v>
      </c>
      <c r="E94" s="0" t="s">
        <v>361</v>
      </c>
      <c r="F94" s="0" t="s">
        <v>348</v>
      </c>
      <c r="G94" s="0" t="n">
        <f aca="false">HYPERLINK("http://clipc-services.ceda.ac.uk/dreq/u/eb9ac643cd9c73cae960d6d2db7b901d.html","web")</f>
        <v>0</v>
      </c>
      <c r="H94" s="0" t="s">
        <v>349</v>
      </c>
      <c r="I94" s="0" t="s">
        <v>56</v>
      </c>
      <c r="J94" s="0" t="s">
        <v>362</v>
      </c>
      <c r="K94" s="0" t="s">
        <v>326</v>
      </c>
    </row>
    <row r="95" customFormat="false" ht="15" hidden="false" customHeight="false" outlineLevel="0" collapsed="false">
      <c r="A95" s="0" t="s">
        <v>324</v>
      </c>
      <c r="B95" s="0" t="s">
        <v>363</v>
      </c>
      <c r="C95" s="0" t="s">
        <v>13</v>
      </c>
      <c r="D95" s="0" t="s">
        <v>345</v>
      </c>
      <c r="E95" s="0" t="s">
        <v>364</v>
      </c>
      <c r="F95" s="0" t="s">
        <v>348</v>
      </c>
      <c r="G95" s="0" t="n">
        <f aca="false">HYPERLINK("http://clipc-services.ceda.ac.uk/dreq/u/38806cec3ba894d7745fada80c9f6fe6.html","web")</f>
        <v>0</v>
      </c>
      <c r="H95" s="0" t="s">
        <v>365</v>
      </c>
      <c r="I95" s="0" t="s">
        <v>56</v>
      </c>
      <c r="J95" s="0" t="s">
        <v>366</v>
      </c>
      <c r="K95" s="0" t="s">
        <v>326</v>
      </c>
    </row>
    <row r="96" customFormat="false" ht="15" hidden="false" customHeight="false" outlineLevel="0" collapsed="false">
      <c r="A96" s="0" t="s">
        <v>324</v>
      </c>
      <c r="B96" s="0" t="s">
        <v>367</v>
      </c>
      <c r="C96" s="0" t="s">
        <v>13</v>
      </c>
      <c r="D96" s="0" t="s">
        <v>345</v>
      </c>
      <c r="E96" s="0" t="s">
        <v>368</v>
      </c>
      <c r="F96" s="0" t="s">
        <v>348</v>
      </c>
      <c r="G96" s="0" t="n">
        <f aca="false">HYPERLINK("http://clipc-services.ceda.ac.uk/dreq/u/c323f38340e4846931ad4891232d839d.html","web")</f>
        <v>0</v>
      </c>
      <c r="H96" s="0" t="s">
        <v>349</v>
      </c>
      <c r="I96" s="0" t="s">
        <v>56</v>
      </c>
      <c r="J96" s="0" t="s">
        <v>369</v>
      </c>
      <c r="K96" s="0" t="s">
        <v>326</v>
      </c>
    </row>
    <row r="97" customFormat="false" ht="15" hidden="false" customHeight="false" outlineLevel="0" collapsed="false">
      <c r="A97" s="0" t="s">
        <v>324</v>
      </c>
      <c r="B97" s="0" t="s">
        <v>370</v>
      </c>
      <c r="C97" s="0" t="s">
        <v>13</v>
      </c>
      <c r="D97" s="0" t="s">
        <v>345</v>
      </c>
      <c r="E97" s="0" t="s">
        <v>371</v>
      </c>
      <c r="F97" s="0" t="s">
        <v>348</v>
      </c>
      <c r="G97" s="0" t="n">
        <f aca="false">HYPERLINK("http://clipc-services.ceda.ac.uk/dreq/u/eb72b66b6365daed79aefeda9d3d30b5.html","web")</f>
        <v>0</v>
      </c>
      <c r="H97" s="0" t="s">
        <v>365</v>
      </c>
      <c r="I97" s="0" t="s">
        <v>56</v>
      </c>
      <c r="J97" s="0" t="s">
        <v>372</v>
      </c>
      <c r="K97" s="0" t="s">
        <v>326</v>
      </c>
    </row>
    <row r="98" customFormat="false" ht="15" hidden="false" customHeight="false" outlineLevel="0" collapsed="false">
      <c r="A98" s="0" t="s">
        <v>324</v>
      </c>
      <c r="B98" s="0" t="s">
        <v>373</v>
      </c>
      <c r="C98" s="0" t="s">
        <v>13</v>
      </c>
      <c r="D98" s="0" t="s">
        <v>325</v>
      </c>
      <c r="E98" s="0" t="s">
        <v>374</v>
      </c>
      <c r="F98" s="0" t="s">
        <v>13</v>
      </c>
      <c r="G98" s="0" t="n">
        <f aca="false">HYPERLINK("http://clipc-services.ceda.ac.uk/dreq/u/8de0f30b91b15720398fc10fd712a182.html","web")</f>
        <v>0</v>
      </c>
      <c r="H98" s="0" t="s">
        <v>329</v>
      </c>
      <c r="I98" s="0" t="s">
        <v>239</v>
      </c>
      <c r="J98" s="0" t="s">
        <v>375</v>
      </c>
      <c r="K98" s="0" t="s">
        <v>326</v>
      </c>
    </row>
    <row r="99" customFormat="false" ht="15" hidden="false" customHeight="false" outlineLevel="0" collapsed="false">
      <c r="A99" s="0" t="s">
        <v>324</v>
      </c>
      <c r="B99" s="0" t="s">
        <v>376</v>
      </c>
      <c r="C99" s="0" t="s">
        <v>13</v>
      </c>
      <c r="D99" s="0" t="s">
        <v>333</v>
      </c>
      <c r="E99" s="0" t="s">
        <v>377</v>
      </c>
      <c r="F99" s="0" t="s">
        <v>378</v>
      </c>
      <c r="G99" s="0" t="n">
        <f aca="false">HYPERLINK("http://clipc-services.ceda.ac.uk/dreq/u/150d0829eec06aeaf75d22d08d328ffa.html","web")</f>
        <v>0</v>
      </c>
      <c r="H99" s="0" t="s">
        <v>379</v>
      </c>
      <c r="I99" s="0" t="s">
        <v>380</v>
      </c>
      <c r="J99" s="0" t="s">
        <v>381</v>
      </c>
      <c r="K99" s="0" t="s">
        <v>326</v>
      </c>
    </row>
    <row r="100" customFormat="false" ht="15" hidden="false" customHeight="false" outlineLevel="0" collapsed="false">
      <c r="A100" s="0" t="s">
        <v>324</v>
      </c>
      <c r="B100" s="0" t="s">
        <v>382</v>
      </c>
      <c r="C100" s="0" t="s">
        <v>13</v>
      </c>
      <c r="D100" s="0" t="s">
        <v>333</v>
      </c>
      <c r="E100" s="0" t="s">
        <v>383</v>
      </c>
      <c r="F100" s="0" t="s">
        <v>378</v>
      </c>
      <c r="G100" s="0" t="n">
        <f aca="false">HYPERLINK("http://clipc-services.ceda.ac.uk/dreq/u/2c8cb564bae033f641135194947da163.html","web")</f>
        <v>0</v>
      </c>
      <c r="H100" s="0" t="s">
        <v>266</v>
      </c>
      <c r="I100" s="0" t="s">
        <v>380</v>
      </c>
      <c r="J100" s="0" t="s">
        <v>384</v>
      </c>
      <c r="K100" s="0" t="s">
        <v>326</v>
      </c>
    </row>
    <row r="101" customFormat="false" ht="15" hidden="false" customHeight="false" outlineLevel="0" collapsed="false">
      <c r="A101" s="0" t="s">
        <v>324</v>
      </c>
      <c r="B101" s="0" t="s">
        <v>385</v>
      </c>
      <c r="C101" s="0" t="s">
        <v>13</v>
      </c>
      <c r="D101" s="0" t="s">
        <v>333</v>
      </c>
      <c r="E101" s="0" t="s">
        <v>386</v>
      </c>
      <c r="F101" s="0" t="s">
        <v>378</v>
      </c>
      <c r="G101" s="0" t="n">
        <f aca="false">HYPERLINK("http://clipc-services.ceda.ac.uk/dreq/u/9e9e7476986ece18ce380652eaabe342.html","web")</f>
        <v>0</v>
      </c>
      <c r="H101" s="0" t="s">
        <v>387</v>
      </c>
      <c r="I101" s="0" t="s">
        <v>380</v>
      </c>
      <c r="J101" s="0" t="s">
        <v>388</v>
      </c>
      <c r="K101" s="0" t="s">
        <v>326</v>
      </c>
    </row>
    <row r="102" customFormat="false" ht="15" hidden="false" customHeight="false" outlineLevel="0" collapsed="false">
      <c r="A102" s="0" t="s">
        <v>324</v>
      </c>
      <c r="B102" s="0" t="s">
        <v>389</v>
      </c>
      <c r="C102" s="0" t="s">
        <v>13</v>
      </c>
      <c r="D102" s="0" t="s">
        <v>333</v>
      </c>
      <c r="E102" s="0" t="s">
        <v>390</v>
      </c>
      <c r="F102" s="0" t="s">
        <v>391</v>
      </c>
      <c r="G102" s="0" t="n">
        <f aca="false">HYPERLINK("http://clipc-services.ceda.ac.uk/dreq/u/c8b1814845661bcad37910e70a59b285.html","web")</f>
        <v>0</v>
      </c>
      <c r="H102" s="0" t="s">
        <v>392</v>
      </c>
      <c r="I102" s="0" t="s">
        <v>380</v>
      </c>
      <c r="J102" s="0" t="s">
        <v>390</v>
      </c>
      <c r="K102" s="0" t="s">
        <v>326</v>
      </c>
    </row>
    <row r="103" customFormat="false" ht="15" hidden="false" customHeight="false" outlineLevel="0" collapsed="false">
      <c r="A103" s="0" t="s">
        <v>324</v>
      </c>
      <c r="B103" s="0" t="s">
        <v>393</v>
      </c>
      <c r="C103" s="0" t="s">
        <v>13</v>
      </c>
      <c r="D103" s="0" t="s">
        <v>333</v>
      </c>
      <c r="E103" s="0" t="s">
        <v>394</v>
      </c>
      <c r="F103" s="0" t="s">
        <v>391</v>
      </c>
      <c r="G103" s="0" t="n">
        <f aca="false">HYPERLINK("http://clipc-services.ceda.ac.uk/dreq/u/ea55d8afe6bacbfa1029c0048717eaaa.html","web")</f>
        <v>0</v>
      </c>
      <c r="H103" s="0" t="s">
        <v>395</v>
      </c>
      <c r="I103" s="0" t="s">
        <v>380</v>
      </c>
      <c r="J103" s="0" t="s">
        <v>396</v>
      </c>
      <c r="K103" s="0" t="s">
        <v>326</v>
      </c>
    </row>
    <row r="104" customFormat="false" ht="15" hidden="false" customHeight="false" outlineLevel="0" collapsed="false">
      <c r="A104" s="0" t="s">
        <v>324</v>
      </c>
      <c r="B104" s="0" t="s">
        <v>397</v>
      </c>
      <c r="C104" s="0" t="s">
        <v>13</v>
      </c>
      <c r="D104" s="0" t="s">
        <v>333</v>
      </c>
      <c r="E104" s="0" t="s">
        <v>398</v>
      </c>
      <c r="F104" s="0" t="s">
        <v>391</v>
      </c>
      <c r="G104" s="0" t="n">
        <f aca="false">HYPERLINK("http://clipc-services.ceda.ac.uk/dreq/u/621681bc7c376de66228fdde13b97516.html","web")</f>
        <v>0</v>
      </c>
      <c r="H104" s="0" t="s">
        <v>399</v>
      </c>
      <c r="I104" s="0" t="s">
        <v>56</v>
      </c>
      <c r="J104" s="0" t="s">
        <v>400</v>
      </c>
      <c r="K104" s="0" t="s">
        <v>326</v>
      </c>
    </row>
    <row r="105" customFormat="false" ht="15" hidden="false" customHeight="false" outlineLevel="0" collapsed="false">
      <c r="A105" s="0" t="s">
        <v>324</v>
      </c>
      <c r="B105" s="0" t="s">
        <v>401</v>
      </c>
      <c r="C105" s="0" t="s">
        <v>13</v>
      </c>
      <c r="D105" s="0" t="s">
        <v>333</v>
      </c>
      <c r="E105" s="0" t="s">
        <v>402</v>
      </c>
      <c r="F105" s="0" t="s">
        <v>391</v>
      </c>
      <c r="G105" s="0" t="n">
        <f aca="false">HYPERLINK("http://clipc-services.ceda.ac.uk/dreq/u/475dc209e9f9cd51eedee4d26caf9f67.html","web")</f>
        <v>0</v>
      </c>
      <c r="H105" s="0" t="s">
        <v>403</v>
      </c>
      <c r="I105" s="0" t="s">
        <v>380</v>
      </c>
      <c r="J105" s="0" t="s">
        <v>404</v>
      </c>
      <c r="K105" s="0" t="s">
        <v>326</v>
      </c>
    </row>
    <row r="107" customFormat="false" ht="15" hidden="false" customHeight="false" outlineLevel="0" collapsed="false">
      <c r="A107" s="0" t="s">
        <v>405</v>
      </c>
      <c r="B107" s="0" t="s">
        <v>406</v>
      </c>
      <c r="C107" s="0" t="s">
        <v>13</v>
      </c>
      <c r="D107" s="0" t="s">
        <v>151</v>
      </c>
      <c r="E107" s="0" t="s">
        <v>407</v>
      </c>
      <c r="F107" s="0" t="s">
        <v>348</v>
      </c>
      <c r="G107" s="0" t="n">
        <f aca="false">HYPERLINK("http://clipc-services.ceda.ac.uk/dreq/u/f27656eeae247192e82aa1032c911399.html","web")</f>
        <v>0</v>
      </c>
      <c r="H107" s="0" t="s">
        <v>408</v>
      </c>
      <c r="I107" s="0" t="s">
        <v>409</v>
      </c>
      <c r="J107" s="0" t="s">
        <v>410</v>
      </c>
      <c r="K107" s="0" t="s">
        <v>411</v>
      </c>
    </row>
    <row r="109" customFormat="false" ht="15" hidden="false" customHeight="false" outlineLevel="0" collapsed="false">
      <c r="A109" s="0" t="s">
        <v>412</v>
      </c>
      <c r="B109" s="0" t="s">
        <v>413</v>
      </c>
      <c r="C109" s="0" t="s">
        <v>32</v>
      </c>
      <c r="D109" s="0" t="s">
        <v>151</v>
      </c>
      <c r="E109" s="0" t="s">
        <v>414</v>
      </c>
      <c r="F109" s="0" t="s">
        <v>348</v>
      </c>
      <c r="G109" s="0" t="n">
        <f aca="false">HYPERLINK("http://clipc-services.ceda.ac.uk/dreq/u/59131140-9e49-11e5-803c-0d0b866b59f3.html","web")</f>
        <v>0</v>
      </c>
      <c r="H109" s="0" t="s">
        <v>415</v>
      </c>
      <c r="I109" s="0" t="s">
        <v>416</v>
      </c>
      <c r="J109" s="0" t="s">
        <v>417</v>
      </c>
      <c r="K109" s="0" t="s">
        <v>418</v>
      </c>
    </row>
    <row r="110" customFormat="false" ht="15" hidden="false" customHeight="false" outlineLevel="0" collapsed="false">
      <c r="A110" s="0" t="s">
        <v>412</v>
      </c>
      <c r="B110" s="0" t="s">
        <v>419</v>
      </c>
      <c r="C110" s="0" t="s">
        <v>32</v>
      </c>
      <c r="D110" s="0" t="s">
        <v>151</v>
      </c>
      <c r="E110" s="0" t="s">
        <v>420</v>
      </c>
      <c r="F110" s="0" t="s">
        <v>348</v>
      </c>
      <c r="G110" s="0" t="n">
        <f aca="false">HYPERLINK("http://clipc-services.ceda.ac.uk/dreq/u/590e9656-9e49-11e5-803c-0d0b866b59f3.html","web")</f>
        <v>0</v>
      </c>
      <c r="H110" s="0" t="s">
        <v>421</v>
      </c>
      <c r="I110" s="0" t="s">
        <v>416</v>
      </c>
      <c r="J110" s="0" t="s">
        <v>422</v>
      </c>
      <c r="K110" s="0" t="s">
        <v>423</v>
      </c>
    </row>
    <row r="111" customFormat="false" ht="15" hidden="false" customHeight="false" outlineLevel="0" collapsed="false">
      <c r="A111" s="0" t="s">
        <v>412</v>
      </c>
      <c r="B111" s="0" t="s">
        <v>424</v>
      </c>
      <c r="C111" s="0" t="s">
        <v>32</v>
      </c>
      <c r="D111" s="0" t="s">
        <v>151</v>
      </c>
      <c r="E111" s="0" t="s">
        <v>425</v>
      </c>
      <c r="F111" s="0" t="s">
        <v>348</v>
      </c>
      <c r="G111" s="0" t="n">
        <f aca="false">HYPERLINK("http://clipc-services.ceda.ac.uk/dreq/u/591733d8-9e49-11e5-803c-0d0b866b59f3.html","web")</f>
        <v>0</v>
      </c>
      <c r="H111" s="0" t="s">
        <v>415</v>
      </c>
      <c r="I111" s="0" t="s">
        <v>416</v>
      </c>
      <c r="J111" s="0" t="s">
        <v>426</v>
      </c>
      <c r="K111" s="0" t="s">
        <v>423</v>
      </c>
    </row>
    <row r="112" customFormat="false" ht="15" hidden="false" customHeight="false" outlineLevel="0" collapsed="false">
      <c r="A112" s="0" t="s">
        <v>412</v>
      </c>
      <c r="B112" s="0" t="s">
        <v>427</v>
      </c>
      <c r="C112" s="0" t="s">
        <v>32</v>
      </c>
      <c r="D112" s="0" t="s">
        <v>151</v>
      </c>
      <c r="E112" s="0" t="s">
        <v>428</v>
      </c>
      <c r="F112" s="0" t="s">
        <v>348</v>
      </c>
      <c r="G112" s="0" t="n">
        <f aca="false">HYPERLINK("http://clipc-services.ceda.ac.uk/dreq/u/590dbb78-9e49-11e5-803c-0d0b866b59f3.html","web")</f>
        <v>0</v>
      </c>
      <c r="H112" s="0" t="s">
        <v>415</v>
      </c>
      <c r="I112" s="0" t="s">
        <v>416</v>
      </c>
      <c r="J112" s="0" t="s">
        <v>429</v>
      </c>
      <c r="K112" s="0" t="s">
        <v>418</v>
      </c>
    </row>
    <row r="113" customFormat="false" ht="15" hidden="false" customHeight="false" outlineLevel="0" collapsed="false">
      <c r="A113" s="0" t="s">
        <v>412</v>
      </c>
      <c r="B113" s="0" t="s">
        <v>430</v>
      </c>
      <c r="C113" s="0" t="s">
        <v>32</v>
      </c>
      <c r="D113" s="0" t="s">
        <v>151</v>
      </c>
      <c r="E113" s="0" t="s">
        <v>431</v>
      </c>
      <c r="F113" s="0" t="s">
        <v>348</v>
      </c>
      <c r="G113" s="0" t="n">
        <f aca="false">HYPERLINK("http://clipc-services.ceda.ac.uk/dreq/u/5917e51c-9e49-11e5-803c-0d0b866b59f3.html","web")</f>
        <v>0</v>
      </c>
      <c r="H113" s="0" t="s">
        <v>415</v>
      </c>
      <c r="I113" s="0" t="s">
        <v>416</v>
      </c>
      <c r="J113" s="0" t="s">
        <v>432</v>
      </c>
      <c r="K113" s="0" t="s">
        <v>423</v>
      </c>
    </row>
    <row r="114" customFormat="false" ht="15" hidden="false" customHeight="false" outlineLevel="0" collapsed="false">
      <c r="A114" s="0" t="s">
        <v>412</v>
      </c>
      <c r="B114" s="0" t="s">
        <v>433</v>
      </c>
      <c r="C114" s="0" t="s">
        <v>32</v>
      </c>
      <c r="D114" s="0" t="s">
        <v>434</v>
      </c>
      <c r="E114" s="0" t="s">
        <v>435</v>
      </c>
      <c r="F114" s="0" t="s">
        <v>274</v>
      </c>
      <c r="G114" s="0" t="n">
        <f aca="false">HYPERLINK("http://clipc-services.ceda.ac.uk/dreq/u/7309e7f8-7a68-11e6-8db2-ac72891c3257.html","web")</f>
        <v>0</v>
      </c>
      <c r="H114" s="0" t="s">
        <v>415</v>
      </c>
      <c r="I114" s="0" t="s">
        <v>416</v>
      </c>
      <c r="J114" s="0" t="s">
        <v>436</v>
      </c>
      <c r="K114" s="0" t="s">
        <v>423</v>
      </c>
    </row>
    <row r="115" customFormat="false" ht="15" hidden="false" customHeight="false" outlineLevel="0" collapsed="false">
      <c r="A115" s="0" t="s">
        <v>412</v>
      </c>
      <c r="B115" s="0" t="s">
        <v>437</v>
      </c>
      <c r="C115" s="0" t="s">
        <v>69</v>
      </c>
      <c r="D115" s="0" t="s">
        <v>438</v>
      </c>
      <c r="E115" s="0" t="s">
        <v>439</v>
      </c>
      <c r="F115" s="0" t="s">
        <v>16</v>
      </c>
      <c r="G115" s="0" t="n">
        <f aca="false">HYPERLINK("http://clipc-services.ceda.ac.uk/dreq/u/590eb1ea-9e49-11e5-803c-0d0b866b59f3.html","web")</f>
        <v>0</v>
      </c>
      <c r="H115" s="0" t="s">
        <v>440</v>
      </c>
      <c r="I115" s="0" t="s">
        <v>36</v>
      </c>
      <c r="J115" s="0" t="s">
        <v>441</v>
      </c>
      <c r="K115" s="0" t="s">
        <v>442</v>
      </c>
    </row>
    <row r="116" customFormat="false" ht="15" hidden="false" customHeight="false" outlineLevel="0" collapsed="false">
      <c r="A116" s="0" t="s">
        <v>412</v>
      </c>
      <c r="B116" s="0" t="s">
        <v>443</v>
      </c>
      <c r="C116" s="0" t="s">
        <v>32</v>
      </c>
      <c r="D116" s="0" t="s">
        <v>151</v>
      </c>
      <c r="E116" s="0" t="s">
        <v>444</v>
      </c>
      <c r="F116" s="0" t="s">
        <v>153</v>
      </c>
      <c r="G116" s="0" t="n">
        <f aca="false">HYPERLINK("http://clipc-services.ceda.ac.uk/dreq/u/59138238-9e49-11e5-803c-0d0b866b59f3.html","web")</f>
        <v>0</v>
      </c>
      <c r="H116" s="0" t="s">
        <v>35</v>
      </c>
      <c r="I116" s="0" t="s">
        <v>36</v>
      </c>
      <c r="J116" s="0" t="s">
        <v>445</v>
      </c>
      <c r="K116" s="0" t="s">
        <v>446</v>
      </c>
    </row>
    <row r="117" customFormat="false" ht="15" hidden="false" customHeight="false" outlineLevel="0" collapsed="false">
      <c r="A117" s="0" t="s">
        <v>412</v>
      </c>
      <c r="B117" s="0" t="s">
        <v>447</v>
      </c>
      <c r="C117" s="0" t="s">
        <v>69</v>
      </c>
      <c r="D117" s="0" t="s">
        <v>448</v>
      </c>
      <c r="E117" s="0" t="s">
        <v>449</v>
      </c>
      <c r="F117" s="0" t="s">
        <v>13</v>
      </c>
      <c r="G117" s="0" t="n">
        <f aca="false">HYPERLINK("http://clipc-services.ceda.ac.uk/dreq/u/590dfb2e-9e49-11e5-803c-0d0b866b59f3.html","web")</f>
        <v>0</v>
      </c>
      <c r="H117" s="0" t="s">
        <v>35</v>
      </c>
      <c r="I117" s="0" t="s">
        <v>36</v>
      </c>
      <c r="J117" s="0" t="s">
        <v>450</v>
      </c>
      <c r="K117" s="0" t="s">
        <v>442</v>
      </c>
    </row>
    <row r="118" customFormat="false" ht="15" hidden="false" customHeight="false" outlineLevel="0" collapsed="false">
      <c r="A118" s="0" t="s">
        <v>412</v>
      </c>
      <c r="B118" s="0" t="s">
        <v>451</v>
      </c>
      <c r="C118" s="0" t="s">
        <v>13</v>
      </c>
      <c r="D118" s="0" t="s">
        <v>151</v>
      </c>
      <c r="E118" s="0" t="s">
        <v>452</v>
      </c>
      <c r="F118" s="0" t="s">
        <v>16</v>
      </c>
      <c r="G118" s="0" t="n">
        <f aca="false">HYPERLINK("http://clipc-services.ceda.ac.uk/dreq/u/590d38b0-9e49-11e5-803c-0d0b866b59f3.html","web")</f>
        <v>0</v>
      </c>
      <c r="H118" s="0" t="s">
        <v>453</v>
      </c>
      <c r="I118" s="0" t="s">
        <v>454</v>
      </c>
      <c r="J118" s="0" t="s">
        <v>455</v>
      </c>
      <c r="K118" s="0" t="s">
        <v>456</v>
      </c>
    </row>
    <row r="120" customFormat="false" ht="15" hidden="false" customHeight="false" outlineLevel="0" collapsed="false">
      <c r="A120" s="0" t="s">
        <v>457</v>
      </c>
      <c r="B120" s="0" t="s">
        <v>458</v>
      </c>
      <c r="C120" s="0" t="s">
        <v>32</v>
      </c>
      <c r="D120" s="0" t="s">
        <v>459</v>
      </c>
      <c r="E120" s="0" t="s">
        <v>460</v>
      </c>
      <c r="F120" s="0" t="s">
        <v>16</v>
      </c>
      <c r="G120" s="0" t="n">
        <f aca="false">HYPERLINK("http://clipc-services.ceda.ac.uk/dreq/u/1aefc13bd27020244fe1cfd706ce1041.html","web")</f>
        <v>0</v>
      </c>
      <c r="H120" s="0" t="s">
        <v>266</v>
      </c>
      <c r="I120" s="0" t="s">
        <v>239</v>
      </c>
      <c r="J120" s="0" t="s">
        <v>461</v>
      </c>
      <c r="K120" s="0" t="s">
        <v>462</v>
      </c>
    </row>
    <row r="121" customFormat="false" ht="15" hidden="false" customHeight="false" outlineLevel="0" collapsed="false">
      <c r="A121" s="0" t="s">
        <v>457</v>
      </c>
      <c r="B121" s="0" t="s">
        <v>241</v>
      </c>
      <c r="C121" s="0" t="s">
        <v>13</v>
      </c>
      <c r="D121" s="0" t="s">
        <v>242</v>
      </c>
      <c r="E121" s="0" t="s">
        <v>243</v>
      </c>
      <c r="F121" s="0" t="s">
        <v>16</v>
      </c>
      <c r="G121" s="0" t="n">
        <f aca="false">HYPERLINK("http://clipc-services.ceda.ac.uk/dreq/u/400e5707b65c01e31f2ec6a59dd3983b.html","web")</f>
        <v>0</v>
      </c>
      <c r="H121" s="0" t="s">
        <v>244</v>
      </c>
      <c r="I121" s="0" t="s">
        <v>245</v>
      </c>
      <c r="J121" s="0" t="s">
        <v>246</v>
      </c>
      <c r="K121" s="0" t="s">
        <v>463</v>
      </c>
    </row>
    <row r="122" customFormat="false" ht="15" hidden="false" customHeight="false" outlineLevel="0" collapsed="false">
      <c r="A122" s="0" t="s">
        <v>457</v>
      </c>
      <c r="B122" s="0" t="s">
        <v>247</v>
      </c>
      <c r="C122" s="0" t="s">
        <v>13</v>
      </c>
      <c r="D122" s="0" t="s">
        <v>248</v>
      </c>
      <c r="E122" s="0" t="s">
        <v>249</v>
      </c>
      <c r="F122" s="0" t="s">
        <v>16</v>
      </c>
      <c r="G122" s="0" t="n">
        <f aca="false">HYPERLINK("http://clipc-services.ceda.ac.uk/dreq/u/fa7666d61b92de5bad1ad76561b8b850.html","web")</f>
        <v>0</v>
      </c>
      <c r="H122" s="0" t="s">
        <v>244</v>
      </c>
      <c r="I122" s="0" t="s">
        <v>245</v>
      </c>
      <c r="J122" s="0" t="s">
        <v>250</v>
      </c>
      <c r="K122" s="0" t="s">
        <v>464</v>
      </c>
    </row>
    <row r="123" customFormat="false" ht="15" hidden="false" customHeight="false" outlineLevel="0" collapsed="false">
      <c r="A123" s="0" t="s">
        <v>457</v>
      </c>
      <c r="B123" s="0" t="s">
        <v>465</v>
      </c>
      <c r="C123" s="0" t="s">
        <v>32</v>
      </c>
      <c r="D123" s="0" t="s">
        <v>459</v>
      </c>
      <c r="E123" s="0" t="s">
        <v>466</v>
      </c>
      <c r="F123" s="0" t="s">
        <v>16</v>
      </c>
      <c r="G123" s="0" t="n">
        <f aca="false">HYPERLINK("http://clipc-services.ceda.ac.uk/dreq/u/2cd1940e7201d5adb02ba157a74fc33e.html","web")</f>
        <v>0</v>
      </c>
      <c r="H123" s="0" t="s">
        <v>467</v>
      </c>
      <c r="I123" s="0" t="s">
        <v>330</v>
      </c>
      <c r="J123" s="0" t="s">
        <v>468</v>
      </c>
      <c r="K123" s="0" t="s">
        <v>469</v>
      </c>
    </row>
    <row r="124" customFormat="false" ht="15" hidden="false" customHeight="false" outlineLevel="0" collapsed="false">
      <c r="A124" s="0" t="s">
        <v>457</v>
      </c>
      <c r="B124" s="0" t="s">
        <v>332</v>
      </c>
      <c r="C124" s="0" t="s">
        <v>13</v>
      </c>
      <c r="D124" s="0" t="s">
        <v>459</v>
      </c>
      <c r="E124" s="0" t="s">
        <v>334</v>
      </c>
      <c r="F124" s="0" t="s">
        <v>335</v>
      </c>
      <c r="G124" s="0" t="n">
        <f aca="false">HYPERLINK("http://clipc-services.ceda.ac.uk/dreq/u/c373986159daf18eee63ca731d52b6f7.html","web")</f>
        <v>0</v>
      </c>
      <c r="H124" s="0" t="s">
        <v>266</v>
      </c>
      <c r="I124" s="0" t="s">
        <v>56</v>
      </c>
      <c r="J124" s="0" t="s">
        <v>336</v>
      </c>
      <c r="K124" s="0" t="s">
        <v>470</v>
      </c>
    </row>
    <row r="125" customFormat="false" ht="15" hidden="false" customHeight="false" outlineLevel="0" collapsed="false">
      <c r="A125" s="0" t="s">
        <v>457</v>
      </c>
      <c r="B125" s="0" t="s">
        <v>337</v>
      </c>
      <c r="C125" s="0" t="s">
        <v>13</v>
      </c>
      <c r="D125" s="0" t="s">
        <v>459</v>
      </c>
      <c r="E125" s="0" t="s">
        <v>338</v>
      </c>
      <c r="F125" s="0" t="s">
        <v>335</v>
      </c>
      <c r="G125" s="0" t="n">
        <f aca="false">HYPERLINK("http://clipc-services.ceda.ac.uk/dreq/u/52c137a21845ae294b27ad40eaca096d.html","web")</f>
        <v>0</v>
      </c>
      <c r="H125" s="0" t="s">
        <v>266</v>
      </c>
      <c r="I125" s="0" t="s">
        <v>56</v>
      </c>
      <c r="J125" s="0" t="s">
        <v>339</v>
      </c>
      <c r="K125" s="0" t="s">
        <v>470</v>
      </c>
    </row>
    <row r="126" customFormat="false" ht="15" hidden="false" customHeight="false" outlineLevel="0" collapsed="false">
      <c r="A126" s="0" t="s">
        <v>457</v>
      </c>
      <c r="B126" s="0" t="s">
        <v>471</v>
      </c>
      <c r="C126" s="0" t="s">
        <v>32</v>
      </c>
      <c r="D126" s="0" t="s">
        <v>252</v>
      </c>
      <c r="E126" s="0" t="s">
        <v>472</v>
      </c>
      <c r="F126" s="0" t="s">
        <v>153</v>
      </c>
      <c r="G126" s="0" t="n">
        <f aca="false">HYPERLINK("http://clipc-services.ceda.ac.uk/dreq/u/62aa098b13f86fa22de1a874536a64ae.html","web")</f>
        <v>0</v>
      </c>
      <c r="H126" s="0" t="s">
        <v>473</v>
      </c>
      <c r="I126" s="0" t="s">
        <v>330</v>
      </c>
      <c r="J126" s="0" t="s">
        <v>474</v>
      </c>
      <c r="K126" s="0" t="s">
        <v>470</v>
      </c>
    </row>
    <row r="127" customFormat="false" ht="15" hidden="false" customHeight="false" outlineLevel="0" collapsed="false">
      <c r="A127" s="0" t="s">
        <v>457</v>
      </c>
      <c r="B127" s="0" t="s">
        <v>346</v>
      </c>
      <c r="C127" s="0" t="s">
        <v>13</v>
      </c>
      <c r="D127" s="0" t="s">
        <v>252</v>
      </c>
      <c r="E127" s="0" t="s">
        <v>347</v>
      </c>
      <c r="F127" s="0" t="s">
        <v>348</v>
      </c>
      <c r="G127" s="0" t="n">
        <f aca="false">HYPERLINK("http://clipc-services.ceda.ac.uk/dreq/u/c432bfbfc0e7f4403f91af39736ff61c.html","web")</f>
        <v>0</v>
      </c>
      <c r="H127" s="0" t="s">
        <v>349</v>
      </c>
      <c r="I127" s="0" t="s">
        <v>56</v>
      </c>
      <c r="J127" s="0" t="s">
        <v>350</v>
      </c>
      <c r="K127" s="0" t="s">
        <v>475</v>
      </c>
    </row>
    <row r="128" customFormat="false" ht="15" hidden="false" customHeight="false" outlineLevel="0" collapsed="false">
      <c r="A128" s="0" t="s">
        <v>457</v>
      </c>
      <c r="B128" s="0" t="s">
        <v>476</v>
      </c>
      <c r="C128" s="0" t="s">
        <v>13</v>
      </c>
      <c r="D128" s="0" t="s">
        <v>252</v>
      </c>
      <c r="E128" s="0" t="s">
        <v>477</v>
      </c>
      <c r="F128" s="0" t="s">
        <v>348</v>
      </c>
      <c r="G128" s="0" t="n">
        <f aca="false">HYPERLINK("http://clipc-services.ceda.ac.uk/dreq/u/e0279cf7335a5b9292a1a3c8f70a32a2.html","web")</f>
        <v>0</v>
      </c>
      <c r="H128" s="0" t="s">
        <v>478</v>
      </c>
      <c r="I128" s="0" t="s">
        <v>56</v>
      </c>
      <c r="J128" s="0" t="s">
        <v>479</v>
      </c>
      <c r="K128" s="0" t="s">
        <v>480</v>
      </c>
    </row>
    <row r="129" customFormat="false" ht="15" hidden="false" customHeight="false" outlineLevel="0" collapsed="false">
      <c r="A129" s="0" t="s">
        <v>457</v>
      </c>
      <c r="B129" s="0" t="s">
        <v>351</v>
      </c>
      <c r="C129" s="0" t="s">
        <v>13</v>
      </c>
      <c r="D129" s="0" t="s">
        <v>252</v>
      </c>
      <c r="E129" s="0" t="s">
        <v>352</v>
      </c>
      <c r="F129" s="0" t="s">
        <v>348</v>
      </c>
      <c r="G129" s="0" t="n">
        <f aca="false">HYPERLINK("http://clipc-services.ceda.ac.uk/dreq/u/e79eb59d74038643b2201bb0556e720a.html","web")</f>
        <v>0</v>
      </c>
      <c r="H129" s="0" t="s">
        <v>349</v>
      </c>
      <c r="I129" s="0" t="s">
        <v>56</v>
      </c>
      <c r="J129" s="0" t="s">
        <v>353</v>
      </c>
      <c r="K129" s="0" t="s">
        <v>475</v>
      </c>
    </row>
    <row r="130" customFormat="false" ht="15" hidden="false" customHeight="false" outlineLevel="0" collapsed="false">
      <c r="A130" s="0" t="s">
        <v>457</v>
      </c>
      <c r="B130" s="0" t="s">
        <v>481</v>
      </c>
      <c r="C130" s="0" t="s">
        <v>13</v>
      </c>
      <c r="D130" s="0" t="s">
        <v>252</v>
      </c>
      <c r="E130" s="0" t="s">
        <v>482</v>
      </c>
      <c r="F130" s="0" t="s">
        <v>348</v>
      </c>
      <c r="G130" s="0" t="n">
        <f aca="false">HYPERLINK("http://clipc-services.ceda.ac.uk/dreq/u/bc0982cd4cc45a7ad96524f549a468c4.html","web")</f>
        <v>0</v>
      </c>
      <c r="H130" s="0" t="s">
        <v>478</v>
      </c>
      <c r="I130" s="0" t="s">
        <v>56</v>
      </c>
      <c r="J130" s="0" t="s">
        <v>483</v>
      </c>
      <c r="K130" s="0" t="s">
        <v>480</v>
      </c>
    </row>
    <row r="131" customFormat="false" ht="15" hidden="false" customHeight="false" outlineLevel="0" collapsed="false">
      <c r="A131" s="0" t="s">
        <v>457</v>
      </c>
      <c r="B131" s="0" t="s">
        <v>354</v>
      </c>
      <c r="C131" s="0" t="s">
        <v>13</v>
      </c>
      <c r="D131" s="0" t="s">
        <v>252</v>
      </c>
      <c r="E131" s="0" t="s">
        <v>355</v>
      </c>
      <c r="F131" s="0" t="s">
        <v>348</v>
      </c>
      <c r="G131" s="0" t="n">
        <f aca="false">HYPERLINK("http://clipc-services.ceda.ac.uk/dreq/u/bcfeacf77d49ef51a6ee66a1ab0ebcb4.html","web")</f>
        <v>0</v>
      </c>
      <c r="H131" s="0" t="s">
        <v>349</v>
      </c>
      <c r="I131" s="0" t="s">
        <v>56</v>
      </c>
      <c r="J131" s="0" t="s">
        <v>356</v>
      </c>
      <c r="K131" s="0" t="s">
        <v>475</v>
      </c>
    </row>
    <row r="132" customFormat="false" ht="15" hidden="false" customHeight="false" outlineLevel="0" collapsed="false">
      <c r="A132" s="0" t="s">
        <v>457</v>
      </c>
      <c r="B132" s="0" t="s">
        <v>484</v>
      </c>
      <c r="C132" s="0" t="s">
        <v>13</v>
      </c>
      <c r="D132" s="0" t="s">
        <v>252</v>
      </c>
      <c r="E132" s="0" t="s">
        <v>485</v>
      </c>
      <c r="F132" s="0" t="s">
        <v>348</v>
      </c>
      <c r="G132" s="0" t="n">
        <f aca="false">HYPERLINK("http://clipc-services.ceda.ac.uk/dreq/u/01918a16b5ac9dbbe932d83357c06a21.html","web")</f>
        <v>0</v>
      </c>
      <c r="H132" s="0" t="s">
        <v>478</v>
      </c>
      <c r="I132" s="0" t="s">
        <v>56</v>
      </c>
      <c r="J132" s="0" t="s">
        <v>486</v>
      </c>
      <c r="K132" s="0" t="s">
        <v>480</v>
      </c>
    </row>
    <row r="133" customFormat="false" ht="15" hidden="false" customHeight="false" outlineLevel="0" collapsed="false">
      <c r="A133" s="0" t="s">
        <v>457</v>
      </c>
      <c r="B133" s="0" t="s">
        <v>357</v>
      </c>
      <c r="C133" s="0" t="s">
        <v>13</v>
      </c>
      <c r="D133" s="0" t="s">
        <v>252</v>
      </c>
      <c r="E133" s="0" t="s">
        <v>358</v>
      </c>
      <c r="F133" s="0" t="s">
        <v>348</v>
      </c>
      <c r="G133" s="0" t="n">
        <f aca="false">HYPERLINK("http://clipc-services.ceda.ac.uk/dreq/u/a8607fe15cb4f2997228523340233d91.html","web")</f>
        <v>0</v>
      </c>
      <c r="H133" s="0" t="s">
        <v>349</v>
      </c>
      <c r="I133" s="0" t="s">
        <v>56</v>
      </c>
      <c r="J133" s="0" t="s">
        <v>359</v>
      </c>
      <c r="K133" s="0" t="s">
        <v>475</v>
      </c>
    </row>
    <row r="134" customFormat="false" ht="15" hidden="false" customHeight="false" outlineLevel="0" collapsed="false">
      <c r="A134" s="0" t="s">
        <v>457</v>
      </c>
      <c r="B134" s="0" t="s">
        <v>487</v>
      </c>
      <c r="C134" s="0" t="s">
        <v>13</v>
      </c>
      <c r="D134" s="0" t="s">
        <v>252</v>
      </c>
      <c r="E134" s="0" t="s">
        <v>488</v>
      </c>
      <c r="F134" s="0" t="s">
        <v>348</v>
      </c>
      <c r="G134" s="0" t="n">
        <f aca="false">HYPERLINK("http://clipc-services.ceda.ac.uk/dreq/u/5951b6df2bd5a02e11213ea42620fa89.html","web")</f>
        <v>0</v>
      </c>
      <c r="H134" s="0" t="s">
        <v>478</v>
      </c>
      <c r="I134" s="0" t="s">
        <v>56</v>
      </c>
      <c r="J134" s="0" t="s">
        <v>489</v>
      </c>
      <c r="K134" s="0" t="s">
        <v>480</v>
      </c>
    </row>
    <row r="135" customFormat="false" ht="15" hidden="false" customHeight="false" outlineLevel="0" collapsed="false">
      <c r="A135" s="0" t="s">
        <v>457</v>
      </c>
      <c r="B135" s="0" t="s">
        <v>490</v>
      </c>
      <c r="C135" s="0" t="s">
        <v>13</v>
      </c>
      <c r="D135" s="0" t="s">
        <v>151</v>
      </c>
      <c r="E135" s="0" t="s">
        <v>491</v>
      </c>
      <c r="F135" s="0" t="s">
        <v>348</v>
      </c>
      <c r="G135" s="0" t="n">
        <f aca="false">HYPERLINK("http://clipc-services.ceda.ac.uk/dreq/u/0888eef64215cf18affe93ca142c95ad.html","web")</f>
        <v>0</v>
      </c>
      <c r="H135" s="0" t="s">
        <v>478</v>
      </c>
      <c r="I135" s="0" t="s">
        <v>56</v>
      </c>
      <c r="J135" s="0" t="s">
        <v>492</v>
      </c>
      <c r="K135" s="0" t="s">
        <v>493</v>
      </c>
    </row>
    <row r="136" customFormat="false" ht="15" hidden="false" customHeight="false" outlineLevel="0" collapsed="false">
      <c r="A136" s="0" t="s">
        <v>457</v>
      </c>
      <c r="B136" s="0" t="s">
        <v>494</v>
      </c>
      <c r="C136" s="0" t="s">
        <v>13</v>
      </c>
      <c r="D136" s="0" t="s">
        <v>151</v>
      </c>
      <c r="E136" s="0" t="s">
        <v>495</v>
      </c>
      <c r="F136" s="0" t="s">
        <v>348</v>
      </c>
      <c r="G136" s="0" t="n">
        <f aca="false">HYPERLINK("http://clipc-services.ceda.ac.uk/dreq/u/71a3667c9d9a8b9af56e22757461b7d0.html","web")</f>
        <v>0</v>
      </c>
      <c r="H136" s="0" t="s">
        <v>478</v>
      </c>
      <c r="I136" s="0" t="s">
        <v>56</v>
      </c>
      <c r="J136" s="0" t="s">
        <v>496</v>
      </c>
      <c r="K136" s="0" t="s">
        <v>493</v>
      </c>
    </row>
    <row r="137" customFormat="false" ht="15" hidden="false" customHeight="false" outlineLevel="0" collapsed="false">
      <c r="A137" s="0" t="s">
        <v>457</v>
      </c>
      <c r="B137" s="0" t="s">
        <v>360</v>
      </c>
      <c r="C137" s="0" t="s">
        <v>13</v>
      </c>
      <c r="D137" s="0" t="s">
        <v>252</v>
      </c>
      <c r="E137" s="0" t="s">
        <v>361</v>
      </c>
      <c r="F137" s="0" t="s">
        <v>348</v>
      </c>
      <c r="G137" s="0" t="n">
        <f aca="false">HYPERLINK("http://clipc-services.ceda.ac.uk/dreq/u/eb9ac643cd9c73cae960d6d2db7b901d.html","web")</f>
        <v>0</v>
      </c>
      <c r="H137" s="0" t="s">
        <v>349</v>
      </c>
      <c r="I137" s="0" t="s">
        <v>56</v>
      </c>
      <c r="J137" s="0" t="s">
        <v>362</v>
      </c>
      <c r="K137" s="0" t="s">
        <v>475</v>
      </c>
    </row>
    <row r="138" customFormat="false" ht="15" hidden="false" customHeight="false" outlineLevel="0" collapsed="false">
      <c r="A138" s="0" t="s">
        <v>457</v>
      </c>
      <c r="B138" s="0" t="s">
        <v>497</v>
      </c>
      <c r="C138" s="0" t="s">
        <v>13</v>
      </c>
      <c r="D138" s="0" t="s">
        <v>252</v>
      </c>
      <c r="E138" s="0" t="s">
        <v>498</v>
      </c>
      <c r="F138" s="0" t="s">
        <v>348</v>
      </c>
      <c r="G138" s="0" t="n">
        <f aca="false">HYPERLINK("http://clipc-services.ceda.ac.uk/dreq/u/6248574ebce5bf9fde3841735c9108bc.html","web")</f>
        <v>0</v>
      </c>
      <c r="H138" s="0" t="s">
        <v>478</v>
      </c>
      <c r="I138" s="0" t="s">
        <v>56</v>
      </c>
      <c r="J138" s="0" t="s">
        <v>499</v>
      </c>
      <c r="K138" s="0" t="s">
        <v>480</v>
      </c>
    </row>
    <row r="139" customFormat="false" ht="15" hidden="false" customHeight="false" outlineLevel="0" collapsed="false">
      <c r="A139" s="0" t="s">
        <v>457</v>
      </c>
      <c r="B139" s="0" t="s">
        <v>363</v>
      </c>
      <c r="C139" s="0" t="s">
        <v>13</v>
      </c>
      <c r="D139" s="0" t="s">
        <v>252</v>
      </c>
      <c r="E139" s="0" t="s">
        <v>364</v>
      </c>
      <c r="F139" s="0" t="s">
        <v>348</v>
      </c>
      <c r="G139" s="0" t="n">
        <f aca="false">HYPERLINK("http://clipc-services.ceda.ac.uk/dreq/u/38806cec3ba894d7745fada80c9f6fe6.html","web")</f>
        <v>0</v>
      </c>
      <c r="H139" s="0" t="s">
        <v>365</v>
      </c>
      <c r="I139" s="0" t="s">
        <v>56</v>
      </c>
      <c r="J139" s="0" t="s">
        <v>366</v>
      </c>
      <c r="K139" s="0" t="s">
        <v>475</v>
      </c>
    </row>
    <row r="140" customFormat="false" ht="15" hidden="false" customHeight="false" outlineLevel="0" collapsed="false">
      <c r="A140" s="0" t="s">
        <v>457</v>
      </c>
      <c r="B140" s="0" t="s">
        <v>500</v>
      </c>
      <c r="C140" s="0" t="s">
        <v>13</v>
      </c>
      <c r="D140" s="0" t="s">
        <v>252</v>
      </c>
      <c r="E140" s="0" t="s">
        <v>501</v>
      </c>
      <c r="F140" s="0" t="s">
        <v>348</v>
      </c>
      <c r="G140" s="0" t="n">
        <f aca="false">HYPERLINK("http://clipc-services.ceda.ac.uk/dreq/u/b8acc50c52fa48b40a4512d06d2d6435.html","web")</f>
        <v>0</v>
      </c>
      <c r="H140" s="0" t="s">
        <v>478</v>
      </c>
      <c r="I140" s="0" t="s">
        <v>56</v>
      </c>
      <c r="J140" s="0" t="s">
        <v>502</v>
      </c>
      <c r="K140" s="0" t="s">
        <v>480</v>
      </c>
    </row>
    <row r="141" customFormat="false" ht="15" hidden="false" customHeight="false" outlineLevel="0" collapsed="false">
      <c r="A141" s="0" t="s">
        <v>457</v>
      </c>
      <c r="B141" s="0" t="s">
        <v>367</v>
      </c>
      <c r="C141" s="0" t="s">
        <v>13</v>
      </c>
      <c r="D141" s="0" t="s">
        <v>252</v>
      </c>
      <c r="E141" s="0" t="s">
        <v>368</v>
      </c>
      <c r="F141" s="0" t="s">
        <v>348</v>
      </c>
      <c r="G141" s="0" t="n">
        <f aca="false">HYPERLINK("http://clipc-services.ceda.ac.uk/dreq/u/c323f38340e4846931ad4891232d839d.html","web")</f>
        <v>0</v>
      </c>
      <c r="H141" s="0" t="s">
        <v>349</v>
      </c>
      <c r="I141" s="0" t="s">
        <v>56</v>
      </c>
      <c r="J141" s="0" t="s">
        <v>369</v>
      </c>
      <c r="K141" s="0" t="s">
        <v>475</v>
      </c>
    </row>
    <row r="142" customFormat="false" ht="15" hidden="false" customHeight="false" outlineLevel="0" collapsed="false">
      <c r="A142" s="0" t="s">
        <v>457</v>
      </c>
      <c r="B142" s="0" t="s">
        <v>503</v>
      </c>
      <c r="C142" s="0" t="s">
        <v>13</v>
      </c>
      <c r="D142" s="0" t="s">
        <v>252</v>
      </c>
      <c r="E142" s="0" t="s">
        <v>504</v>
      </c>
      <c r="F142" s="0" t="s">
        <v>348</v>
      </c>
      <c r="G142" s="0" t="n">
        <f aca="false">HYPERLINK("http://clipc-services.ceda.ac.uk/dreq/u/8e5acd3e73d41006a677b5e77fe383f7.html","web")</f>
        <v>0</v>
      </c>
      <c r="H142" s="0" t="s">
        <v>478</v>
      </c>
      <c r="I142" s="0" t="s">
        <v>56</v>
      </c>
      <c r="J142" s="0" t="s">
        <v>505</v>
      </c>
      <c r="K142" s="0" t="s">
        <v>480</v>
      </c>
    </row>
    <row r="143" customFormat="false" ht="15" hidden="false" customHeight="false" outlineLevel="0" collapsed="false">
      <c r="A143" s="0" t="s">
        <v>457</v>
      </c>
      <c r="B143" s="0" t="s">
        <v>370</v>
      </c>
      <c r="C143" s="0" t="s">
        <v>13</v>
      </c>
      <c r="D143" s="0" t="s">
        <v>252</v>
      </c>
      <c r="E143" s="0" t="s">
        <v>371</v>
      </c>
      <c r="F143" s="0" t="s">
        <v>348</v>
      </c>
      <c r="G143" s="0" t="n">
        <f aca="false">HYPERLINK("http://clipc-services.ceda.ac.uk/dreq/u/eb72b66b6365daed79aefeda9d3d30b5.html","web")</f>
        <v>0</v>
      </c>
      <c r="H143" s="0" t="s">
        <v>365</v>
      </c>
      <c r="I143" s="0" t="s">
        <v>56</v>
      </c>
      <c r="J143" s="0" t="s">
        <v>372</v>
      </c>
      <c r="K143" s="0" t="s">
        <v>475</v>
      </c>
    </row>
    <row r="144" customFormat="false" ht="15" hidden="false" customHeight="false" outlineLevel="0" collapsed="false">
      <c r="A144" s="0" t="s">
        <v>457</v>
      </c>
      <c r="B144" s="0" t="s">
        <v>506</v>
      </c>
      <c r="C144" s="0" t="s">
        <v>13</v>
      </c>
      <c r="D144" s="0" t="s">
        <v>252</v>
      </c>
      <c r="E144" s="0" t="s">
        <v>507</v>
      </c>
      <c r="F144" s="0" t="s">
        <v>348</v>
      </c>
      <c r="G144" s="0" t="n">
        <f aca="false">HYPERLINK("http://clipc-services.ceda.ac.uk/dreq/u/bef5e52ab3ef55640ab0133c34c9dec2.html","web")</f>
        <v>0</v>
      </c>
      <c r="H144" s="0" t="s">
        <v>478</v>
      </c>
      <c r="I144" s="0" t="s">
        <v>56</v>
      </c>
      <c r="J144" s="0" t="s">
        <v>508</v>
      </c>
      <c r="K144" s="0" t="s">
        <v>480</v>
      </c>
    </row>
    <row r="145" customFormat="false" ht="15" hidden="false" customHeight="false" outlineLevel="0" collapsed="false">
      <c r="A145" s="0" t="s">
        <v>457</v>
      </c>
      <c r="B145" s="0" t="s">
        <v>509</v>
      </c>
      <c r="C145" s="0" t="s">
        <v>13</v>
      </c>
      <c r="D145" s="0" t="s">
        <v>151</v>
      </c>
      <c r="E145" s="0" t="s">
        <v>510</v>
      </c>
      <c r="F145" s="0" t="s">
        <v>348</v>
      </c>
      <c r="G145" s="0" t="n">
        <f aca="false">HYPERLINK("http://clipc-services.ceda.ac.uk/dreq/u/58bbe37eb1035d22ab051fcfa10c67d9.html","web")</f>
        <v>0</v>
      </c>
      <c r="H145" s="0" t="s">
        <v>478</v>
      </c>
      <c r="I145" s="0" t="s">
        <v>56</v>
      </c>
      <c r="J145" s="0" t="s">
        <v>511</v>
      </c>
      <c r="K145" s="0" t="s">
        <v>493</v>
      </c>
    </row>
    <row r="146" customFormat="false" ht="15" hidden="false" customHeight="false" outlineLevel="0" collapsed="false">
      <c r="A146" s="0" t="s">
        <v>457</v>
      </c>
      <c r="B146" s="0" t="s">
        <v>512</v>
      </c>
      <c r="C146" s="0" t="s">
        <v>13</v>
      </c>
      <c r="D146" s="0" t="s">
        <v>151</v>
      </c>
      <c r="E146" s="0" t="s">
        <v>513</v>
      </c>
      <c r="F146" s="0" t="s">
        <v>348</v>
      </c>
      <c r="G146" s="0" t="n">
        <f aca="false">HYPERLINK("http://clipc-services.ceda.ac.uk/dreq/u/827d0f8093c7858a784e5fda140a6e12.html","web")</f>
        <v>0</v>
      </c>
      <c r="H146" s="0" t="s">
        <v>478</v>
      </c>
      <c r="I146" s="0" t="s">
        <v>56</v>
      </c>
      <c r="J146" s="0" t="s">
        <v>514</v>
      </c>
      <c r="K146" s="0" t="s">
        <v>493</v>
      </c>
    </row>
    <row r="147" customFormat="false" ht="15" hidden="false" customHeight="false" outlineLevel="0" collapsed="false">
      <c r="A147" s="0" t="s">
        <v>457</v>
      </c>
      <c r="B147" s="0" t="s">
        <v>376</v>
      </c>
      <c r="C147" s="0" t="s">
        <v>13</v>
      </c>
      <c r="D147" s="0" t="s">
        <v>459</v>
      </c>
      <c r="E147" s="0" t="s">
        <v>377</v>
      </c>
      <c r="F147" s="0" t="s">
        <v>378</v>
      </c>
      <c r="G147" s="0" t="n">
        <f aca="false">HYPERLINK("http://clipc-services.ceda.ac.uk/dreq/u/150d0829eec06aeaf75d22d08d328ffa.html","web")</f>
        <v>0</v>
      </c>
      <c r="H147" s="0" t="s">
        <v>379</v>
      </c>
      <c r="I147" s="0" t="s">
        <v>380</v>
      </c>
      <c r="J147" s="0" t="s">
        <v>381</v>
      </c>
      <c r="K147" s="0" t="s">
        <v>462</v>
      </c>
    </row>
    <row r="148" customFormat="false" ht="15" hidden="false" customHeight="false" outlineLevel="0" collapsed="false">
      <c r="A148" s="0" t="s">
        <v>457</v>
      </c>
      <c r="B148" s="0" t="s">
        <v>382</v>
      </c>
      <c r="C148" s="0" t="s">
        <v>13</v>
      </c>
      <c r="D148" s="0" t="s">
        <v>459</v>
      </c>
      <c r="E148" s="0" t="s">
        <v>383</v>
      </c>
      <c r="F148" s="0" t="s">
        <v>378</v>
      </c>
      <c r="G148" s="0" t="n">
        <f aca="false">HYPERLINK("http://clipc-services.ceda.ac.uk/dreq/u/2c8cb564bae033f641135194947da163.html","web")</f>
        <v>0</v>
      </c>
      <c r="H148" s="0" t="s">
        <v>266</v>
      </c>
      <c r="I148" s="0" t="s">
        <v>380</v>
      </c>
      <c r="J148" s="0" t="s">
        <v>384</v>
      </c>
      <c r="K148" s="0" t="s">
        <v>462</v>
      </c>
    </row>
    <row r="149" customFormat="false" ht="15" hidden="false" customHeight="false" outlineLevel="0" collapsed="false">
      <c r="A149" s="0" t="s">
        <v>457</v>
      </c>
      <c r="B149" s="0" t="s">
        <v>385</v>
      </c>
      <c r="C149" s="0" t="s">
        <v>13</v>
      </c>
      <c r="D149" s="0" t="s">
        <v>459</v>
      </c>
      <c r="E149" s="0" t="s">
        <v>386</v>
      </c>
      <c r="F149" s="0" t="s">
        <v>378</v>
      </c>
      <c r="G149" s="0" t="n">
        <f aca="false">HYPERLINK("http://clipc-services.ceda.ac.uk/dreq/u/9e9e7476986ece18ce380652eaabe342.html","web")</f>
        <v>0</v>
      </c>
      <c r="H149" s="0" t="s">
        <v>387</v>
      </c>
      <c r="I149" s="0" t="s">
        <v>380</v>
      </c>
      <c r="J149" s="0" t="s">
        <v>388</v>
      </c>
      <c r="K149" s="0" t="s">
        <v>462</v>
      </c>
    </row>
    <row r="150" customFormat="false" ht="15" hidden="false" customHeight="false" outlineLevel="0" collapsed="false">
      <c r="A150" s="0" t="s">
        <v>457</v>
      </c>
      <c r="B150" s="0" t="s">
        <v>389</v>
      </c>
      <c r="C150" s="0" t="s">
        <v>13</v>
      </c>
      <c r="D150" s="0" t="s">
        <v>459</v>
      </c>
      <c r="E150" s="0" t="s">
        <v>390</v>
      </c>
      <c r="F150" s="0" t="s">
        <v>391</v>
      </c>
      <c r="G150" s="0" t="n">
        <f aca="false">HYPERLINK("http://clipc-services.ceda.ac.uk/dreq/u/c8b1814845661bcad37910e70a59b285.html","web")</f>
        <v>0</v>
      </c>
      <c r="H150" s="0" t="s">
        <v>392</v>
      </c>
      <c r="I150" s="0" t="s">
        <v>380</v>
      </c>
      <c r="J150" s="0" t="s">
        <v>390</v>
      </c>
      <c r="K150" s="0" t="s">
        <v>462</v>
      </c>
    </row>
    <row r="151" customFormat="false" ht="15" hidden="false" customHeight="false" outlineLevel="0" collapsed="false">
      <c r="A151" s="0" t="s">
        <v>457</v>
      </c>
      <c r="B151" s="0" t="s">
        <v>393</v>
      </c>
      <c r="C151" s="0" t="s">
        <v>13</v>
      </c>
      <c r="D151" s="0" t="s">
        <v>459</v>
      </c>
      <c r="E151" s="0" t="s">
        <v>394</v>
      </c>
      <c r="F151" s="0" t="s">
        <v>391</v>
      </c>
      <c r="G151" s="0" t="n">
        <f aca="false">HYPERLINK("http://clipc-services.ceda.ac.uk/dreq/u/ea55d8afe6bacbfa1029c0048717eaaa.html","web")</f>
        <v>0</v>
      </c>
      <c r="H151" s="0" t="s">
        <v>395</v>
      </c>
      <c r="I151" s="0" t="s">
        <v>380</v>
      </c>
      <c r="J151" s="0" t="s">
        <v>396</v>
      </c>
      <c r="K151" s="0" t="s">
        <v>462</v>
      </c>
    </row>
    <row r="152" customFormat="false" ht="15" hidden="false" customHeight="false" outlineLevel="0" collapsed="false">
      <c r="A152" s="0" t="s">
        <v>457</v>
      </c>
      <c r="B152" s="0" t="s">
        <v>397</v>
      </c>
      <c r="C152" s="0" t="s">
        <v>13</v>
      </c>
      <c r="D152" s="0" t="s">
        <v>459</v>
      </c>
      <c r="E152" s="0" t="s">
        <v>398</v>
      </c>
      <c r="F152" s="0" t="s">
        <v>391</v>
      </c>
      <c r="G152" s="0" t="n">
        <f aca="false">HYPERLINK("http://clipc-services.ceda.ac.uk/dreq/u/621681bc7c376de66228fdde13b97516.html","web")</f>
        <v>0</v>
      </c>
      <c r="H152" s="0" t="s">
        <v>399</v>
      </c>
      <c r="I152" s="0" t="s">
        <v>56</v>
      </c>
      <c r="J152" s="0" t="s">
        <v>400</v>
      </c>
      <c r="K152" s="0" t="s">
        <v>462</v>
      </c>
    </row>
    <row r="153" customFormat="false" ht="15" hidden="false" customHeight="false" outlineLevel="0" collapsed="false">
      <c r="A153" s="0" t="s">
        <v>457</v>
      </c>
      <c r="B153" s="0" t="s">
        <v>401</v>
      </c>
      <c r="C153" s="0" t="s">
        <v>13</v>
      </c>
      <c r="D153" s="0" t="s">
        <v>459</v>
      </c>
      <c r="E153" s="0" t="s">
        <v>402</v>
      </c>
      <c r="F153" s="0" t="s">
        <v>391</v>
      </c>
      <c r="G153" s="0" t="n">
        <f aca="false">HYPERLINK("http://clipc-services.ceda.ac.uk/dreq/u/475dc209e9f9cd51eedee4d26caf9f67.html","web")</f>
        <v>0</v>
      </c>
      <c r="H153" s="0" t="s">
        <v>403</v>
      </c>
      <c r="I153" s="0" t="s">
        <v>380</v>
      </c>
      <c r="J153" s="0" t="s">
        <v>404</v>
      </c>
      <c r="K153" s="0" t="s">
        <v>462</v>
      </c>
    </row>
    <row r="155" customFormat="false" ht="15" hidden="false" customHeight="false" outlineLevel="0" collapsed="false">
      <c r="A155" s="0" t="s">
        <v>515</v>
      </c>
      <c r="B155" s="0" t="s">
        <v>60</v>
      </c>
      <c r="C155" s="0" t="s">
        <v>32</v>
      </c>
      <c r="D155" s="0" t="s">
        <v>61</v>
      </c>
      <c r="E155" s="0" t="s">
        <v>62</v>
      </c>
      <c r="F155" s="0" t="s">
        <v>63</v>
      </c>
      <c r="G155" s="0" t="n">
        <f aca="false">HYPERLINK("http://clipc-services.ceda.ac.uk/dreq/u/a72a0bcf271db9db3a7fb9b7f3e7b93a.html","web")</f>
        <v>0</v>
      </c>
      <c r="H155" s="0" t="s">
        <v>64</v>
      </c>
      <c r="I155" s="0" t="s">
        <v>65</v>
      </c>
      <c r="J155" s="0" t="s">
        <v>66</v>
      </c>
      <c r="K155" s="0" t="s">
        <v>516</v>
      </c>
    </row>
    <row r="156" customFormat="false" ht="15" hidden="false" customHeight="false" outlineLevel="0" collapsed="false">
      <c r="A156" s="0" t="s">
        <v>515</v>
      </c>
      <c r="B156" s="0" t="s">
        <v>68</v>
      </c>
      <c r="C156" s="0" t="s">
        <v>32</v>
      </c>
      <c r="D156" s="0" t="s">
        <v>61</v>
      </c>
      <c r="E156" s="0" t="s">
        <v>70</v>
      </c>
      <c r="F156" s="0" t="s">
        <v>63</v>
      </c>
      <c r="G156" s="0" t="n">
        <f aca="false">HYPERLINK("http://clipc-services.ceda.ac.uk/dreq/u/27ad2512525b0c42b7edd88f1dad5955.html","web")</f>
        <v>0</v>
      </c>
      <c r="H156" s="0" t="s">
        <v>64</v>
      </c>
      <c r="I156" s="0" t="s">
        <v>65</v>
      </c>
      <c r="J156" s="0" t="s">
        <v>71</v>
      </c>
      <c r="K156" s="0" t="s">
        <v>516</v>
      </c>
    </row>
    <row r="157" customFormat="false" ht="15" hidden="false" customHeight="false" outlineLevel="0" collapsed="false">
      <c r="A157" s="0" t="s">
        <v>515</v>
      </c>
      <c r="B157" s="0" t="s">
        <v>99</v>
      </c>
      <c r="C157" s="0" t="s">
        <v>69</v>
      </c>
      <c r="D157" s="0" t="s">
        <v>61</v>
      </c>
      <c r="E157" s="0" t="s">
        <v>100</v>
      </c>
      <c r="F157" s="0" t="s">
        <v>101</v>
      </c>
      <c r="G157" s="0" t="n">
        <f aca="false">HYPERLINK("http://clipc-services.ceda.ac.uk/dreq/u/df96c61c07957da1c4e8212f0553fa98.html","web")</f>
        <v>0</v>
      </c>
      <c r="H157" s="0" t="s">
        <v>102</v>
      </c>
      <c r="I157" s="0" t="s">
        <v>103</v>
      </c>
      <c r="J157" s="0" t="s">
        <v>104</v>
      </c>
      <c r="K157" s="0" t="s">
        <v>517</v>
      </c>
    </row>
    <row r="158" customFormat="false" ht="15" hidden="false" customHeight="false" outlineLevel="0" collapsed="false">
      <c r="A158" s="0" t="s">
        <v>515</v>
      </c>
      <c r="B158" s="0" t="s">
        <v>106</v>
      </c>
      <c r="C158" s="0" t="s">
        <v>69</v>
      </c>
      <c r="D158" s="0" t="s">
        <v>61</v>
      </c>
      <c r="E158" s="0" t="s">
        <v>107</v>
      </c>
      <c r="F158" s="0" t="s">
        <v>101</v>
      </c>
      <c r="G158" s="0" t="n">
        <f aca="false">HYPERLINK("http://clipc-services.ceda.ac.uk/dreq/u/171d617ceca8a4351f53d090c0ead89c.html","web")</f>
        <v>0</v>
      </c>
      <c r="H158" s="0" t="s">
        <v>102</v>
      </c>
      <c r="I158" s="0" t="s">
        <v>103</v>
      </c>
      <c r="J158" s="0" t="s">
        <v>108</v>
      </c>
      <c r="K158" s="0" t="s">
        <v>517</v>
      </c>
    </row>
    <row r="159" customFormat="false" ht="15" hidden="false" customHeight="false" outlineLevel="0" collapsed="false">
      <c r="A159" s="0" t="s">
        <v>515</v>
      </c>
      <c r="B159" s="0" t="s">
        <v>109</v>
      </c>
      <c r="C159" s="0" t="s">
        <v>69</v>
      </c>
      <c r="D159" s="0" t="s">
        <v>61</v>
      </c>
      <c r="E159" s="0" t="s">
        <v>110</v>
      </c>
      <c r="F159" s="0" t="s">
        <v>101</v>
      </c>
      <c r="G159" s="0" t="n">
        <f aca="false">HYPERLINK("http://clipc-services.ceda.ac.uk/dreq/u/edc3d019be9c383abbd82a4d5fad43ca.html","web")</f>
        <v>0</v>
      </c>
      <c r="H159" s="0" t="s">
        <v>102</v>
      </c>
      <c r="I159" s="0" t="s">
        <v>103</v>
      </c>
      <c r="J159" s="0" t="s">
        <v>111</v>
      </c>
      <c r="K159" s="0" t="s">
        <v>517</v>
      </c>
    </row>
    <row r="160" customFormat="false" ht="15" hidden="false" customHeight="false" outlineLevel="0" collapsed="false">
      <c r="A160" s="0" t="s">
        <v>515</v>
      </c>
      <c r="B160" s="0" t="s">
        <v>112</v>
      </c>
      <c r="C160" s="0" t="s">
        <v>32</v>
      </c>
      <c r="D160" s="0" t="s">
        <v>61</v>
      </c>
      <c r="E160" s="0" t="s">
        <v>113</v>
      </c>
      <c r="F160" s="0" t="s">
        <v>63</v>
      </c>
      <c r="G160" s="0" t="n">
        <f aca="false">HYPERLINK("http://clipc-services.ceda.ac.uk/dreq/u/065edaa295c376f0e9bc1985bc3f491c.html","web")</f>
        <v>0</v>
      </c>
      <c r="H160" s="0" t="s">
        <v>64</v>
      </c>
      <c r="I160" s="0" t="s">
        <v>65</v>
      </c>
      <c r="J160" s="0" t="s">
        <v>114</v>
      </c>
      <c r="K160" s="0" t="s">
        <v>516</v>
      </c>
    </row>
    <row r="161" customFormat="false" ht="15" hidden="false" customHeight="false" outlineLevel="0" collapsed="false">
      <c r="A161" s="0" t="s">
        <v>515</v>
      </c>
      <c r="B161" s="0" t="s">
        <v>119</v>
      </c>
      <c r="C161" s="0" t="s">
        <v>69</v>
      </c>
      <c r="D161" s="0" t="s">
        <v>61</v>
      </c>
      <c r="E161" s="0" t="s">
        <v>120</v>
      </c>
      <c r="F161" s="0" t="s">
        <v>63</v>
      </c>
      <c r="G161" s="0" t="n">
        <f aca="false">HYPERLINK("http://clipc-services.ceda.ac.uk/dreq/u/59175660-9e49-11e5-803c-0d0b866b59f3.html","web")</f>
        <v>0</v>
      </c>
      <c r="H161" s="0" t="s">
        <v>121</v>
      </c>
      <c r="I161" s="0" t="s">
        <v>65</v>
      </c>
      <c r="J161" s="0" t="s">
        <v>122</v>
      </c>
      <c r="K161" s="0" t="s">
        <v>518</v>
      </c>
    </row>
    <row r="162" customFormat="false" ht="15" hidden="false" customHeight="false" outlineLevel="0" collapsed="false">
      <c r="A162" s="0" t="s">
        <v>515</v>
      </c>
      <c r="B162" s="0" t="s">
        <v>519</v>
      </c>
      <c r="C162" s="0" t="s">
        <v>32</v>
      </c>
      <c r="D162" s="0" t="s">
        <v>151</v>
      </c>
      <c r="E162" s="0" t="s">
        <v>520</v>
      </c>
      <c r="F162" s="0" t="s">
        <v>63</v>
      </c>
      <c r="G162" s="0" t="n">
        <f aca="false">HYPERLINK("http://clipc-services.ceda.ac.uk/dreq/u/c96c720e-c5f0-11e6-ac20-5404a60d96b5.html","web")</f>
        <v>0</v>
      </c>
      <c r="H162" s="0" t="s">
        <v>121</v>
      </c>
      <c r="I162" s="0" t="s">
        <v>65</v>
      </c>
      <c r="J162" s="0" t="s">
        <v>521</v>
      </c>
      <c r="K162" s="0" t="s">
        <v>522</v>
      </c>
    </row>
    <row r="163" customFormat="false" ht="15" hidden="false" customHeight="false" outlineLevel="0" collapsed="false">
      <c r="A163" s="0" t="s">
        <v>515</v>
      </c>
      <c r="B163" s="0" t="s">
        <v>123</v>
      </c>
      <c r="C163" s="0" t="s">
        <v>69</v>
      </c>
      <c r="D163" s="0" t="s">
        <v>61</v>
      </c>
      <c r="E163" s="0" t="s">
        <v>124</v>
      </c>
      <c r="F163" s="0" t="s">
        <v>63</v>
      </c>
      <c r="G163" s="0" t="n">
        <f aca="false">HYPERLINK("http://clipc-services.ceda.ac.uk/dreq/u/1391b0d99790cec6597b02ce4d7c5a67.html","web")</f>
        <v>0</v>
      </c>
      <c r="H163" s="0" t="s">
        <v>64</v>
      </c>
      <c r="I163" s="0" t="s">
        <v>65</v>
      </c>
      <c r="J163" s="0" t="s">
        <v>125</v>
      </c>
      <c r="K163" s="0" t="s">
        <v>523</v>
      </c>
    </row>
    <row r="164" customFormat="false" ht="15" hidden="false" customHeight="false" outlineLevel="0" collapsed="false">
      <c r="A164" s="0" t="s">
        <v>515</v>
      </c>
      <c r="B164" s="0" t="s">
        <v>524</v>
      </c>
      <c r="C164" s="0" t="s">
        <v>32</v>
      </c>
      <c r="D164" s="0" t="s">
        <v>151</v>
      </c>
      <c r="E164" s="0" t="s">
        <v>525</v>
      </c>
      <c r="F164" s="0" t="s">
        <v>63</v>
      </c>
      <c r="G164" s="0" t="n">
        <f aca="false">HYPERLINK("http://clipc-services.ceda.ac.uk/dreq/u/c96c6390-c5f0-11e6-ac20-5404a60d96b5.html","web")</f>
        <v>0</v>
      </c>
      <c r="H164" s="0" t="s">
        <v>64</v>
      </c>
      <c r="I164" s="0" t="s">
        <v>65</v>
      </c>
      <c r="J164" s="0" t="s">
        <v>125</v>
      </c>
      <c r="K164" s="0" t="s">
        <v>516</v>
      </c>
    </row>
    <row r="165" customFormat="false" ht="15" hidden="false" customHeight="false" outlineLevel="0" collapsed="false">
      <c r="A165" s="0" t="s">
        <v>515</v>
      </c>
      <c r="B165" s="0" t="s">
        <v>126</v>
      </c>
      <c r="C165" s="0" t="s">
        <v>69</v>
      </c>
      <c r="D165" s="0" t="s">
        <v>61</v>
      </c>
      <c r="E165" s="0" t="s">
        <v>127</v>
      </c>
      <c r="F165" s="0" t="s">
        <v>63</v>
      </c>
      <c r="G165" s="0" t="n">
        <f aca="false">HYPERLINK("http://clipc-services.ceda.ac.uk/dreq/u/55febff83b78e06576947e1c0e5b7a7d.html","web")</f>
        <v>0</v>
      </c>
      <c r="H165" s="0" t="s">
        <v>121</v>
      </c>
      <c r="I165" s="0" t="s">
        <v>65</v>
      </c>
      <c r="J165" s="0" t="s">
        <v>128</v>
      </c>
      <c r="K165" s="0" t="s">
        <v>526</v>
      </c>
    </row>
    <row r="166" customFormat="false" ht="15" hidden="false" customHeight="false" outlineLevel="0" collapsed="false">
      <c r="A166" s="0" t="s">
        <v>515</v>
      </c>
      <c r="B166" s="0" t="s">
        <v>527</v>
      </c>
      <c r="C166" s="0" t="s">
        <v>32</v>
      </c>
      <c r="D166" s="0" t="s">
        <v>151</v>
      </c>
      <c r="E166" s="0" t="s">
        <v>528</v>
      </c>
      <c r="F166" s="0" t="s">
        <v>63</v>
      </c>
      <c r="G166" s="0" t="n">
        <f aca="false">HYPERLINK("http://clipc-services.ceda.ac.uk/dreq/u/c96c5576-c5f0-11e6-ac20-5404a60d96b5.html","web")</f>
        <v>0</v>
      </c>
      <c r="H166" s="0" t="s">
        <v>121</v>
      </c>
      <c r="I166" s="0" t="s">
        <v>65</v>
      </c>
      <c r="J166" s="0" t="s">
        <v>128</v>
      </c>
      <c r="K166" s="0" t="s">
        <v>516</v>
      </c>
    </row>
    <row r="167" customFormat="false" ht="15" hidden="false" customHeight="false" outlineLevel="0" collapsed="false">
      <c r="A167" s="0" t="s">
        <v>515</v>
      </c>
      <c r="B167" s="0" t="s">
        <v>129</v>
      </c>
      <c r="C167" s="0" t="s">
        <v>69</v>
      </c>
      <c r="D167" s="0" t="s">
        <v>61</v>
      </c>
      <c r="E167" s="0" t="s">
        <v>130</v>
      </c>
      <c r="F167" s="0" t="s">
        <v>63</v>
      </c>
      <c r="G167" s="0" t="n">
        <f aca="false">HYPERLINK("http://clipc-services.ceda.ac.uk/dreq/u/bdce9878-233e-11e6-a788-5404a60d96b5.html","web")</f>
        <v>0</v>
      </c>
      <c r="H167" s="0" t="s">
        <v>117</v>
      </c>
      <c r="I167" s="0" t="s">
        <v>76</v>
      </c>
      <c r="J167" s="0" t="s">
        <v>131</v>
      </c>
      <c r="K167" s="0" t="s">
        <v>529</v>
      </c>
    </row>
    <row r="168" customFormat="false" ht="15" hidden="false" customHeight="false" outlineLevel="0" collapsed="false">
      <c r="A168" s="0" t="s">
        <v>515</v>
      </c>
      <c r="B168" s="0" t="s">
        <v>530</v>
      </c>
      <c r="C168" s="0" t="s">
        <v>13</v>
      </c>
      <c r="D168" s="0" t="s">
        <v>531</v>
      </c>
      <c r="E168" s="0" t="s">
        <v>133</v>
      </c>
      <c r="F168" s="0" t="s">
        <v>134</v>
      </c>
      <c r="G168" s="0" t="n">
        <f aca="false">HYPERLINK("http://clipc-services.ceda.ac.uk/dreq/u/f43d7527cd48c992f075339b2bbbf9ef.html","web")</f>
        <v>0</v>
      </c>
      <c r="H168" s="0" t="s">
        <v>121</v>
      </c>
      <c r="I168" s="0" t="s">
        <v>65</v>
      </c>
      <c r="J168" s="0" t="s">
        <v>532</v>
      </c>
      <c r="K168" s="0" t="s">
        <v>533</v>
      </c>
    </row>
    <row r="169" customFormat="false" ht="15" hidden="false" customHeight="false" outlineLevel="0" collapsed="false">
      <c r="A169" s="0" t="s">
        <v>515</v>
      </c>
      <c r="B169" s="0" t="s">
        <v>534</v>
      </c>
      <c r="C169" s="0" t="s">
        <v>69</v>
      </c>
      <c r="D169" s="0" t="s">
        <v>531</v>
      </c>
      <c r="E169" s="0" t="s">
        <v>535</v>
      </c>
      <c r="F169" s="0" t="s">
        <v>134</v>
      </c>
      <c r="G169" s="0" t="n">
        <f aca="false">HYPERLINK("http://clipc-services.ceda.ac.uk/dreq/u/5a17eb002c56c129c27f6e2b8e0c06d7.html","web")</f>
        <v>0</v>
      </c>
      <c r="H169" s="0" t="s">
        <v>190</v>
      </c>
      <c r="I169" s="0" t="s">
        <v>103</v>
      </c>
      <c r="J169" s="0" t="s">
        <v>144</v>
      </c>
      <c r="K169" s="0" t="s">
        <v>516</v>
      </c>
    </row>
    <row r="170" customFormat="false" ht="15" hidden="false" customHeight="false" outlineLevel="0" collapsed="false">
      <c r="A170" s="0" t="s">
        <v>515</v>
      </c>
      <c r="B170" s="0" t="s">
        <v>536</v>
      </c>
      <c r="C170" s="0" t="s">
        <v>69</v>
      </c>
      <c r="D170" s="0" t="s">
        <v>531</v>
      </c>
      <c r="E170" s="0" t="s">
        <v>537</v>
      </c>
      <c r="F170" s="0" t="s">
        <v>134</v>
      </c>
      <c r="G170" s="0" t="n">
        <f aca="false">HYPERLINK("http://clipc-services.ceda.ac.uk/dreq/u/600c9692a7eaef4037565fa8846ae6ba.html","web")</f>
        <v>0</v>
      </c>
      <c r="H170" s="0" t="s">
        <v>190</v>
      </c>
      <c r="I170" s="0" t="s">
        <v>103</v>
      </c>
      <c r="J170" s="0" t="s">
        <v>144</v>
      </c>
      <c r="K170" s="0" t="s">
        <v>516</v>
      </c>
    </row>
    <row r="171" customFormat="false" ht="15" hidden="false" customHeight="false" outlineLevel="0" collapsed="false">
      <c r="A171" s="0" t="s">
        <v>515</v>
      </c>
      <c r="B171" s="0" t="s">
        <v>538</v>
      </c>
      <c r="C171" s="0" t="s">
        <v>69</v>
      </c>
      <c r="D171" s="0" t="s">
        <v>539</v>
      </c>
      <c r="E171" s="0" t="s">
        <v>540</v>
      </c>
      <c r="F171" s="0" t="s">
        <v>134</v>
      </c>
      <c r="G171" s="0" t="n">
        <f aca="false">HYPERLINK("http://clipc-services.ceda.ac.uk/dreq/u/d66b7d75af3d1ed4e83b2f15a51ca731.html","web")</f>
        <v>0</v>
      </c>
      <c r="H171" s="0" t="s">
        <v>135</v>
      </c>
      <c r="I171" s="0" t="s">
        <v>136</v>
      </c>
      <c r="J171" s="0" t="s">
        <v>541</v>
      </c>
      <c r="K171" s="0" t="s">
        <v>516</v>
      </c>
    </row>
    <row r="172" customFormat="false" ht="15" hidden="false" customHeight="false" outlineLevel="0" collapsed="false">
      <c r="A172" s="0" t="s">
        <v>515</v>
      </c>
      <c r="B172" s="0" t="s">
        <v>542</v>
      </c>
      <c r="C172" s="0" t="s">
        <v>69</v>
      </c>
      <c r="D172" s="0" t="s">
        <v>539</v>
      </c>
      <c r="E172" s="0" t="s">
        <v>80</v>
      </c>
      <c r="F172" s="0" t="s">
        <v>134</v>
      </c>
      <c r="G172" s="0" t="n">
        <f aca="false">HYPERLINK("http://clipc-services.ceda.ac.uk/dreq/u/0f19e65613afd83f8d9b888d2067ced4.html","web")</f>
        <v>0</v>
      </c>
      <c r="H172" s="0" t="s">
        <v>135</v>
      </c>
      <c r="I172" s="0" t="s">
        <v>136</v>
      </c>
      <c r="J172" s="0" t="s">
        <v>543</v>
      </c>
      <c r="K172" s="0" t="s">
        <v>544</v>
      </c>
    </row>
    <row r="173" customFormat="false" ht="15" hidden="false" customHeight="false" outlineLevel="0" collapsed="false">
      <c r="A173" s="0" t="s">
        <v>515</v>
      </c>
      <c r="B173" s="0" t="s">
        <v>545</v>
      </c>
      <c r="C173" s="0" t="s">
        <v>69</v>
      </c>
      <c r="D173" s="0" t="s">
        <v>539</v>
      </c>
      <c r="E173" s="0" t="s">
        <v>84</v>
      </c>
      <c r="F173" s="0" t="s">
        <v>134</v>
      </c>
      <c r="G173" s="0" t="n">
        <f aca="false">HYPERLINK("http://clipc-services.ceda.ac.uk/dreq/u/52ebeea7464b9fc011a92f21e65d6a7a.html","web")</f>
        <v>0</v>
      </c>
      <c r="H173" s="0" t="s">
        <v>135</v>
      </c>
      <c r="I173" s="0" t="s">
        <v>136</v>
      </c>
      <c r="J173" s="0" t="s">
        <v>546</v>
      </c>
      <c r="K173" s="0" t="s">
        <v>516</v>
      </c>
    </row>
    <row r="174" customFormat="false" ht="15" hidden="false" customHeight="false" outlineLevel="0" collapsed="false">
      <c r="A174" s="0" t="s">
        <v>515</v>
      </c>
      <c r="B174" s="0" t="s">
        <v>547</v>
      </c>
      <c r="C174" s="0" t="s">
        <v>69</v>
      </c>
      <c r="D174" s="0" t="s">
        <v>539</v>
      </c>
      <c r="E174" s="0" t="s">
        <v>548</v>
      </c>
      <c r="F174" s="0" t="s">
        <v>134</v>
      </c>
      <c r="G174" s="0" t="n">
        <f aca="false">HYPERLINK("http://clipc-services.ceda.ac.uk/dreq/u/6c19638a0652fcbc6c6ff8455c536445.html","web")</f>
        <v>0</v>
      </c>
      <c r="H174" s="0" t="s">
        <v>135</v>
      </c>
      <c r="I174" s="0" t="s">
        <v>136</v>
      </c>
      <c r="J174" s="0" t="s">
        <v>549</v>
      </c>
      <c r="K174" s="0" t="s">
        <v>516</v>
      </c>
    </row>
    <row r="175" customFormat="false" ht="15" hidden="false" customHeight="false" outlineLevel="0" collapsed="false">
      <c r="A175" s="0" t="s">
        <v>515</v>
      </c>
      <c r="B175" s="0" t="s">
        <v>550</v>
      </c>
      <c r="C175" s="0" t="s">
        <v>69</v>
      </c>
      <c r="D175" s="0" t="s">
        <v>539</v>
      </c>
      <c r="E175" s="0" t="s">
        <v>551</v>
      </c>
      <c r="F175" s="0" t="s">
        <v>134</v>
      </c>
      <c r="G175" s="0" t="n">
        <f aca="false">HYPERLINK("http://clipc-services.ceda.ac.uk/dreq/u/2f046f30404d6cfcd5286a2a7f12d8fa.html","web")</f>
        <v>0</v>
      </c>
      <c r="H175" s="0" t="s">
        <v>135</v>
      </c>
      <c r="I175" s="0" t="s">
        <v>136</v>
      </c>
      <c r="J175" s="0" t="s">
        <v>552</v>
      </c>
      <c r="K175" s="0" t="s">
        <v>516</v>
      </c>
    </row>
    <row r="176" customFormat="false" ht="15" hidden="false" customHeight="false" outlineLevel="0" collapsed="false">
      <c r="A176" s="0" t="s">
        <v>515</v>
      </c>
      <c r="B176" s="0" t="s">
        <v>553</v>
      </c>
      <c r="C176" s="0" t="s">
        <v>69</v>
      </c>
      <c r="D176" s="0" t="s">
        <v>539</v>
      </c>
      <c r="E176" s="0" t="s">
        <v>96</v>
      </c>
      <c r="F176" s="0" t="s">
        <v>134</v>
      </c>
      <c r="G176" s="0" t="n">
        <f aca="false">HYPERLINK("http://clipc-services.ceda.ac.uk/dreq/u/18060c6741a6b65c90435d19adfbbc98.html","web")</f>
        <v>0</v>
      </c>
      <c r="H176" s="0" t="s">
        <v>135</v>
      </c>
      <c r="I176" s="0" t="s">
        <v>136</v>
      </c>
      <c r="J176" s="0" t="s">
        <v>554</v>
      </c>
      <c r="K176" s="0" t="s">
        <v>516</v>
      </c>
    </row>
    <row r="177" customFormat="false" ht="15" hidden="false" customHeight="false" outlineLevel="0" collapsed="false">
      <c r="A177" s="0" t="s">
        <v>515</v>
      </c>
      <c r="B177" s="0" t="s">
        <v>555</v>
      </c>
      <c r="C177" s="0" t="s">
        <v>69</v>
      </c>
      <c r="D177" s="0" t="s">
        <v>539</v>
      </c>
      <c r="E177" s="0" t="s">
        <v>556</v>
      </c>
      <c r="F177" s="0" t="s">
        <v>134</v>
      </c>
      <c r="G177" s="0" t="n">
        <f aca="false">HYPERLINK("http://clipc-services.ceda.ac.uk/dreq/u/3e0c9853afc682db9a950cc5bc3c1c3a.html","web")</f>
        <v>0</v>
      </c>
      <c r="H177" s="0" t="s">
        <v>140</v>
      </c>
      <c r="I177" s="0" t="s">
        <v>43</v>
      </c>
      <c r="J177" s="0" t="s">
        <v>557</v>
      </c>
      <c r="K177" s="0" t="s">
        <v>544</v>
      </c>
    </row>
    <row r="178" customFormat="false" ht="15" hidden="false" customHeight="false" outlineLevel="0" collapsed="false">
      <c r="A178" s="0" t="s">
        <v>515</v>
      </c>
      <c r="B178" s="0" t="s">
        <v>558</v>
      </c>
      <c r="C178" s="0" t="s">
        <v>69</v>
      </c>
      <c r="D178" s="0" t="s">
        <v>539</v>
      </c>
      <c r="E178" s="0" t="s">
        <v>559</v>
      </c>
      <c r="F178" s="0" t="s">
        <v>134</v>
      </c>
      <c r="G178" s="0" t="n">
        <f aca="false">HYPERLINK("http://clipc-services.ceda.ac.uk/dreq/u/1333394a296e7f8af6c9bad15cb9778d.html","web")</f>
        <v>0</v>
      </c>
      <c r="H178" s="0" t="s">
        <v>140</v>
      </c>
      <c r="I178" s="0" t="s">
        <v>43</v>
      </c>
      <c r="J178" s="0" t="s">
        <v>560</v>
      </c>
      <c r="K178" s="0" t="s">
        <v>544</v>
      </c>
    </row>
    <row r="179" customFormat="false" ht="15" hidden="false" customHeight="false" outlineLevel="0" collapsed="false">
      <c r="A179" s="0" t="s">
        <v>515</v>
      </c>
      <c r="B179" s="0" t="s">
        <v>561</v>
      </c>
      <c r="C179" s="0" t="s">
        <v>69</v>
      </c>
      <c r="D179" s="0" t="s">
        <v>539</v>
      </c>
      <c r="E179" s="0" t="s">
        <v>562</v>
      </c>
      <c r="F179" s="0" t="s">
        <v>134</v>
      </c>
      <c r="G179" s="0" t="n">
        <f aca="false">HYPERLINK("http://clipc-services.ceda.ac.uk/dreq/u/df087f7801b9ca8b671eba159de9b6e7.html","web")</f>
        <v>0</v>
      </c>
      <c r="H179" s="0" t="s">
        <v>140</v>
      </c>
      <c r="I179" s="0" t="s">
        <v>43</v>
      </c>
      <c r="J179" s="0" t="s">
        <v>563</v>
      </c>
      <c r="K179" s="0" t="s">
        <v>516</v>
      </c>
    </row>
    <row r="180" customFormat="false" ht="15" hidden="false" customHeight="false" outlineLevel="0" collapsed="false">
      <c r="A180" s="0" t="s">
        <v>515</v>
      </c>
      <c r="B180" s="0" t="s">
        <v>564</v>
      </c>
      <c r="C180" s="0" t="s">
        <v>69</v>
      </c>
      <c r="D180" s="0" t="s">
        <v>539</v>
      </c>
      <c r="E180" s="0" t="s">
        <v>565</v>
      </c>
      <c r="F180" s="0" t="s">
        <v>134</v>
      </c>
      <c r="G180" s="0" t="n">
        <f aca="false">HYPERLINK("http://clipc-services.ceda.ac.uk/dreq/u/d3e6e20c91db32a83bcf3d8d8d9dafd3.html","web")</f>
        <v>0</v>
      </c>
      <c r="H180" s="0" t="s">
        <v>140</v>
      </c>
      <c r="I180" s="0" t="s">
        <v>43</v>
      </c>
      <c r="J180" s="0" t="s">
        <v>566</v>
      </c>
      <c r="K180" s="0" t="s">
        <v>516</v>
      </c>
    </row>
    <row r="181" customFormat="false" ht="15" hidden="false" customHeight="false" outlineLevel="0" collapsed="false">
      <c r="A181" s="0" t="s">
        <v>515</v>
      </c>
      <c r="B181" s="0" t="s">
        <v>567</v>
      </c>
      <c r="C181" s="0" t="s">
        <v>69</v>
      </c>
      <c r="D181" s="0" t="s">
        <v>539</v>
      </c>
      <c r="E181" s="0" t="s">
        <v>568</v>
      </c>
      <c r="F181" s="0" t="s">
        <v>134</v>
      </c>
      <c r="G181" s="0" t="n">
        <f aca="false">HYPERLINK("http://clipc-services.ceda.ac.uk/dreq/u/80a2832b0619764647393e3815ff399b.html","web")</f>
        <v>0</v>
      </c>
      <c r="H181" s="0" t="s">
        <v>140</v>
      </c>
      <c r="I181" s="0" t="s">
        <v>43</v>
      </c>
      <c r="J181" s="0" t="s">
        <v>569</v>
      </c>
      <c r="K181" s="0" t="s">
        <v>516</v>
      </c>
    </row>
    <row r="182" customFormat="false" ht="15" hidden="false" customHeight="false" outlineLevel="0" collapsed="false">
      <c r="A182" s="0" t="s">
        <v>515</v>
      </c>
      <c r="B182" s="0" t="s">
        <v>570</v>
      </c>
      <c r="C182" s="0" t="s">
        <v>69</v>
      </c>
      <c r="D182" s="0" t="s">
        <v>539</v>
      </c>
      <c r="E182" s="0" t="s">
        <v>571</v>
      </c>
      <c r="F182" s="0" t="s">
        <v>134</v>
      </c>
      <c r="G182" s="0" t="n">
        <f aca="false">HYPERLINK("http://clipc-services.ceda.ac.uk/dreq/u/ee10c562c1164acf3bf03955dd6fc00d.html","web")</f>
        <v>0</v>
      </c>
      <c r="H182" s="0" t="s">
        <v>140</v>
      </c>
      <c r="I182" s="0" t="s">
        <v>43</v>
      </c>
      <c r="J182" s="0" t="s">
        <v>572</v>
      </c>
      <c r="K182" s="0" t="s">
        <v>516</v>
      </c>
    </row>
    <row r="183" customFormat="false" ht="15" hidden="false" customHeight="false" outlineLevel="0" collapsed="false">
      <c r="A183" s="0" t="s">
        <v>515</v>
      </c>
      <c r="B183" s="0" t="s">
        <v>150</v>
      </c>
      <c r="C183" s="0" t="s">
        <v>13</v>
      </c>
      <c r="D183" s="0" t="s">
        <v>573</v>
      </c>
      <c r="E183" s="0" t="s">
        <v>152</v>
      </c>
      <c r="F183" s="0" t="s">
        <v>153</v>
      </c>
      <c r="G183" s="0" t="n">
        <f aca="false">HYPERLINK("http://clipc-services.ceda.ac.uk/dreq/u/590e5b82-9e49-11e5-803c-0d0b866b59f3.html","web")</f>
        <v>0</v>
      </c>
      <c r="H183" s="0" t="s">
        <v>121</v>
      </c>
      <c r="I183" s="0" t="s">
        <v>65</v>
      </c>
      <c r="J183" s="0" t="s">
        <v>154</v>
      </c>
      <c r="K183" s="0" t="s">
        <v>574</v>
      </c>
    </row>
    <row r="184" customFormat="false" ht="15" hidden="false" customHeight="false" outlineLevel="0" collapsed="false">
      <c r="A184" s="0" t="s">
        <v>515</v>
      </c>
      <c r="B184" s="0" t="s">
        <v>155</v>
      </c>
      <c r="C184" s="0" t="s">
        <v>13</v>
      </c>
      <c r="D184" s="0" t="s">
        <v>573</v>
      </c>
      <c r="E184" s="0" t="s">
        <v>156</v>
      </c>
      <c r="F184" s="0" t="s">
        <v>153</v>
      </c>
      <c r="G184" s="0" t="n">
        <f aca="false">HYPERLINK("http://clipc-services.ceda.ac.uk/dreq/u/f36046ab9a8a24ce4d7431e2defd9cf6.html","web")</f>
        <v>0</v>
      </c>
      <c r="H184" s="0" t="s">
        <v>157</v>
      </c>
      <c r="I184" s="0" t="s">
        <v>136</v>
      </c>
      <c r="J184" s="0" t="s">
        <v>158</v>
      </c>
      <c r="K184" s="0" t="s">
        <v>516</v>
      </c>
    </row>
    <row r="185" customFormat="false" ht="15" hidden="false" customHeight="false" outlineLevel="0" collapsed="false">
      <c r="A185" s="0" t="s">
        <v>515</v>
      </c>
      <c r="B185" s="0" t="s">
        <v>159</v>
      </c>
      <c r="C185" s="0" t="s">
        <v>13</v>
      </c>
      <c r="D185" s="0" t="s">
        <v>573</v>
      </c>
      <c r="E185" s="0" t="s">
        <v>160</v>
      </c>
      <c r="F185" s="0" t="s">
        <v>153</v>
      </c>
      <c r="G185" s="0" t="n">
        <f aca="false">HYPERLINK("http://clipc-services.ceda.ac.uk/dreq/u/042e575e61a271e122d317ca7b39dcb4.html","web")</f>
        <v>0</v>
      </c>
      <c r="H185" s="0" t="s">
        <v>135</v>
      </c>
      <c r="I185" s="0" t="s">
        <v>136</v>
      </c>
      <c r="J185" s="0" t="s">
        <v>161</v>
      </c>
      <c r="K185" s="0" t="s">
        <v>516</v>
      </c>
    </row>
    <row r="186" customFormat="false" ht="15" hidden="false" customHeight="false" outlineLevel="0" collapsed="false">
      <c r="A186" s="0" t="s">
        <v>515</v>
      </c>
      <c r="B186" s="0" t="s">
        <v>162</v>
      </c>
      <c r="C186" s="0" t="s">
        <v>13</v>
      </c>
      <c r="D186" s="0" t="s">
        <v>573</v>
      </c>
      <c r="E186" s="0" t="s">
        <v>163</v>
      </c>
      <c r="F186" s="0" t="s">
        <v>153</v>
      </c>
      <c r="G186" s="0" t="n">
        <f aca="false">HYPERLINK("http://clipc-services.ceda.ac.uk/dreq/u/97c037c3357f24c4e06c07123224b400.html","web")</f>
        <v>0</v>
      </c>
      <c r="H186" s="0" t="s">
        <v>164</v>
      </c>
      <c r="I186" s="0" t="s">
        <v>136</v>
      </c>
      <c r="J186" s="0" t="s">
        <v>165</v>
      </c>
      <c r="K186" s="0" t="s">
        <v>516</v>
      </c>
    </row>
    <row r="187" customFormat="false" ht="15" hidden="false" customHeight="false" outlineLevel="0" collapsed="false">
      <c r="A187" s="0" t="s">
        <v>515</v>
      </c>
      <c r="B187" s="0" t="s">
        <v>575</v>
      </c>
      <c r="C187" s="0" t="s">
        <v>69</v>
      </c>
      <c r="D187" s="0" t="s">
        <v>573</v>
      </c>
      <c r="E187" s="0" t="s">
        <v>576</v>
      </c>
      <c r="F187" s="0" t="s">
        <v>134</v>
      </c>
      <c r="G187" s="0" t="n">
        <f aca="false">HYPERLINK("http://clipc-services.ceda.ac.uk/dreq/u/190f38cb06f9a1f3133c3dcf66e0421e.html","web")</f>
        <v>0</v>
      </c>
      <c r="H187" s="0" t="s">
        <v>135</v>
      </c>
      <c r="I187" s="0" t="s">
        <v>136</v>
      </c>
      <c r="J187" s="0" t="s">
        <v>577</v>
      </c>
      <c r="K187" s="0" t="s">
        <v>544</v>
      </c>
    </row>
    <row r="188" customFormat="false" ht="15" hidden="false" customHeight="false" outlineLevel="0" collapsed="false">
      <c r="A188" s="0" t="s">
        <v>515</v>
      </c>
      <c r="B188" s="0" t="s">
        <v>578</v>
      </c>
      <c r="C188" s="0" t="s">
        <v>32</v>
      </c>
      <c r="D188" s="0" t="s">
        <v>61</v>
      </c>
      <c r="E188" s="0" t="s">
        <v>579</v>
      </c>
      <c r="F188" s="0" t="s">
        <v>153</v>
      </c>
      <c r="G188" s="0" t="n">
        <f aca="false">HYPERLINK("http://clipc-services.ceda.ac.uk/dreq/u/0638f32ebcc32d63faad121d5a83e3be.html","web")</f>
        <v>0</v>
      </c>
      <c r="H188" s="0" t="s">
        <v>190</v>
      </c>
      <c r="I188" s="0" t="s">
        <v>103</v>
      </c>
      <c r="J188" s="0" t="s">
        <v>580</v>
      </c>
      <c r="K188" s="0" t="s">
        <v>581</v>
      </c>
    </row>
    <row r="189" customFormat="false" ht="15" hidden="false" customHeight="false" outlineLevel="0" collapsed="false">
      <c r="A189" s="0" t="s">
        <v>515</v>
      </c>
      <c r="B189" s="0" t="s">
        <v>582</v>
      </c>
      <c r="C189" s="0" t="s">
        <v>69</v>
      </c>
      <c r="D189" s="0" t="s">
        <v>151</v>
      </c>
      <c r="E189" s="0" t="s">
        <v>583</v>
      </c>
      <c r="F189" s="0" t="s">
        <v>134</v>
      </c>
      <c r="G189" s="0" t="n">
        <f aca="false">HYPERLINK("http://clipc-services.ceda.ac.uk/dreq/u/ae3a674b4f541f95d2b05da4a84507e7.html","web")</f>
        <v>0</v>
      </c>
      <c r="H189" s="0" t="s">
        <v>190</v>
      </c>
      <c r="I189" s="0" t="s">
        <v>76</v>
      </c>
      <c r="J189" s="0" t="s">
        <v>584</v>
      </c>
      <c r="K189" s="0" t="s">
        <v>544</v>
      </c>
    </row>
    <row r="190" customFormat="false" ht="15" hidden="false" customHeight="false" outlineLevel="0" collapsed="false">
      <c r="A190" s="0" t="s">
        <v>515</v>
      </c>
      <c r="B190" s="0" t="s">
        <v>585</v>
      </c>
      <c r="C190" s="0" t="s">
        <v>13</v>
      </c>
      <c r="D190" s="0" t="s">
        <v>586</v>
      </c>
      <c r="E190" s="0" t="s">
        <v>587</v>
      </c>
      <c r="F190" s="0" t="s">
        <v>588</v>
      </c>
      <c r="G190" s="0" t="n">
        <f aca="false">HYPERLINK("http://clipc-services.ceda.ac.uk/dreq/u/2e3e882a650986c1fdc5df05f5f10263.html","web")</f>
        <v>0</v>
      </c>
      <c r="H190" s="0" t="s">
        <v>589</v>
      </c>
      <c r="I190" s="0" t="s">
        <v>65</v>
      </c>
      <c r="J190" s="0" t="s">
        <v>590</v>
      </c>
      <c r="K190" s="0" t="s">
        <v>591</v>
      </c>
    </row>
    <row r="191" customFormat="false" ht="15" hidden="false" customHeight="false" outlineLevel="0" collapsed="false">
      <c r="A191" s="0" t="s">
        <v>515</v>
      </c>
      <c r="B191" s="0" t="s">
        <v>592</v>
      </c>
      <c r="C191" s="0" t="s">
        <v>13</v>
      </c>
      <c r="D191" s="0" t="s">
        <v>586</v>
      </c>
      <c r="E191" s="0" t="s">
        <v>593</v>
      </c>
      <c r="F191" s="0" t="s">
        <v>588</v>
      </c>
      <c r="G191" s="0" t="n">
        <f aca="false">HYPERLINK("http://clipc-services.ceda.ac.uk/dreq/u/88f1496a06008de969d5913384e6cb17.html","web")</f>
        <v>0</v>
      </c>
      <c r="H191" s="0" t="s">
        <v>594</v>
      </c>
      <c r="I191" s="0" t="s">
        <v>65</v>
      </c>
      <c r="J191" s="0" t="s">
        <v>595</v>
      </c>
      <c r="K191" s="0" t="s">
        <v>591</v>
      </c>
    </row>
    <row r="192" customFormat="false" ht="15" hidden="false" customHeight="false" outlineLevel="0" collapsed="false">
      <c r="A192" s="0" t="s">
        <v>515</v>
      </c>
      <c r="B192" s="0" t="s">
        <v>596</v>
      </c>
      <c r="C192" s="0" t="s">
        <v>13</v>
      </c>
      <c r="D192" s="0" t="s">
        <v>586</v>
      </c>
      <c r="E192" s="0" t="s">
        <v>597</v>
      </c>
      <c r="F192" s="0" t="s">
        <v>588</v>
      </c>
      <c r="G192" s="0" t="n">
        <f aca="false">HYPERLINK("http://clipc-services.ceda.ac.uk/dreq/u/cfc72744e73c1f6116661e251316c04f.html","web")</f>
        <v>0</v>
      </c>
      <c r="H192" s="0" t="s">
        <v>598</v>
      </c>
      <c r="I192" s="0" t="s">
        <v>65</v>
      </c>
      <c r="J192" s="0" t="s">
        <v>599</v>
      </c>
      <c r="K192" s="0" t="s">
        <v>591</v>
      </c>
    </row>
    <row r="193" customFormat="false" ht="15" hidden="false" customHeight="false" outlineLevel="0" collapsed="false">
      <c r="A193" s="0" t="s">
        <v>515</v>
      </c>
      <c r="B193" s="0" t="s">
        <v>600</v>
      </c>
      <c r="C193" s="0" t="s">
        <v>32</v>
      </c>
      <c r="D193" s="0" t="s">
        <v>61</v>
      </c>
      <c r="E193" s="0" t="s">
        <v>601</v>
      </c>
      <c r="F193" s="0" t="s">
        <v>348</v>
      </c>
      <c r="G193" s="0" t="n">
        <f aca="false">HYPERLINK("http://clipc-services.ceda.ac.uk/dreq/u/bd938fec017c18d3eee106db55f924c5.html","web")</f>
        <v>0</v>
      </c>
      <c r="H193" s="0" t="s">
        <v>602</v>
      </c>
      <c r="I193" s="0" t="s">
        <v>330</v>
      </c>
      <c r="J193" s="0" t="s">
        <v>603</v>
      </c>
      <c r="K193" s="0" t="s">
        <v>604</v>
      </c>
    </row>
    <row r="194" customFormat="false" ht="15" hidden="false" customHeight="false" outlineLevel="0" collapsed="false">
      <c r="A194" s="0" t="s">
        <v>515</v>
      </c>
      <c r="B194" s="0" t="s">
        <v>605</v>
      </c>
      <c r="C194" s="0" t="s">
        <v>13</v>
      </c>
      <c r="D194" s="0" t="s">
        <v>61</v>
      </c>
      <c r="E194" s="0" t="s">
        <v>606</v>
      </c>
      <c r="F194" s="0" t="s">
        <v>348</v>
      </c>
      <c r="G194" s="0" t="n">
        <f aca="false">HYPERLINK("http://clipc-services.ceda.ac.uk/dreq/u/1b7e762395c4de9ec5c5c7bda3ce3781.html","web")</f>
        <v>0</v>
      </c>
      <c r="H194" s="0" t="s">
        <v>607</v>
      </c>
      <c r="I194" s="0" t="s">
        <v>65</v>
      </c>
      <c r="J194" s="0" t="s">
        <v>608</v>
      </c>
      <c r="K194" s="0" t="s">
        <v>609</v>
      </c>
    </row>
    <row r="195" customFormat="false" ht="15" hidden="false" customHeight="false" outlineLevel="0" collapsed="false">
      <c r="A195" s="0" t="s">
        <v>515</v>
      </c>
      <c r="B195" s="0" t="s">
        <v>610</v>
      </c>
      <c r="C195" s="0" t="s">
        <v>13</v>
      </c>
      <c r="D195" s="0" t="s">
        <v>151</v>
      </c>
      <c r="E195" s="0" t="s">
        <v>606</v>
      </c>
      <c r="F195" s="0" t="s">
        <v>348</v>
      </c>
      <c r="G195" s="0" t="n">
        <f aca="false">HYPERLINK("http://clipc-services.ceda.ac.uk/dreq/u/1b7e762395c4de9ec5c5c7bda3ce3781.html","web")</f>
        <v>0</v>
      </c>
      <c r="H195" s="0" t="s">
        <v>607</v>
      </c>
      <c r="I195" s="0" t="s">
        <v>65</v>
      </c>
      <c r="J195" s="0" t="s">
        <v>608</v>
      </c>
      <c r="K195" s="0" t="s">
        <v>609</v>
      </c>
    </row>
    <row r="196" customFormat="false" ht="15" hidden="false" customHeight="false" outlineLevel="0" collapsed="false">
      <c r="A196" s="0" t="s">
        <v>515</v>
      </c>
      <c r="B196" s="0" t="s">
        <v>611</v>
      </c>
      <c r="C196" s="0" t="s">
        <v>69</v>
      </c>
      <c r="D196" s="0" t="s">
        <v>151</v>
      </c>
      <c r="E196" s="0" t="s">
        <v>167</v>
      </c>
      <c r="F196" s="0" t="s">
        <v>134</v>
      </c>
      <c r="G196" s="0" t="n">
        <f aca="false">HYPERLINK("http://clipc-services.ceda.ac.uk/dreq/u/baf651d5dbd448df196faedae8a97b22.html","web")</f>
        <v>0</v>
      </c>
      <c r="H196" s="0" t="s">
        <v>612</v>
      </c>
      <c r="I196" s="0" t="s">
        <v>76</v>
      </c>
      <c r="J196" s="0" t="s">
        <v>613</v>
      </c>
      <c r="K196" s="0" t="s">
        <v>544</v>
      </c>
    </row>
    <row r="197" customFormat="false" ht="15" hidden="false" customHeight="false" outlineLevel="0" collapsed="false">
      <c r="A197" s="0" t="s">
        <v>515</v>
      </c>
      <c r="B197" s="0" t="s">
        <v>614</v>
      </c>
      <c r="C197" s="0" t="s">
        <v>69</v>
      </c>
      <c r="D197" s="0" t="s">
        <v>151</v>
      </c>
      <c r="E197" s="0" t="s">
        <v>205</v>
      </c>
      <c r="F197" s="0" t="s">
        <v>134</v>
      </c>
      <c r="G197" s="0" t="n">
        <f aca="false">HYPERLINK("http://clipc-services.ceda.ac.uk/dreq/u/e52807e8-dd83-11e5-9194-ac72891c3257.html","web")</f>
        <v>0</v>
      </c>
      <c r="H197" s="0" t="s">
        <v>615</v>
      </c>
      <c r="I197" s="0" t="s">
        <v>616</v>
      </c>
      <c r="J197" s="0" t="s">
        <v>617</v>
      </c>
      <c r="K197" s="0" t="s">
        <v>544</v>
      </c>
    </row>
    <row r="198" customFormat="false" ht="15" hidden="false" customHeight="false" outlineLevel="0" collapsed="false">
      <c r="A198" s="0" t="s">
        <v>515</v>
      </c>
      <c r="B198" s="0" t="s">
        <v>618</v>
      </c>
      <c r="C198" s="0" t="s">
        <v>69</v>
      </c>
      <c r="D198" s="0" t="s">
        <v>151</v>
      </c>
      <c r="E198" s="0" t="s">
        <v>211</v>
      </c>
      <c r="F198" s="0" t="s">
        <v>134</v>
      </c>
      <c r="G198" s="0" t="n">
        <f aca="false">HYPERLINK("http://clipc-services.ceda.ac.uk/dreq/u/e5287110-dd83-11e5-9194-ac72891c3257.html","web")</f>
        <v>0</v>
      </c>
      <c r="H198" s="0" t="s">
        <v>64</v>
      </c>
      <c r="I198" s="0" t="s">
        <v>65</v>
      </c>
      <c r="J198" s="0" t="s">
        <v>619</v>
      </c>
      <c r="K198" s="0" t="s">
        <v>544</v>
      </c>
    </row>
    <row r="199" customFormat="false" ht="15" hidden="false" customHeight="false" outlineLevel="0" collapsed="false">
      <c r="A199" s="0" t="s">
        <v>515</v>
      </c>
      <c r="B199" s="0" t="s">
        <v>620</v>
      </c>
      <c r="C199" s="0" t="s">
        <v>32</v>
      </c>
      <c r="D199" s="0" t="s">
        <v>621</v>
      </c>
      <c r="E199" s="0" t="s">
        <v>622</v>
      </c>
      <c r="F199" s="0" t="s">
        <v>274</v>
      </c>
      <c r="G199" s="0" t="n">
        <f aca="false">HYPERLINK("http://clipc-services.ceda.ac.uk/dreq/u/91d62d57f0a58495fdf4358dc3ba1165.html","web")</f>
        <v>0</v>
      </c>
      <c r="H199" s="0" t="s">
        <v>190</v>
      </c>
      <c r="I199" s="0" t="s">
        <v>103</v>
      </c>
      <c r="J199" s="0" t="s">
        <v>623</v>
      </c>
      <c r="K199" s="0" t="s">
        <v>624</v>
      </c>
    </row>
    <row r="200" customFormat="false" ht="15" hidden="false" customHeight="false" outlineLevel="0" collapsed="false">
      <c r="A200" s="0" t="s">
        <v>515</v>
      </c>
      <c r="B200" s="0" t="s">
        <v>625</v>
      </c>
      <c r="C200" s="0" t="s">
        <v>13</v>
      </c>
      <c r="D200" s="0" t="s">
        <v>626</v>
      </c>
      <c r="E200" s="0" t="s">
        <v>627</v>
      </c>
      <c r="F200" s="0" t="s">
        <v>274</v>
      </c>
      <c r="G200" s="0" t="n">
        <f aca="false">HYPERLINK("http://clipc-services.ceda.ac.uk/dreq/u/faeffb2438794e8400143533d61d1623.html","web")</f>
        <v>0</v>
      </c>
      <c r="H200" s="0" t="s">
        <v>628</v>
      </c>
      <c r="I200" s="0" t="s">
        <v>65</v>
      </c>
      <c r="J200" s="0" t="s">
        <v>629</v>
      </c>
      <c r="K200" s="0" t="s">
        <v>609</v>
      </c>
    </row>
    <row r="201" customFormat="false" ht="15" hidden="false" customHeight="false" outlineLevel="0" collapsed="false">
      <c r="A201" s="0" t="s">
        <v>515</v>
      </c>
      <c r="B201" s="0" t="s">
        <v>630</v>
      </c>
      <c r="C201" s="0" t="s">
        <v>13</v>
      </c>
      <c r="D201" s="0" t="s">
        <v>626</v>
      </c>
      <c r="E201" s="0" t="s">
        <v>631</v>
      </c>
      <c r="F201" s="0" t="s">
        <v>274</v>
      </c>
      <c r="G201" s="0" t="n">
        <f aca="false">HYPERLINK("http://clipc-services.ceda.ac.uk/dreq/u/54bc1fc90fca4b22cd73cc18e3f6ec07.html","web")</f>
        <v>0</v>
      </c>
      <c r="H201" s="0" t="s">
        <v>632</v>
      </c>
      <c r="I201" s="0" t="s">
        <v>65</v>
      </c>
      <c r="J201" s="0" t="s">
        <v>633</v>
      </c>
      <c r="K201" s="0" t="s">
        <v>591</v>
      </c>
    </row>
    <row r="202" customFormat="false" ht="15" hidden="false" customHeight="false" outlineLevel="0" collapsed="false">
      <c r="A202" s="0" t="s">
        <v>515</v>
      </c>
      <c r="B202" s="0" t="s">
        <v>634</v>
      </c>
      <c r="C202" s="0" t="s">
        <v>13</v>
      </c>
      <c r="D202" s="0" t="s">
        <v>635</v>
      </c>
      <c r="E202" s="0" t="s">
        <v>627</v>
      </c>
      <c r="F202" s="0" t="s">
        <v>274</v>
      </c>
      <c r="G202" s="0" t="n">
        <f aca="false">HYPERLINK("http://clipc-services.ceda.ac.uk/dreq/u/fe8d7416c92bdae56503590599286800.html","web")</f>
        <v>0</v>
      </c>
      <c r="H202" s="0" t="s">
        <v>636</v>
      </c>
      <c r="I202" s="0" t="s">
        <v>637</v>
      </c>
      <c r="J202" s="0" t="s">
        <v>629</v>
      </c>
      <c r="K202" s="0" t="s">
        <v>638</v>
      </c>
    </row>
    <row r="203" customFormat="false" ht="15" hidden="false" customHeight="false" outlineLevel="0" collapsed="false">
      <c r="A203" s="0" t="s">
        <v>515</v>
      </c>
      <c r="B203" s="0" t="s">
        <v>639</v>
      </c>
      <c r="C203" s="0" t="s">
        <v>13</v>
      </c>
      <c r="D203" s="0" t="s">
        <v>635</v>
      </c>
      <c r="E203" s="0" t="s">
        <v>631</v>
      </c>
      <c r="F203" s="0" t="s">
        <v>274</v>
      </c>
      <c r="G203" s="0" t="n">
        <f aca="false">HYPERLINK("http://clipc-services.ceda.ac.uk/dreq/u/bd75f065fbaddd5d92f4767c6d6baaff.html","web")</f>
        <v>0</v>
      </c>
      <c r="H203" s="0" t="s">
        <v>632</v>
      </c>
      <c r="I203" s="0" t="s">
        <v>65</v>
      </c>
      <c r="J203" s="0" t="s">
        <v>633</v>
      </c>
      <c r="K203" s="0" t="s">
        <v>640</v>
      </c>
    </row>
    <row r="204" customFormat="false" ht="15" hidden="false" customHeight="false" outlineLevel="0" collapsed="false">
      <c r="A204" s="0" t="s">
        <v>515</v>
      </c>
      <c r="B204" s="0" t="s">
        <v>641</v>
      </c>
      <c r="C204" s="0" t="s">
        <v>13</v>
      </c>
      <c r="D204" s="0" t="s">
        <v>635</v>
      </c>
      <c r="E204" s="0" t="s">
        <v>642</v>
      </c>
      <c r="F204" s="0" t="s">
        <v>274</v>
      </c>
      <c r="G204" s="0" t="n">
        <f aca="false">HYPERLINK("http://clipc-services.ceda.ac.uk/dreq/u/136d81b44d45d8f7c549469ff69a74a7.html","web")</f>
        <v>0</v>
      </c>
      <c r="H204" s="0" t="s">
        <v>598</v>
      </c>
      <c r="I204" s="0" t="s">
        <v>65</v>
      </c>
      <c r="J204" s="0" t="s">
        <v>643</v>
      </c>
      <c r="K204" s="0" t="s">
        <v>591</v>
      </c>
    </row>
    <row r="205" customFormat="false" ht="15" hidden="false" customHeight="false" outlineLevel="0" collapsed="false">
      <c r="A205" s="0" t="s">
        <v>515</v>
      </c>
      <c r="B205" s="0" t="s">
        <v>644</v>
      </c>
      <c r="C205" s="0" t="s">
        <v>13</v>
      </c>
      <c r="D205" s="0" t="s">
        <v>645</v>
      </c>
      <c r="E205" s="0" t="s">
        <v>646</v>
      </c>
      <c r="F205" s="0" t="s">
        <v>274</v>
      </c>
      <c r="G205" s="0" t="n">
        <f aca="false">HYPERLINK("http://clipc-services.ceda.ac.uk/dreq/u/29a3aaf848070fb8ff4ecb7aa2dfa2eb.html","web")</f>
        <v>0</v>
      </c>
      <c r="H205" s="0" t="s">
        <v>647</v>
      </c>
      <c r="I205" s="0" t="s">
        <v>65</v>
      </c>
      <c r="J205" s="0" t="s">
        <v>629</v>
      </c>
      <c r="K205" s="0" t="s">
        <v>591</v>
      </c>
    </row>
    <row r="206" customFormat="false" ht="15" hidden="false" customHeight="false" outlineLevel="0" collapsed="false">
      <c r="A206" s="0" t="s">
        <v>515</v>
      </c>
      <c r="B206" s="0" t="s">
        <v>648</v>
      </c>
      <c r="C206" s="0" t="s">
        <v>13</v>
      </c>
      <c r="D206" s="0" t="s">
        <v>645</v>
      </c>
      <c r="E206" s="0" t="s">
        <v>649</v>
      </c>
      <c r="F206" s="0" t="s">
        <v>274</v>
      </c>
      <c r="G206" s="0" t="n">
        <f aca="false">HYPERLINK("http://clipc-services.ceda.ac.uk/dreq/u/66a6e45b205b239932b72fa67a6500ed.html","web")</f>
        <v>0</v>
      </c>
      <c r="H206" s="0" t="s">
        <v>632</v>
      </c>
      <c r="I206" s="0" t="s">
        <v>65</v>
      </c>
      <c r="J206" s="0" t="s">
        <v>633</v>
      </c>
      <c r="K206" s="0" t="s">
        <v>609</v>
      </c>
    </row>
    <row r="207" customFormat="false" ht="15" hidden="false" customHeight="false" outlineLevel="0" collapsed="false">
      <c r="A207" s="0" t="s">
        <v>515</v>
      </c>
      <c r="B207" s="0" t="s">
        <v>650</v>
      </c>
      <c r="C207" s="0" t="s">
        <v>13</v>
      </c>
      <c r="D207" s="0" t="s">
        <v>651</v>
      </c>
      <c r="E207" s="0" t="s">
        <v>649</v>
      </c>
      <c r="F207" s="0" t="s">
        <v>274</v>
      </c>
      <c r="G207" s="0" t="n">
        <f aca="false">HYPERLINK("http://clipc-services.ceda.ac.uk/dreq/u/481469b8223841a5382d43e7c6ae204e.html","web")</f>
        <v>0</v>
      </c>
      <c r="H207" s="0" t="s">
        <v>632</v>
      </c>
      <c r="I207" s="0" t="s">
        <v>65</v>
      </c>
      <c r="J207" s="0" t="s">
        <v>633</v>
      </c>
      <c r="K207" s="0" t="s">
        <v>591</v>
      </c>
    </row>
    <row r="208" customFormat="false" ht="15" hidden="false" customHeight="false" outlineLevel="0" collapsed="false">
      <c r="A208" s="0" t="s">
        <v>515</v>
      </c>
      <c r="B208" s="0" t="s">
        <v>652</v>
      </c>
      <c r="C208" s="0" t="s">
        <v>13</v>
      </c>
      <c r="D208" s="0" t="s">
        <v>635</v>
      </c>
      <c r="E208" s="0" t="s">
        <v>653</v>
      </c>
      <c r="F208" s="0" t="s">
        <v>274</v>
      </c>
      <c r="G208" s="0" t="n">
        <f aca="false">HYPERLINK("http://clipc-services.ceda.ac.uk/dreq/u/2ac2d8645abddc0eb9fe53a7ea680465.html","web")</f>
        <v>0</v>
      </c>
      <c r="H208" s="0" t="s">
        <v>654</v>
      </c>
      <c r="I208" s="0" t="s">
        <v>65</v>
      </c>
      <c r="J208" s="0" t="s">
        <v>643</v>
      </c>
      <c r="K208" s="0" t="s">
        <v>591</v>
      </c>
    </row>
    <row r="209" customFormat="false" ht="15" hidden="false" customHeight="false" outlineLevel="0" collapsed="false">
      <c r="A209" s="0" t="s">
        <v>515</v>
      </c>
      <c r="B209" s="0" t="s">
        <v>655</v>
      </c>
      <c r="C209" s="0" t="s">
        <v>32</v>
      </c>
      <c r="D209" s="0" t="s">
        <v>151</v>
      </c>
      <c r="E209" s="0" t="s">
        <v>656</v>
      </c>
      <c r="F209" s="0" t="s">
        <v>63</v>
      </c>
      <c r="G209" s="0" t="n">
        <f aca="false">HYPERLINK("http://clipc-services.ceda.ac.uk/dreq/u/c96daba6-c5f0-11e6-ac20-5404a60d96b5.html","web")</f>
        <v>0</v>
      </c>
      <c r="H209" s="0" t="s">
        <v>121</v>
      </c>
      <c r="I209" s="0" t="s">
        <v>65</v>
      </c>
      <c r="J209" s="0" t="s">
        <v>657</v>
      </c>
      <c r="K209" s="0" t="s">
        <v>516</v>
      </c>
    </row>
    <row r="210" customFormat="false" ht="15" hidden="false" customHeight="false" outlineLevel="0" collapsed="false">
      <c r="A210" s="0" t="s">
        <v>515</v>
      </c>
      <c r="B210" s="0" t="s">
        <v>169</v>
      </c>
      <c r="C210" s="0" t="s">
        <v>69</v>
      </c>
      <c r="D210" s="0" t="s">
        <v>61</v>
      </c>
      <c r="E210" s="0" t="s">
        <v>170</v>
      </c>
      <c r="F210" s="0" t="s">
        <v>13</v>
      </c>
      <c r="G210" s="0" t="n">
        <f aca="false">HYPERLINK("http://clipc-services.ceda.ac.uk/dreq/u/c977c2da-c5f0-11e6-ac20-5404a60d96b5.html","web")</f>
        <v>0</v>
      </c>
      <c r="H210" s="0" t="s">
        <v>121</v>
      </c>
      <c r="I210" s="0" t="s">
        <v>65</v>
      </c>
      <c r="J210" s="0" t="s">
        <v>171</v>
      </c>
      <c r="K210" s="0" t="s">
        <v>517</v>
      </c>
    </row>
    <row r="211" customFormat="false" ht="15" hidden="false" customHeight="false" outlineLevel="0" collapsed="false">
      <c r="A211" s="0" t="s">
        <v>515</v>
      </c>
      <c r="B211" s="0" t="s">
        <v>172</v>
      </c>
      <c r="C211" s="0" t="s">
        <v>69</v>
      </c>
      <c r="D211" s="0" t="s">
        <v>61</v>
      </c>
      <c r="E211" s="0" t="s">
        <v>173</v>
      </c>
      <c r="F211" s="0" t="s">
        <v>13</v>
      </c>
      <c r="G211" s="0" t="n">
        <f aca="false">HYPERLINK("http://clipc-services.ceda.ac.uk/dreq/u/c97004d2-c5f0-11e6-ac20-5404a60d96b5.html","web")</f>
        <v>0</v>
      </c>
      <c r="H211" s="0" t="s">
        <v>174</v>
      </c>
      <c r="I211" s="0" t="s">
        <v>65</v>
      </c>
      <c r="J211" s="0" t="s">
        <v>175</v>
      </c>
      <c r="K211" s="0" t="s">
        <v>517</v>
      </c>
    </row>
    <row r="212" customFormat="false" ht="15" hidden="false" customHeight="false" outlineLevel="0" collapsed="false">
      <c r="A212" s="0" t="s">
        <v>515</v>
      </c>
      <c r="B212" s="0" t="s">
        <v>176</v>
      </c>
      <c r="C212" s="0" t="s">
        <v>32</v>
      </c>
      <c r="D212" s="0" t="s">
        <v>61</v>
      </c>
      <c r="E212" s="0" t="s">
        <v>177</v>
      </c>
      <c r="F212" s="0" t="s">
        <v>63</v>
      </c>
      <c r="G212" s="0" t="n">
        <f aca="false">HYPERLINK("http://clipc-services.ceda.ac.uk/dreq/u/38c7aa97ad0f74e33dfd3f115124d04f.html","web")</f>
        <v>0</v>
      </c>
      <c r="H212" s="0" t="s">
        <v>64</v>
      </c>
      <c r="I212" s="0" t="s">
        <v>65</v>
      </c>
      <c r="J212" s="0" t="s">
        <v>178</v>
      </c>
      <c r="K212" s="0" t="s">
        <v>516</v>
      </c>
    </row>
    <row r="213" customFormat="false" ht="15" hidden="false" customHeight="false" outlineLevel="0" collapsed="false">
      <c r="A213" s="0" t="s">
        <v>515</v>
      </c>
      <c r="B213" s="0" t="s">
        <v>179</v>
      </c>
      <c r="C213" s="0" t="s">
        <v>32</v>
      </c>
      <c r="D213" s="0" t="s">
        <v>61</v>
      </c>
      <c r="E213" s="0" t="s">
        <v>180</v>
      </c>
      <c r="F213" s="0" t="s">
        <v>63</v>
      </c>
      <c r="G213" s="0" t="n">
        <f aca="false">HYPERLINK("http://clipc-services.ceda.ac.uk/dreq/u/ad7df7199759ad25164da83e37a6da17.html","web")</f>
        <v>0</v>
      </c>
      <c r="H213" s="0" t="s">
        <v>64</v>
      </c>
      <c r="I213" s="0" t="s">
        <v>65</v>
      </c>
      <c r="J213" s="0" t="s">
        <v>181</v>
      </c>
      <c r="K213" s="0" t="s">
        <v>516</v>
      </c>
    </row>
    <row r="214" customFormat="false" ht="15" hidden="false" customHeight="false" outlineLevel="0" collapsed="false">
      <c r="A214" s="0" t="s">
        <v>515</v>
      </c>
      <c r="B214" s="0" t="s">
        <v>182</v>
      </c>
      <c r="C214" s="0" t="s">
        <v>69</v>
      </c>
      <c r="D214" s="0" t="s">
        <v>61</v>
      </c>
      <c r="E214" s="0" t="s">
        <v>183</v>
      </c>
      <c r="F214" s="0" t="s">
        <v>63</v>
      </c>
      <c r="G214" s="0" t="n">
        <f aca="false">HYPERLINK("http://clipc-services.ceda.ac.uk/dreq/u/80f337469efdd0d5392ad995a90fd15c.html","web")</f>
        <v>0</v>
      </c>
      <c r="H214" s="0" t="s">
        <v>102</v>
      </c>
      <c r="I214" s="0" t="s">
        <v>103</v>
      </c>
      <c r="J214" s="0" t="s">
        <v>184</v>
      </c>
      <c r="K214" s="0" t="s">
        <v>517</v>
      </c>
    </row>
    <row r="215" customFormat="false" ht="15" hidden="false" customHeight="false" outlineLevel="0" collapsed="false">
      <c r="A215" s="0" t="s">
        <v>515</v>
      </c>
      <c r="B215" s="0" t="s">
        <v>185</v>
      </c>
      <c r="C215" s="0" t="s">
        <v>69</v>
      </c>
      <c r="D215" s="0" t="s">
        <v>61</v>
      </c>
      <c r="E215" s="0" t="s">
        <v>186</v>
      </c>
      <c r="F215" s="0" t="s">
        <v>63</v>
      </c>
      <c r="G215" s="0" t="n">
        <f aca="false">HYPERLINK("http://clipc-services.ceda.ac.uk/dreq/u/1ae710e405acc14b368f55d9205be258.html","web")</f>
        <v>0</v>
      </c>
      <c r="H215" s="0" t="s">
        <v>102</v>
      </c>
      <c r="I215" s="0" t="s">
        <v>103</v>
      </c>
      <c r="J215" s="0" t="s">
        <v>187</v>
      </c>
      <c r="K215" s="0" t="s">
        <v>517</v>
      </c>
    </row>
    <row r="216" customFormat="false" ht="15" hidden="false" customHeight="false" outlineLevel="0" collapsed="false">
      <c r="A216" s="0" t="s">
        <v>515</v>
      </c>
      <c r="B216" s="0" t="s">
        <v>188</v>
      </c>
      <c r="C216" s="0" t="s">
        <v>32</v>
      </c>
      <c r="D216" s="0" t="s">
        <v>61</v>
      </c>
      <c r="E216" s="0" t="s">
        <v>189</v>
      </c>
      <c r="F216" s="0" t="s">
        <v>63</v>
      </c>
      <c r="G216" s="0" t="n">
        <f aca="false">HYPERLINK("http://clipc-services.ceda.ac.uk/dreq/u/3aa265a13ddf4caa82a8e1e3d4482f42.html","web")</f>
        <v>0</v>
      </c>
      <c r="H216" s="0" t="s">
        <v>190</v>
      </c>
      <c r="I216" s="0" t="s">
        <v>76</v>
      </c>
      <c r="J216" s="0" t="s">
        <v>191</v>
      </c>
      <c r="K216" s="0" t="s">
        <v>544</v>
      </c>
    </row>
    <row r="217" customFormat="false" ht="15" hidden="false" customHeight="false" outlineLevel="0" collapsed="false">
      <c r="A217" s="0" t="s">
        <v>515</v>
      </c>
      <c r="B217" s="0" t="s">
        <v>192</v>
      </c>
      <c r="C217" s="0" t="s">
        <v>69</v>
      </c>
      <c r="D217" s="0" t="s">
        <v>61</v>
      </c>
      <c r="E217" s="0" t="s">
        <v>193</v>
      </c>
      <c r="F217" s="0" t="s">
        <v>63</v>
      </c>
      <c r="G217" s="0" t="n">
        <f aca="false">HYPERLINK("http://clipc-services.ceda.ac.uk/dreq/u/14e5a31ac93e26c50f8c01ed9a032168.html","web")</f>
        <v>0</v>
      </c>
      <c r="H217" s="0" t="s">
        <v>102</v>
      </c>
      <c r="I217" s="0" t="s">
        <v>103</v>
      </c>
      <c r="J217" s="0" t="s">
        <v>194</v>
      </c>
      <c r="K217" s="0" t="s">
        <v>517</v>
      </c>
    </row>
    <row r="218" customFormat="false" ht="15" hidden="false" customHeight="false" outlineLevel="0" collapsed="false">
      <c r="A218" s="0" t="s">
        <v>515</v>
      </c>
      <c r="B218" s="0" t="s">
        <v>195</v>
      </c>
      <c r="C218" s="0" t="s">
        <v>69</v>
      </c>
      <c r="D218" s="0" t="s">
        <v>61</v>
      </c>
      <c r="E218" s="0" t="s">
        <v>196</v>
      </c>
      <c r="F218" s="0" t="s">
        <v>63</v>
      </c>
      <c r="G218" s="0" t="n">
        <f aca="false">HYPERLINK("http://clipc-services.ceda.ac.uk/dreq/u/562c99ff069851867df730ed9531c796.html","web")</f>
        <v>0</v>
      </c>
      <c r="H218" s="0" t="s">
        <v>102</v>
      </c>
      <c r="I218" s="0" t="s">
        <v>103</v>
      </c>
      <c r="J218" s="0" t="s">
        <v>197</v>
      </c>
      <c r="K218" s="0" t="s">
        <v>517</v>
      </c>
    </row>
    <row r="219" customFormat="false" ht="15" hidden="false" customHeight="false" outlineLevel="0" collapsed="false">
      <c r="A219" s="0" t="s">
        <v>515</v>
      </c>
      <c r="B219" s="0" t="s">
        <v>658</v>
      </c>
      <c r="C219" s="0" t="s">
        <v>13</v>
      </c>
      <c r="D219" s="0" t="s">
        <v>151</v>
      </c>
      <c r="E219" s="0" t="s">
        <v>659</v>
      </c>
      <c r="F219" s="0" t="s">
        <v>153</v>
      </c>
      <c r="G219" s="0" t="n">
        <f aca="false">HYPERLINK("http://clipc-services.ceda.ac.uk/dreq/u/ced45b8b1f2797c54425755202dce533.html","web")</f>
        <v>0</v>
      </c>
      <c r="H219" s="0" t="s">
        <v>660</v>
      </c>
      <c r="I219" s="0" t="s">
        <v>65</v>
      </c>
      <c r="J219" s="0" t="s">
        <v>661</v>
      </c>
      <c r="K219" s="0" t="s">
        <v>533</v>
      </c>
    </row>
    <row r="220" customFormat="false" ht="15" hidden="false" customHeight="false" outlineLevel="0" collapsed="false">
      <c r="A220" s="0" t="s">
        <v>515</v>
      </c>
      <c r="B220" s="0" t="s">
        <v>662</v>
      </c>
      <c r="C220" s="0" t="s">
        <v>13</v>
      </c>
      <c r="D220" s="0" t="s">
        <v>573</v>
      </c>
      <c r="E220" s="0" t="s">
        <v>663</v>
      </c>
      <c r="F220" s="0" t="s">
        <v>232</v>
      </c>
      <c r="G220" s="0" t="n">
        <f aca="false">HYPERLINK("http://clipc-services.ceda.ac.uk/dreq/u/c972ffd4-c5f0-11e6-ac20-5404a60d96b5.html","web")</f>
        <v>0</v>
      </c>
      <c r="H220" s="0" t="s">
        <v>121</v>
      </c>
      <c r="I220" s="0" t="s">
        <v>65</v>
      </c>
      <c r="J220" s="0" t="s">
        <v>664</v>
      </c>
      <c r="K220" s="0" t="s">
        <v>516</v>
      </c>
    </row>
    <row r="221" customFormat="false" ht="15" hidden="false" customHeight="false" outlineLevel="0" collapsed="false">
      <c r="A221" s="0" t="s">
        <v>515</v>
      </c>
      <c r="B221" s="0" t="s">
        <v>665</v>
      </c>
      <c r="C221" s="0" t="s">
        <v>13</v>
      </c>
      <c r="D221" s="0" t="s">
        <v>573</v>
      </c>
      <c r="E221" s="0" t="s">
        <v>666</v>
      </c>
      <c r="F221" s="0" t="s">
        <v>232</v>
      </c>
      <c r="G221" s="0" t="n">
        <f aca="false">HYPERLINK("http://clipc-services.ceda.ac.uk/dreq/u/c972f264-c5f0-11e6-ac20-5404a60d96b5.html","web")</f>
        <v>0</v>
      </c>
      <c r="H221" s="0" t="s">
        <v>667</v>
      </c>
      <c r="I221" s="0" t="s">
        <v>65</v>
      </c>
      <c r="J221" s="0" t="s">
        <v>668</v>
      </c>
      <c r="K221" s="0" t="s">
        <v>516</v>
      </c>
    </row>
    <row r="222" customFormat="false" ht="15" hidden="false" customHeight="false" outlineLevel="0" collapsed="false">
      <c r="A222" s="0" t="s">
        <v>515</v>
      </c>
      <c r="B222" s="0" t="s">
        <v>669</v>
      </c>
      <c r="C222" s="0" t="s">
        <v>13</v>
      </c>
      <c r="D222" s="0" t="s">
        <v>151</v>
      </c>
      <c r="E222" s="0" t="s">
        <v>670</v>
      </c>
      <c r="F222" s="0" t="s">
        <v>671</v>
      </c>
      <c r="G222" s="0" t="n">
        <f aca="false">HYPERLINK("http://clipc-services.ceda.ac.uk/dreq/u/06942529e05aac1e9a39ca1f5737af2f.html","web")</f>
        <v>0</v>
      </c>
      <c r="H222" s="0" t="s">
        <v>216</v>
      </c>
      <c r="I222" s="0" t="s">
        <v>65</v>
      </c>
      <c r="J222" s="0" t="s">
        <v>672</v>
      </c>
      <c r="K222" s="0" t="s">
        <v>544</v>
      </c>
    </row>
    <row r="223" customFormat="false" ht="15" hidden="false" customHeight="false" outlineLevel="0" collapsed="false">
      <c r="A223" s="0" t="s">
        <v>515</v>
      </c>
      <c r="B223" s="0" t="s">
        <v>673</v>
      </c>
      <c r="C223" s="0" t="s">
        <v>13</v>
      </c>
      <c r="D223" s="0" t="s">
        <v>151</v>
      </c>
      <c r="E223" s="0" t="s">
        <v>674</v>
      </c>
      <c r="F223" s="0" t="s">
        <v>671</v>
      </c>
      <c r="G223" s="0" t="n">
        <f aca="false">HYPERLINK("http://clipc-services.ceda.ac.uk/dreq/u/ab495084beb82a29c24bf6c226fd0e57.html","web")</f>
        <v>0</v>
      </c>
      <c r="H223" s="0" t="s">
        <v>216</v>
      </c>
      <c r="I223" s="0" t="s">
        <v>65</v>
      </c>
      <c r="J223" s="0" t="s">
        <v>672</v>
      </c>
      <c r="K223" s="0" t="s">
        <v>544</v>
      </c>
    </row>
    <row r="224" customFormat="false" ht="15" hidden="false" customHeight="false" outlineLevel="0" collapsed="false">
      <c r="A224" s="0" t="s">
        <v>515</v>
      </c>
      <c r="B224" s="0" t="s">
        <v>213</v>
      </c>
      <c r="C224" s="0" t="s">
        <v>13</v>
      </c>
      <c r="D224" s="0" t="s">
        <v>61</v>
      </c>
      <c r="E224" s="0" t="s">
        <v>214</v>
      </c>
      <c r="F224" s="0" t="s">
        <v>215</v>
      </c>
      <c r="G224" s="0" t="n">
        <f aca="false">HYPERLINK("http://clipc-services.ceda.ac.uk/dreq/u/4c69515bfc84c5cb5624e94228f58351.html","web")</f>
        <v>0</v>
      </c>
      <c r="H224" s="0" t="s">
        <v>216</v>
      </c>
      <c r="I224" s="0" t="s">
        <v>65</v>
      </c>
      <c r="J224" s="0" t="s">
        <v>217</v>
      </c>
      <c r="K224" s="0" t="s">
        <v>675</v>
      </c>
    </row>
    <row r="225" customFormat="false" ht="15" hidden="false" customHeight="false" outlineLevel="0" collapsed="false">
      <c r="A225" s="0" t="s">
        <v>515</v>
      </c>
      <c r="B225" s="0" t="s">
        <v>676</v>
      </c>
      <c r="C225" s="0" t="s">
        <v>32</v>
      </c>
      <c r="D225" s="0" t="s">
        <v>151</v>
      </c>
      <c r="E225" s="0" t="s">
        <v>677</v>
      </c>
      <c r="F225" s="0" t="s">
        <v>153</v>
      </c>
      <c r="G225" s="0" t="n">
        <f aca="false">HYPERLINK("http://clipc-services.ceda.ac.uk/dreq/u/f45dc6b68a774051705e099da83e79cf.html","web")</f>
        <v>0</v>
      </c>
      <c r="H225" s="0" t="s">
        <v>190</v>
      </c>
      <c r="I225" s="0" t="s">
        <v>103</v>
      </c>
      <c r="J225" s="0" t="s">
        <v>678</v>
      </c>
      <c r="K225" s="0" t="s">
        <v>679</v>
      </c>
    </row>
    <row r="226" customFormat="false" ht="15" hidden="false" customHeight="false" outlineLevel="0" collapsed="false">
      <c r="A226" s="0" t="s">
        <v>515</v>
      </c>
      <c r="B226" s="0" t="s">
        <v>680</v>
      </c>
      <c r="C226" s="0" t="s">
        <v>32</v>
      </c>
      <c r="D226" s="0" t="s">
        <v>151</v>
      </c>
      <c r="E226" s="0" t="s">
        <v>681</v>
      </c>
      <c r="F226" s="0" t="s">
        <v>153</v>
      </c>
      <c r="G226" s="0" t="n">
        <f aca="false">HYPERLINK("http://clipc-services.ceda.ac.uk/dreq/u/87fbc4126ce4daecf084edf9ad1f4aaf.html","web")</f>
        <v>0</v>
      </c>
      <c r="H226" s="0" t="s">
        <v>64</v>
      </c>
      <c r="I226" s="0" t="s">
        <v>65</v>
      </c>
      <c r="J226" s="0" t="s">
        <v>678</v>
      </c>
      <c r="K226" s="0" t="s">
        <v>544</v>
      </c>
    </row>
    <row r="227" customFormat="false" ht="15" hidden="false" customHeight="false" outlineLevel="0" collapsed="false">
      <c r="A227" s="0" t="s">
        <v>515</v>
      </c>
      <c r="B227" s="0" t="s">
        <v>682</v>
      </c>
      <c r="C227" s="0" t="s">
        <v>32</v>
      </c>
      <c r="D227" s="0" t="s">
        <v>151</v>
      </c>
      <c r="E227" s="0" t="s">
        <v>683</v>
      </c>
      <c r="F227" s="0" t="s">
        <v>153</v>
      </c>
      <c r="G227" s="0" t="n">
        <f aca="false">HYPERLINK("http://clipc-services.ceda.ac.uk/dreq/u/b76d616f8f03bb60a0dffa023dfd0525.html","web")</f>
        <v>0</v>
      </c>
      <c r="H227" s="0" t="s">
        <v>190</v>
      </c>
      <c r="I227" s="0" t="s">
        <v>103</v>
      </c>
      <c r="J227" s="0" t="s">
        <v>684</v>
      </c>
      <c r="K227" s="0" t="s">
        <v>544</v>
      </c>
    </row>
    <row r="228" customFormat="false" ht="15" hidden="false" customHeight="false" outlineLevel="0" collapsed="false">
      <c r="A228" s="0" t="s">
        <v>515</v>
      </c>
      <c r="B228" s="0" t="s">
        <v>685</v>
      </c>
      <c r="C228" s="0" t="s">
        <v>32</v>
      </c>
      <c r="D228" s="0" t="s">
        <v>151</v>
      </c>
      <c r="E228" s="0" t="s">
        <v>686</v>
      </c>
      <c r="F228" s="0" t="s">
        <v>153</v>
      </c>
      <c r="G228" s="0" t="n">
        <f aca="false">HYPERLINK("http://clipc-services.ceda.ac.uk/dreq/u/7002f5a3bc5218f16a39f3dfabf42244.html","web")</f>
        <v>0</v>
      </c>
      <c r="H228" s="0" t="s">
        <v>190</v>
      </c>
      <c r="I228" s="0" t="s">
        <v>103</v>
      </c>
      <c r="J228" s="0" t="s">
        <v>684</v>
      </c>
      <c r="K228" s="0" t="s">
        <v>544</v>
      </c>
    </row>
    <row r="229" customFormat="false" ht="15" hidden="false" customHeight="false" outlineLevel="0" collapsed="false">
      <c r="A229" s="0" t="s">
        <v>515</v>
      </c>
      <c r="B229" s="0" t="s">
        <v>687</v>
      </c>
      <c r="C229" s="0" t="s">
        <v>32</v>
      </c>
      <c r="D229" s="0" t="s">
        <v>151</v>
      </c>
      <c r="E229" s="0" t="s">
        <v>688</v>
      </c>
      <c r="F229" s="0" t="s">
        <v>153</v>
      </c>
      <c r="G229" s="0" t="n">
        <f aca="false">HYPERLINK("http://clipc-services.ceda.ac.uk/dreq/u/86e9eba62a2d7875705086a75ba7f78c.html","web")</f>
        <v>0</v>
      </c>
      <c r="H229" s="0" t="s">
        <v>190</v>
      </c>
      <c r="I229" s="0" t="s">
        <v>103</v>
      </c>
      <c r="J229" s="0" t="s">
        <v>684</v>
      </c>
      <c r="K229" s="0" t="s">
        <v>544</v>
      </c>
    </row>
    <row r="230" customFormat="false" ht="15" hidden="false" customHeight="false" outlineLevel="0" collapsed="false">
      <c r="A230" s="0" t="s">
        <v>515</v>
      </c>
      <c r="B230" s="0" t="s">
        <v>257</v>
      </c>
      <c r="C230" s="0" t="s">
        <v>13</v>
      </c>
      <c r="D230" s="0" t="s">
        <v>61</v>
      </c>
      <c r="E230" s="0" t="s">
        <v>258</v>
      </c>
      <c r="F230" s="0" t="s">
        <v>41</v>
      </c>
      <c r="G230" s="0" t="n">
        <f aca="false">HYPERLINK("http://clipc-services.ceda.ac.uk/dreq/u/44471dd9799293cef70ac63fcdd2476e.html","web")</f>
        <v>0</v>
      </c>
      <c r="I230" s="0" t="s">
        <v>43</v>
      </c>
      <c r="J230" s="0" t="s">
        <v>259</v>
      </c>
      <c r="K230" s="0" t="s">
        <v>689</v>
      </c>
    </row>
    <row r="231" customFormat="false" ht="15" hidden="false" customHeight="false" outlineLevel="0" collapsed="false">
      <c r="A231" s="0" t="s">
        <v>515</v>
      </c>
      <c r="B231" s="0" t="s">
        <v>218</v>
      </c>
      <c r="C231" s="0" t="s">
        <v>32</v>
      </c>
      <c r="D231" s="0" t="s">
        <v>61</v>
      </c>
      <c r="E231" s="0" t="s">
        <v>219</v>
      </c>
      <c r="F231" s="0" t="s">
        <v>63</v>
      </c>
      <c r="G231" s="0" t="n">
        <f aca="false">HYPERLINK("http://clipc-services.ceda.ac.uk/dreq/u/c9776970-c5f0-11e6-ac20-5404a60d96b5.html","web")</f>
        <v>0</v>
      </c>
      <c r="H231" s="0" t="s">
        <v>64</v>
      </c>
      <c r="I231" s="0" t="s">
        <v>65</v>
      </c>
      <c r="J231" s="0" t="s">
        <v>220</v>
      </c>
      <c r="K231" s="0" t="s">
        <v>516</v>
      </c>
    </row>
    <row r="232" customFormat="false" ht="15" hidden="false" customHeight="false" outlineLevel="0" collapsed="false">
      <c r="A232" s="0" t="s">
        <v>515</v>
      </c>
      <c r="B232" s="0" t="s">
        <v>690</v>
      </c>
      <c r="C232" s="0" t="s">
        <v>69</v>
      </c>
      <c r="D232" s="0" t="s">
        <v>151</v>
      </c>
      <c r="E232" s="0" t="s">
        <v>691</v>
      </c>
      <c r="F232" s="0" t="s">
        <v>41</v>
      </c>
      <c r="G232" s="0" t="n">
        <f aca="false">HYPERLINK("http://clipc-services.ceda.ac.uk/dreq/u/f4b0302d898785a6003754fe9b097690.html","web")</f>
        <v>0</v>
      </c>
      <c r="H232" s="0" t="s">
        <v>190</v>
      </c>
      <c r="I232" s="0" t="s">
        <v>76</v>
      </c>
      <c r="J232" s="0" t="s">
        <v>692</v>
      </c>
      <c r="K232" s="0" t="s">
        <v>693</v>
      </c>
    </row>
    <row r="233" customFormat="false" ht="15" hidden="false" customHeight="false" outlineLevel="0" collapsed="false">
      <c r="A233" s="0" t="s">
        <v>515</v>
      </c>
      <c r="B233" s="0" t="s">
        <v>694</v>
      </c>
      <c r="C233" s="0" t="s">
        <v>69</v>
      </c>
      <c r="D233" s="0" t="s">
        <v>151</v>
      </c>
      <c r="E233" s="0" t="s">
        <v>695</v>
      </c>
      <c r="F233" s="0" t="s">
        <v>41</v>
      </c>
      <c r="G233" s="0" t="n">
        <f aca="false">HYPERLINK("http://clipc-services.ceda.ac.uk/dreq/u/7324bbd4b756759ef380f305fe5856b2.html","web")</f>
        <v>0</v>
      </c>
      <c r="H233" s="0" t="s">
        <v>190</v>
      </c>
      <c r="I233" s="0" t="s">
        <v>76</v>
      </c>
      <c r="J233" s="0" t="s">
        <v>696</v>
      </c>
      <c r="K233" s="0" t="s">
        <v>693</v>
      </c>
    </row>
    <row r="235" customFormat="false" ht="15" hidden="false" customHeight="false" outlineLevel="0" collapsed="false">
      <c r="A235" s="0" t="s">
        <v>697</v>
      </c>
      <c r="B235" s="0" t="s">
        <v>262</v>
      </c>
      <c r="C235" s="0" t="s">
        <v>32</v>
      </c>
      <c r="D235" s="0" t="s">
        <v>263</v>
      </c>
      <c r="E235" s="0" t="s">
        <v>264</v>
      </c>
      <c r="F235" s="0" t="s">
        <v>265</v>
      </c>
      <c r="G235" s="0" t="n">
        <f aca="false">HYPERLINK("http://clipc-services.ceda.ac.uk/dreq/u/9522ca96d0b066ebe8defd5541de0582.html","web")</f>
        <v>0</v>
      </c>
      <c r="H235" s="0" t="s">
        <v>266</v>
      </c>
      <c r="I235" s="0" t="s">
        <v>56</v>
      </c>
      <c r="J235" s="0" t="s">
        <v>267</v>
      </c>
      <c r="K235" s="0" t="s">
        <v>698</v>
      </c>
    </row>
    <row r="236" customFormat="false" ht="15" hidden="false" customHeight="false" outlineLevel="0" collapsed="false">
      <c r="A236" s="0" t="s">
        <v>697</v>
      </c>
      <c r="B236" s="0" t="s">
        <v>269</v>
      </c>
      <c r="C236" s="0" t="s">
        <v>13</v>
      </c>
      <c r="D236" s="0" t="s">
        <v>263</v>
      </c>
      <c r="E236" s="0" t="s">
        <v>270</v>
      </c>
      <c r="F236" s="0" t="s">
        <v>265</v>
      </c>
      <c r="G236" s="0" t="n">
        <f aca="false">HYPERLINK("http://clipc-services.ceda.ac.uk/dreq/u/85631e0f7a8fdcb10737a525f4134181.html","web")</f>
        <v>0</v>
      </c>
      <c r="H236" s="0" t="s">
        <v>266</v>
      </c>
      <c r="I236" s="0" t="s">
        <v>56</v>
      </c>
      <c r="J236" s="0" t="s">
        <v>271</v>
      </c>
      <c r="K236" s="0" t="s">
        <v>698</v>
      </c>
    </row>
    <row r="237" customFormat="false" ht="15" hidden="false" customHeight="false" outlineLevel="0" collapsed="false">
      <c r="A237" s="0" t="s">
        <v>697</v>
      </c>
      <c r="B237" s="0" t="s">
        <v>699</v>
      </c>
      <c r="C237" s="0" t="s">
        <v>13</v>
      </c>
      <c r="D237" s="0" t="s">
        <v>263</v>
      </c>
      <c r="E237" s="0" t="s">
        <v>700</v>
      </c>
      <c r="F237" s="0" t="s">
        <v>378</v>
      </c>
      <c r="G237" s="0" t="n">
        <f aca="false">HYPERLINK("http://clipc-services.ceda.ac.uk/dreq/u/59137d56-9e49-11e5-803c-0d0b866b59f3.html","web")</f>
        <v>0</v>
      </c>
      <c r="H237" s="0" t="s">
        <v>701</v>
      </c>
      <c r="I237" s="0" t="s">
        <v>56</v>
      </c>
      <c r="J237" s="0" t="s">
        <v>702</v>
      </c>
      <c r="K237" s="0" t="s">
        <v>703</v>
      </c>
    </row>
    <row r="238" customFormat="false" ht="15" hidden="false" customHeight="false" outlineLevel="0" collapsed="false">
      <c r="A238" s="0" t="s">
        <v>697</v>
      </c>
      <c r="B238" s="0" t="s">
        <v>704</v>
      </c>
      <c r="C238" s="0" t="s">
        <v>13</v>
      </c>
      <c r="D238" s="0" t="s">
        <v>263</v>
      </c>
      <c r="E238" s="0" t="s">
        <v>705</v>
      </c>
      <c r="F238" s="0" t="s">
        <v>378</v>
      </c>
      <c r="G238" s="0" t="n">
        <f aca="false">HYPERLINK("http://clipc-services.ceda.ac.uk/dreq/u/59137fd6-9e49-11e5-803c-0d0b866b59f3.html","web")</f>
        <v>0</v>
      </c>
      <c r="H238" s="0" t="s">
        <v>706</v>
      </c>
      <c r="I238" s="0" t="s">
        <v>56</v>
      </c>
      <c r="J238" s="0" t="s">
        <v>707</v>
      </c>
      <c r="K238" s="0" t="s">
        <v>703</v>
      </c>
    </row>
    <row r="239" customFormat="false" ht="15" hidden="false" customHeight="false" outlineLevel="0" collapsed="false">
      <c r="A239" s="0" t="s">
        <v>697</v>
      </c>
      <c r="B239" s="0" t="s">
        <v>708</v>
      </c>
      <c r="C239" s="0" t="s">
        <v>13</v>
      </c>
      <c r="D239" s="0" t="s">
        <v>263</v>
      </c>
      <c r="E239" s="0" t="s">
        <v>709</v>
      </c>
      <c r="F239" s="0" t="s">
        <v>74</v>
      </c>
      <c r="G239" s="0" t="n">
        <f aca="false">HYPERLINK("http://clipc-services.ceda.ac.uk/dreq/u/590db8c6-9e49-11e5-803c-0d0b866b59f3.html","web")</f>
        <v>0</v>
      </c>
      <c r="H239" s="0" t="s">
        <v>701</v>
      </c>
      <c r="I239" s="0" t="s">
        <v>56</v>
      </c>
      <c r="J239" s="0" t="s">
        <v>710</v>
      </c>
      <c r="K239" s="0" t="s">
        <v>703</v>
      </c>
    </row>
    <row r="240" customFormat="false" ht="15" hidden="false" customHeight="false" outlineLevel="0" collapsed="false">
      <c r="A240" s="0" t="s">
        <v>697</v>
      </c>
      <c r="B240" s="0" t="s">
        <v>711</v>
      </c>
      <c r="C240" s="0" t="s">
        <v>13</v>
      </c>
      <c r="D240" s="0" t="s">
        <v>263</v>
      </c>
      <c r="E240" s="0" t="s">
        <v>712</v>
      </c>
      <c r="F240" s="0" t="s">
        <v>74</v>
      </c>
      <c r="G240" s="0" t="n">
        <f aca="false">HYPERLINK("http://clipc-services.ceda.ac.uk/dreq/u/5917ff52-9e49-11e5-803c-0d0b866b59f3.html","web")</f>
        <v>0</v>
      </c>
      <c r="H240" s="0" t="s">
        <v>701</v>
      </c>
      <c r="I240" s="0" t="s">
        <v>56</v>
      </c>
      <c r="J240" s="0" t="s">
        <v>713</v>
      </c>
      <c r="K240" s="0" t="s">
        <v>703</v>
      </c>
    </row>
    <row r="241" customFormat="false" ht="15" hidden="false" customHeight="false" outlineLevel="0" collapsed="false">
      <c r="A241" s="0" t="s">
        <v>697</v>
      </c>
      <c r="B241" s="0" t="s">
        <v>397</v>
      </c>
      <c r="C241" s="0" t="s">
        <v>13</v>
      </c>
      <c r="D241" s="0" t="s">
        <v>263</v>
      </c>
      <c r="E241" s="0" t="s">
        <v>398</v>
      </c>
      <c r="F241" s="0" t="s">
        <v>391</v>
      </c>
      <c r="G241" s="0" t="n">
        <f aca="false">HYPERLINK("http://clipc-services.ceda.ac.uk/dreq/u/621681bc7c376de66228fdde13b97516.html","web")</f>
        <v>0</v>
      </c>
      <c r="H241" s="0" t="s">
        <v>399</v>
      </c>
      <c r="I241" s="0" t="s">
        <v>56</v>
      </c>
      <c r="J241" s="0" t="s">
        <v>400</v>
      </c>
      <c r="K241" s="0" t="s">
        <v>714</v>
      </c>
    </row>
    <row r="242" customFormat="false" ht="15" hidden="false" customHeight="false" outlineLevel="0" collapsed="false">
      <c r="A242" s="0" t="s">
        <v>697</v>
      </c>
      <c r="B242" s="0" t="s">
        <v>715</v>
      </c>
      <c r="C242" s="0" t="s">
        <v>69</v>
      </c>
      <c r="D242" s="0" t="s">
        <v>263</v>
      </c>
      <c r="E242" s="0" t="s">
        <v>716</v>
      </c>
      <c r="F242" s="0" t="s">
        <v>391</v>
      </c>
      <c r="G242" s="0" t="n">
        <f aca="false">HYPERLINK("http://clipc-services.ceda.ac.uk/dreq/u/5917483c-9e49-11e5-803c-0d0b866b59f3.html","web")</f>
        <v>0</v>
      </c>
      <c r="H242" s="0" t="s">
        <v>717</v>
      </c>
      <c r="I242" s="0" t="s">
        <v>56</v>
      </c>
      <c r="J242" s="0" t="s">
        <v>718</v>
      </c>
      <c r="K242" s="0" t="s">
        <v>714</v>
      </c>
    </row>
    <row r="243" customFormat="false" ht="15" hidden="false" customHeight="false" outlineLevel="0" collapsed="false">
      <c r="A243" s="0" t="s">
        <v>697</v>
      </c>
      <c r="B243" s="0" t="s">
        <v>719</v>
      </c>
      <c r="C243" s="0" t="s">
        <v>13</v>
      </c>
      <c r="D243" s="0" t="s">
        <v>263</v>
      </c>
      <c r="E243" s="0" t="s">
        <v>720</v>
      </c>
      <c r="F243" s="0" t="s">
        <v>391</v>
      </c>
      <c r="G243" s="0" t="n">
        <f aca="false">HYPERLINK("http://clipc-services.ceda.ac.uk/dreq/u/59170a02-9e49-11e5-803c-0d0b866b59f3.html","web")</f>
        <v>0</v>
      </c>
      <c r="H243" s="0" t="s">
        <v>266</v>
      </c>
      <c r="I243" s="0" t="s">
        <v>239</v>
      </c>
      <c r="J243" s="0" t="s">
        <v>721</v>
      </c>
      <c r="K243" s="0" t="s">
        <v>714</v>
      </c>
    </row>
    <row r="244" customFormat="false" ht="15" hidden="false" customHeight="false" outlineLevel="0" collapsed="false">
      <c r="A244" s="0" t="s">
        <v>697</v>
      </c>
      <c r="B244" s="0" t="s">
        <v>722</v>
      </c>
      <c r="C244" s="0" t="s">
        <v>69</v>
      </c>
      <c r="D244" s="0" t="s">
        <v>263</v>
      </c>
      <c r="E244" s="0" t="s">
        <v>723</v>
      </c>
      <c r="F244" s="0" t="s">
        <v>391</v>
      </c>
      <c r="G244" s="0" t="n">
        <f aca="false">HYPERLINK("http://clipc-services.ceda.ac.uk/dreq/u/59173c0c-9e49-11e5-803c-0d0b866b59f3.html","web")</f>
        <v>0</v>
      </c>
      <c r="H244" s="0" t="s">
        <v>717</v>
      </c>
      <c r="I244" s="0" t="s">
        <v>56</v>
      </c>
      <c r="J244" s="0" t="s">
        <v>724</v>
      </c>
      <c r="K244" s="0" t="s">
        <v>714</v>
      </c>
    </row>
    <row r="245" customFormat="false" ht="15" hidden="false" customHeight="false" outlineLevel="0" collapsed="false">
      <c r="A245" s="0" t="s">
        <v>697</v>
      </c>
      <c r="B245" s="0" t="s">
        <v>725</v>
      </c>
      <c r="C245" s="0" t="s">
        <v>13</v>
      </c>
      <c r="D245" s="0" t="s">
        <v>263</v>
      </c>
      <c r="E245" s="0" t="s">
        <v>726</v>
      </c>
      <c r="F245" s="0" t="s">
        <v>391</v>
      </c>
      <c r="G245" s="0" t="n">
        <f aca="false">HYPERLINK("http://clipc-services.ceda.ac.uk/dreq/u/5913d86e-9e49-11e5-803c-0d0b866b59f3.html","web")</f>
        <v>0</v>
      </c>
      <c r="H245" s="0" t="s">
        <v>266</v>
      </c>
      <c r="I245" s="0" t="s">
        <v>239</v>
      </c>
      <c r="J245" s="0" t="s">
        <v>727</v>
      </c>
      <c r="K245" s="0" t="s">
        <v>714</v>
      </c>
    </row>
    <row r="246" customFormat="false" ht="15" hidden="false" customHeight="false" outlineLevel="0" collapsed="false">
      <c r="A246" s="0" t="s">
        <v>697</v>
      </c>
      <c r="B246" s="0" t="s">
        <v>728</v>
      </c>
      <c r="C246" s="0" t="s">
        <v>13</v>
      </c>
      <c r="D246" s="0" t="s">
        <v>263</v>
      </c>
      <c r="E246" s="0" t="s">
        <v>729</v>
      </c>
      <c r="F246" s="0" t="s">
        <v>391</v>
      </c>
      <c r="G246" s="0" t="n">
        <f aca="false">HYPERLINK("http://clipc-services.ceda.ac.uk/dreq/u/5913d602-9e49-11e5-803c-0d0b866b59f3.html","web")</f>
        <v>0</v>
      </c>
      <c r="H246" s="0" t="s">
        <v>266</v>
      </c>
      <c r="I246" s="0" t="s">
        <v>239</v>
      </c>
      <c r="J246" s="0" t="s">
        <v>730</v>
      </c>
      <c r="K246" s="0" t="s">
        <v>714</v>
      </c>
    </row>
    <row r="247" customFormat="false" ht="15" hidden="false" customHeight="false" outlineLevel="0" collapsed="false">
      <c r="A247" s="0" t="s">
        <v>697</v>
      </c>
      <c r="B247" s="0" t="s">
        <v>276</v>
      </c>
      <c r="C247" s="0" t="s">
        <v>32</v>
      </c>
      <c r="D247" s="0" t="s">
        <v>263</v>
      </c>
      <c r="E247" s="0" t="s">
        <v>277</v>
      </c>
      <c r="F247" s="0" t="s">
        <v>278</v>
      </c>
      <c r="G247" s="0" t="n">
        <f aca="false">HYPERLINK("http://clipc-services.ceda.ac.uk/dreq/u/590fa2bc-9e49-11e5-803c-0d0b866b59f3.html","web")</f>
        <v>0</v>
      </c>
      <c r="H247" s="0" t="s">
        <v>266</v>
      </c>
      <c r="I247" s="0" t="s">
        <v>56</v>
      </c>
      <c r="J247" s="0" t="s">
        <v>279</v>
      </c>
      <c r="K247" s="0" t="s">
        <v>698</v>
      </c>
    </row>
    <row r="248" customFormat="false" ht="15" hidden="false" customHeight="false" outlineLevel="0" collapsed="false">
      <c r="A248" s="0" t="s">
        <v>697</v>
      </c>
      <c r="B248" s="0" t="s">
        <v>280</v>
      </c>
      <c r="C248" s="0" t="s">
        <v>32</v>
      </c>
      <c r="D248" s="0" t="s">
        <v>263</v>
      </c>
      <c r="E248" s="0" t="s">
        <v>281</v>
      </c>
      <c r="F248" s="0" t="s">
        <v>278</v>
      </c>
      <c r="G248" s="0" t="n">
        <f aca="false">HYPERLINK("http://clipc-services.ceda.ac.uk/dreq/u/590e85a8-9e49-11e5-803c-0d0b866b59f3.html","web")</f>
        <v>0</v>
      </c>
      <c r="H248" s="0" t="s">
        <v>282</v>
      </c>
      <c r="I248" s="0" t="s">
        <v>56</v>
      </c>
      <c r="J248" s="0" t="s">
        <v>283</v>
      </c>
      <c r="K248" s="0" t="s">
        <v>731</v>
      </c>
    </row>
    <row r="249" customFormat="false" ht="15" hidden="false" customHeight="false" outlineLevel="0" collapsed="false">
      <c r="A249" s="0" t="s">
        <v>697</v>
      </c>
      <c r="B249" s="0" t="s">
        <v>732</v>
      </c>
      <c r="C249" s="0" t="s">
        <v>13</v>
      </c>
      <c r="D249" s="0" t="s">
        <v>263</v>
      </c>
      <c r="E249" s="0" t="s">
        <v>733</v>
      </c>
      <c r="F249" s="0" t="s">
        <v>734</v>
      </c>
      <c r="G249" s="0" t="n">
        <f aca="false">HYPERLINK("http://clipc-services.ceda.ac.uk/dreq/u/e51c1fc2-00a7-11e6-a8a4-5404a60d96b5.html","web")</f>
        <v>0</v>
      </c>
      <c r="H249" s="0" t="s">
        <v>701</v>
      </c>
      <c r="I249" s="0" t="s">
        <v>56</v>
      </c>
      <c r="J249" s="0" t="s">
        <v>735</v>
      </c>
      <c r="K249" s="0" t="s">
        <v>703</v>
      </c>
    </row>
    <row r="250" customFormat="false" ht="15" hidden="false" customHeight="false" outlineLevel="0" collapsed="false">
      <c r="A250" s="0" t="s">
        <v>697</v>
      </c>
      <c r="B250" s="0" t="s">
        <v>294</v>
      </c>
      <c r="C250" s="0" t="s">
        <v>32</v>
      </c>
      <c r="D250" s="0" t="s">
        <v>263</v>
      </c>
      <c r="E250" s="0" t="s">
        <v>295</v>
      </c>
      <c r="F250" s="0" t="s">
        <v>296</v>
      </c>
      <c r="G250" s="0" t="n">
        <f aca="false">HYPERLINK("http://clipc-services.ceda.ac.uk/dreq/u/ba7be4134a9cf4838434bf204d80b903.html","web")</f>
        <v>0</v>
      </c>
      <c r="H250" s="0" t="s">
        <v>266</v>
      </c>
      <c r="I250" s="0" t="s">
        <v>56</v>
      </c>
      <c r="J250" s="0" t="s">
        <v>297</v>
      </c>
      <c r="K250" s="0" t="s">
        <v>698</v>
      </c>
    </row>
    <row r="251" customFormat="false" ht="15" hidden="false" customHeight="false" outlineLevel="0" collapsed="false">
      <c r="A251" s="0" t="s">
        <v>697</v>
      </c>
      <c r="B251" s="0" t="s">
        <v>298</v>
      </c>
      <c r="C251" s="0" t="s">
        <v>32</v>
      </c>
      <c r="D251" s="0" t="s">
        <v>263</v>
      </c>
      <c r="E251" s="0" t="s">
        <v>299</v>
      </c>
      <c r="F251" s="0" t="s">
        <v>296</v>
      </c>
      <c r="G251" s="0" t="n">
        <f aca="false">HYPERLINK("http://clipc-services.ceda.ac.uk/dreq/u/c64364df884a3cebaa7aebb664260776.html","web")</f>
        <v>0</v>
      </c>
      <c r="H251" s="0" t="s">
        <v>266</v>
      </c>
      <c r="I251" s="0" t="s">
        <v>56</v>
      </c>
      <c r="J251" s="0" t="s">
        <v>300</v>
      </c>
      <c r="K251" s="0" t="s">
        <v>698</v>
      </c>
    </row>
    <row r="252" customFormat="false" ht="15" hidden="false" customHeight="false" outlineLevel="0" collapsed="false">
      <c r="A252" s="0" t="s">
        <v>697</v>
      </c>
      <c r="B252" s="0" t="s">
        <v>736</v>
      </c>
      <c r="C252" s="0" t="s">
        <v>13</v>
      </c>
      <c r="D252" s="0" t="s">
        <v>263</v>
      </c>
      <c r="E252" s="0" t="s">
        <v>737</v>
      </c>
      <c r="F252" s="0" t="s">
        <v>391</v>
      </c>
      <c r="G252" s="0" t="n">
        <f aca="false">HYPERLINK("http://clipc-services.ceda.ac.uk/dreq/u/00efa75221917486576896481325ce2f.html","web")</f>
        <v>0</v>
      </c>
      <c r="H252" s="0" t="s">
        <v>738</v>
      </c>
      <c r="I252" s="0" t="s">
        <v>56</v>
      </c>
      <c r="J252" s="0" t="s">
        <v>739</v>
      </c>
      <c r="K252" s="0" t="s">
        <v>703</v>
      </c>
    </row>
    <row r="254" customFormat="false" ht="15" hidden="false" customHeight="false" outlineLevel="0" collapsed="false">
      <c r="A254" s="0" t="s">
        <v>740</v>
      </c>
      <c r="B254" s="0" t="s">
        <v>230</v>
      </c>
      <c r="C254" s="0" t="s">
        <v>13</v>
      </c>
      <c r="D254" s="0" t="s">
        <v>151</v>
      </c>
      <c r="E254" s="0" t="s">
        <v>231</v>
      </c>
      <c r="F254" s="0" t="s">
        <v>232</v>
      </c>
      <c r="G254" s="0" t="n">
        <f aca="false">HYPERLINK("http://clipc-services.ceda.ac.uk/dreq/u/13484743dd3369c69df93379e6dafbb5.html","web")</f>
        <v>0</v>
      </c>
      <c r="H254" s="0" t="s">
        <v>233</v>
      </c>
      <c r="J254" s="0" t="s">
        <v>234</v>
      </c>
      <c r="K254" s="0" t="s">
        <v>741</v>
      </c>
    </row>
    <row r="255" customFormat="false" ht="15" hidden="false" customHeight="false" outlineLevel="0" collapsed="false">
      <c r="A255" s="0" t="s">
        <v>740</v>
      </c>
      <c r="B255" s="0" t="s">
        <v>236</v>
      </c>
      <c r="C255" s="0" t="s">
        <v>13</v>
      </c>
      <c r="D255" s="0" t="s">
        <v>151</v>
      </c>
      <c r="E255" s="0" t="s">
        <v>237</v>
      </c>
      <c r="F255" s="0" t="s">
        <v>232</v>
      </c>
      <c r="G255" s="0" t="n">
        <f aca="false">HYPERLINK("http://clipc-services.ceda.ac.uk/dreq/u/0062272a6a4176b8c32af87642b062c5.html","web")</f>
        <v>0</v>
      </c>
      <c r="H255" s="0" t="s">
        <v>238</v>
      </c>
      <c r="I255" s="0" t="s">
        <v>239</v>
      </c>
      <c r="J255" s="0" t="s">
        <v>240</v>
      </c>
      <c r="K255" s="0" t="s">
        <v>741</v>
      </c>
    </row>
    <row r="256" customFormat="false" ht="15" hidden="false" customHeight="false" outlineLevel="0" collapsed="false">
      <c r="A256" s="0" t="s">
        <v>740</v>
      </c>
      <c r="B256" s="0" t="s">
        <v>327</v>
      </c>
      <c r="C256" s="0" t="s">
        <v>13</v>
      </c>
      <c r="D256" s="0" t="s">
        <v>151</v>
      </c>
      <c r="E256" s="0" t="s">
        <v>328</v>
      </c>
      <c r="F256" s="0" t="s">
        <v>13</v>
      </c>
      <c r="G256" s="0" t="n">
        <f aca="false">HYPERLINK("http://clipc-services.ceda.ac.uk/dreq/u/29fae9ea0f236a3eb144026e1bafde28.html","web")</f>
        <v>0</v>
      </c>
      <c r="H256" s="0" t="s">
        <v>329</v>
      </c>
      <c r="I256" s="0" t="s">
        <v>330</v>
      </c>
      <c r="J256" s="0" t="s">
        <v>331</v>
      </c>
      <c r="K256" s="0" t="s">
        <v>742</v>
      </c>
    </row>
    <row r="257" customFormat="false" ht="15" hidden="false" customHeight="false" outlineLevel="0" collapsed="false">
      <c r="A257" s="0" t="s">
        <v>740</v>
      </c>
      <c r="B257" s="0" t="s">
        <v>743</v>
      </c>
      <c r="C257" s="0" t="s">
        <v>13</v>
      </c>
      <c r="D257" s="0" t="s">
        <v>744</v>
      </c>
      <c r="E257" s="0" t="s">
        <v>745</v>
      </c>
      <c r="F257" s="0" t="s">
        <v>734</v>
      </c>
      <c r="G257" s="0" t="n">
        <f aca="false">HYPERLINK("http://clipc-services.ceda.ac.uk/dreq/u/9bb9a503065dfbd30c9bbe5c3c6abf99.html","web")</f>
        <v>0</v>
      </c>
      <c r="H257" s="0" t="s">
        <v>746</v>
      </c>
      <c r="I257" s="0" t="s">
        <v>330</v>
      </c>
      <c r="J257" s="0" t="s">
        <v>747</v>
      </c>
      <c r="K257" s="0" t="s">
        <v>748</v>
      </c>
    </row>
    <row r="258" customFormat="false" ht="15" hidden="false" customHeight="false" outlineLevel="0" collapsed="false">
      <c r="A258" s="0" t="s">
        <v>740</v>
      </c>
      <c r="B258" s="0" t="s">
        <v>749</v>
      </c>
      <c r="C258" s="0" t="s">
        <v>13</v>
      </c>
      <c r="D258" s="0" t="s">
        <v>750</v>
      </c>
      <c r="E258" s="0" t="s">
        <v>751</v>
      </c>
      <c r="F258" s="0" t="s">
        <v>752</v>
      </c>
      <c r="G258" s="0" t="n">
        <f aca="false">HYPERLINK("http://clipc-services.ceda.ac.uk/dreq/u/ddf060894b16cf89e906ecfedbba4ffb.html","web")</f>
        <v>0</v>
      </c>
      <c r="H258" s="0" t="s">
        <v>746</v>
      </c>
      <c r="I258" s="0" t="s">
        <v>330</v>
      </c>
      <c r="J258" s="0" t="s">
        <v>753</v>
      </c>
      <c r="K258" s="0" t="s">
        <v>748</v>
      </c>
    </row>
    <row r="259" customFormat="false" ht="15" hidden="false" customHeight="false" outlineLevel="0" collapsed="false">
      <c r="A259" s="0" t="s">
        <v>740</v>
      </c>
      <c r="B259" s="0" t="s">
        <v>340</v>
      </c>
      <c r="C259" s="0" t="s">
        <v>13</v>
      </c>
      <c r="D259" s="0" t="s">
        <v>151</v>
      </c>
      <c r="E259" s="0" t="s">
        <v>341</v>
      </c>
      <c r="F259" s="0" t="s">
        <v>153</v>
      </c>
      <c r="G259" s="0" t="n">
        <f aca="false">HYPERLINK("http://clipc-services.ceda.ac.uk/dreq/u/5e49c0b73ac161d5e5dd05173416c400.html","web")</f>
        <v>0</v>
      </c>
      <c r="H259" s="0" t="s">
        <v>342</v>
      </c>
      <c r="I259" s="0" t="s">
        <v>343</v>
      </c>
      <c r="J259" s="0" t="s">
        <v>344</v>
      </c>
      <c r="K259" s="0" t="s">
        <v>754</v>
      </c>
    </row>
    <row r="260" customFormat="false" ht="15" hidden="false" customHeight="false" outlineLevel="0" collapsed="false">
      <c r="A260" s="0" t="s">
        <v>740</v>
      </c>
      <c r="B260" s="0" t="s">
        <v>251</v>
      </c>
      <c r="C260" s="0" t="s">
        <v>13</v>
      </c>
      <c r="D260" s="0" t="s">
        <v>252</v>
      </c>
      <c r="E260" s="0" t="s">
        <v>253</v>
      </c>
      <c r="F260" s="0" t="s">
        <v>153</v>
      </c>
      <c r="G260" s="0" t="n">
        <f aca="false">HYPERLINK("http://clipc-services.ceda.ac.uk/dreq/u/6d790fe4caa7feff46a41ae7b3811e52.html","web")</f>
        <v>0</v>
      </c>
      <c r="H260" s="0" t="s">
        <v>254</v>
      </c>
      <c r="J260" s="0" t="s">
        <v>255</v>
      </c>
      <c r="K260" s="0" t="s">
        <v>755</v>
      </c>
    </row>
    <row r="261" customFormat="false" ht="15" hidden="false" customHeight="false" outlineLevel="0" collapsed="false">
      <c r="A261" s="0" t="s">
        <v>740</v>
      </c>
      <c r="B261" s="0" t="s">
        <v>756</v>
      </c>
      <c r="C261" s="0" t="s">
        <v>13</v>
      </c>
      <c r="D261" s="0" t="s">
        <v>757</v>
      </c>
      <c r="E261" s="0" t="s">
        <v>758</v>
      </c>
      <c r="F261" s="0" t="s">
        <v>734</v>
      </c>
      <c r="G261" s="0" t="n">
        <f aca="false">HYPERLINK("http://clipc-services.ceda.ac.uk/dreq/u/942125e5a461fef57b1477b9a2bd5fa0.html","web")</f>
        <v>0</v>
      </c>
      <c r="H261" s="0" t="s">
        <v>759</v>
      </c>
      <c r="I261" s="0" t="s">
        <v>760</v>
      </c>
      <c r="J261" s="0" t="s">
        <v>761</v>
      </c>
      <c r="K261" s="0" t="s">
        <v>748</v>
      </c>
    </row>
    <row r="262" customFormat="false" ht="15" hidden="false" customHeight="false" outlineLevel="0" collapsed="false">
      <c r="A262" s="0" t="s">
        <v>740</v>
      </c>
      <c r="B262" s="0" t="s">
        <v>762</v>
      </c>
      <c r="C262" s="0" t="s">
        <v>13</v>
      </c>
      <c r="D262" s="0" t="s">
        <v>744</v>
      </c>
      <c r="E262" s="0" t="s">
        <v>758</v>
      </c>
      <c r="F262" s="0" t="s">
        <v>734</v>
      </c>
      <c r="G262" s="0" t="n">
        <f aca="false">HYPERLINK("http://clipc-services.ceda.ac.uk/dreq/u/942125e5a461fef57b1477b9a2bd5fa0.html","web")</f>
        <v>0</v>
      </c>
      <c r="H262" s="0" t="s">
        <v>763</v>
      </c>
      <c r="I262" s="0" t="s">
        <v>764</v>
      </c>
      <c r="J262" s="0" t="s">
        <v>761</v>
      </c>
      <c r="K262" s="0" t="s">
        <v>748</v>
      </c>
    </row>
    <row r="263" customFormat="false" ht="15" hidden="false" customHeight="false" outlineLevel="0" collapsed="false">
      <c r="A263" s="0" t="s">
        <v>740</v>
      </c>
      <c r="B263" s="0" t="s">
        <v>765</v>
      </c>
      <c r="C263" s="0" t="s">
        <v>13</v>
      </c>
      <c r="D263" s="0" t="s">
        <v>766</v>
      </c>
      <c r="E263" s="0" t="s">
        <v>767</v>
      </c>
      <c r="F263" s="0" t="s">
        <v>768</v>
      </c>
      <c r="G263" s="0" t="n">
        <f aca="false">HYPERLINK("http://clipc-services.ceda.ac.uk/dreq/u/09c328529f2fac58c1b016da33ba394c.html","web")</f>
        <v>0</v>
      </c>
      <c r="H263" s="0" t="s">
        <v>763</v>
      </c>
      <c r="I263" s="0" t="s">
        <v>764</v>
      </c>
      <c r="J263" s="0" t="s">
        <v>769</v>
      </c>
      <c r="K263" s="0" t="s">
        <v>748</v>
      </c>
    </row>
    <row r="264" customFormat="false" ht="15" hidden="false" customHeight="false" outlineLevel="0" collapsed="false">
      <c r="A264" s="0" t="s">
        <v>740</v>
      </c>
      <c r="B264" s="0" t="s">
        <v>770</v>
      </c>
      <c r="C264" s="0" t="s">
        <v>13</v>
      </c>
      <c r="D264" s="0" t="s">
        <v>750</v>
      </c>
      <c r="E264" s="0" t="s">
        <v>767</v>
      </c>
      <c r="F264" s="0" t="s">
        <v>768</v>
      </c>
      <c r="G264" s="0" t="n">
        <f aca="false">HYPERLINK("http://clipc-services.ceda.ac.uk/dreq/u/09c328529f2fac58c1b016da33ba394c.html","web")</f>
        <v>0</v>
      </c>
      <c r="H264" s="0" t="s">
        <v>763</v>
      </c>
      <c r="I264" s="0" t="s">
        <v>764</v>
      </c>
      <c r="J264" s="0" t="s">
        <v>769</v>
      </c>
      <c r="K264" s="0" t="s">
        <v>748</v>
      </c>
    </row>
    <row r="265" customFormat="false" ht="15" hidden="false" customHeight="false" outlineLevel="0" collapsed="false">
      <c r="A265" s="0" t="s">
        <v>740</v>
      </c>
      <c r="B265" s="0" t="s">
        <v>373</v>
      </c>
      <c r="C265" s="0" t="s">
        <v>13</v>
      </c>
      <c r="D265" s="0" t="s">
        <v>151</v>
      </c>
      <c r="E265" s="0" t="s">
        <v>374</v>
      </c>
      <c r="F265" s="0" t="s">
        <v>13</v>
      </c>
      <c r="G265" s="0" t="n">
        <f aca="false">HYPERLINK("http://clipc-services.ceda.ac.uk/dreq/u/8de0f30b91b15720398fc10fd712a182.html","web")</f>
        <v>0</v>
      </c>
      <c r="H265" s="0" t="s">
        <v>329</v>
      </c>
      <c r="I265" s="0" t="s">
        <v>239</v>
      </c>
      <c r="J265" s="0" t="s">
        <v>375</v>
      </c>
      <c r="K265" s="0" t="s">
        <v>771</v>
      </c>
    </row>
    <row r="267" customFormat="false" ht="15" hidden="false" customHeight="false" outlineLevel="0" collapsed="false">
      <c r="A267" s="0" t="s">
        <v>772</v>
      </c>
      <c r="B267" s="0" t="s">
        <v>773</v>
      </c>
      <c r="C267" s="0" t="s">
        <v>69</v>
      </c>
      <c r="D267" s="0" t="s">
        <v>151</v>
      </c>
      <c r="E267" s="0" t="s">
        <v>774</v>
      </c>
      <c r="F267" s="0" t="s">
        <v>153</v>
      </c>
      <c r="G267" s="0" t="n">
        <f aca="false">HYPERLINK("http://clipc-services.ceda.ac.uk/dreq/u/7553003ead183dd3276108b6311a337f.html","web")</f>
        <v>0</v>
      </c>
      <c r="H267" s="0" t="s">
        <v>266</v>
      </c>
      <c r="I267" s="0" t="s">
        <v>239</v>
      </c>
      <c r="J267" s="0" t="s">
        <v>775</v>
      </c>
      <c r="K267" s="0" t="s">
        <v>776</v>
      </c>
    </row>
    <row r="268" customFormat="false" ht="15" hidden="false" customHeight="false" outlineLevel="0" collapsed="false">
      <c r="A268" s="0" t="s">
        <v>772</v>
      </c>
      <c r="B268" s="0" t="s">
        <v>777</v>
      </c>
      <c r="C268" s="0" t="s">
        <v>13</v>
      </c>
      <c r="D268" s="0" t="s">
        <v>778</v>
      </c>
      <c r="E268" s="0" t="s">
        <v>779</v>
      </c>
      <c r="F268" s="0" t="s">
        <v>296</v>
      </c>
      <c r="G268" s="0" t="n">
        <f aca="false">HYPERLINK("http://clipc-services.ceda.ac.uk/dreq/u/e4b039da-b621-11e6-bbe2-ac72891c3257.html","web")</f>
        <v>0</v>
      </c>
      <c r="H268" s="0" t="s">
        <v>266</v>
      </c>
      <c r="I268" s="0" t="s">
        <v>239</v>
      </c>
      <c r="J268" s="0" t="s">
        <v>780</v>
      </c>
      <c r="K268" s="0" t="s">
        <v>781</v>
      </c>
    </row>
    <row r="270" customFormat="false" ht="15" hidden="false" customHeight="false" outlineLevel="0" collapsed="false">
      <c r="A270" s="0" t="s">
        <v>782</v>
      </c>
      <c r="B270" s="0" t="s">
        <v>783</v>
      </c>
      <c r="C270" s="0" t="s">
        <v>13</v>
      </c>
      <c r="D270" s="0" t="s">
        <v>459</v>
      </c>
      <c r="E270" s="0" t="s">
        <v>784</v>
      </c>
      <c r="F270" s="0" t="s">
        <v>785</v>
      </c>
      <c r="G270" s="0" t="n">
        <f aca="false">HYPERLINK("http://clipc-services.ceda.ac.uk/dreq/u/98114e26-b896-11e6-a189-5404a60d96b5.html","web")</f>
        <v>0</v>
      </c>
      <c r="H270" s="0" t="s">
        <v>786</v>
      </c>
      <c r="I270" s="0" t="s">
        <v>760</v>
      </c>
      <c r="J270" s="0" t="s">
        <v>787</v>
      </c>
      <c r="K270" s="0" t="s">
        <v>788</v>
      </c>
    </row>
    <row r="271" customFormat="false" ht="15" hidden="false" customHeight="false" outlineLevel="0" collapsed="false">
      <c r="A271" s="0" t="s">
        <v>782</v>
      </c>
      <c r="B271" s="0" t="s">
        <v>789</v>
      </c>
      <c r="C271" s="0" t="s">
        <v>13</v>
      </c>
      <c r="D271" s="0" t="s">
        <v>459</v>
      </c>
      <c r="E271" s="0" t="s">
        <v>790</v>
      </c>
      <c r="F271" s="0" t="s">
        <v>734</v>
      </c>
      <c r="G271" s="0" t="n">
        <f aca="false">HYPERLINK("http://clipc-services.ceda.ac.uk/dreq/u/e8d5bdfd24b275f0530646361967483d.html","web")</f>
        <v>0</v>
      </c>
      <c r="H271" s="0" t="s">
        <v>786</v>
      </c>
      <c r="I271" s="0" t="s">
        <v>760</v>
      </c>
      <c r="J271" s="0" t="s">
        <v>747</v>
      </c>
      <c r="K271" s="0" t="s">
        <v>788</v>
      </c>
    </row>
    <row r="272" customFormat="false" ht="15" hidden="false" customHeight="false" outlineLevel="0" collapsed="false">
      <c r="A272" s="0" t="s">
        <v>782</v>
      </c>
      <c r="B272" s="0" t="s">
        <v>791</v>
      </c>
      <c r="C272" s="0" t="s">
        <v>13</v>
      </c>
      <c r="D272" s="0" t="s">
        <v>151</v>
      </c>
      <c r="E272" s="0" t="s">
        <v>792</v>
      </c>
      <c r="F272" s="0" t="s">
        <v>793</v>
      </c>
      <c r="G272" s="0" t="n">
        <f aca="false">HYPERLINK("http://clipc-services.ceda.ac.uk/dreq/u/5fb2c6633cdd98673b7b12d257575460.html","web")</f>
        <v>0</v>
      </c>
      <c r="H272" s="0" t="s">
        <v>794</v>
      </c>
      <c r="I272" s="0" t="s">
        <v>795</v>
      </c>
      <c r="J272" s="0" t="s">
        <v>796</v>
      </c>
      <c r="K272" s="0" t="s">
        <v>797</v>
      </c>
    </row>
    <row r="273" customFormat="false" ht="15" hidden="false" customHeight="false" outlineLevel="0" collapsed="false">
      <c r="A273" s="0" t="s">
        <v>782</v>
      </c>
      <c r="B273" s="0" t="s">
        <v>798</v>
      </c>
      <c r="C273" s="0" t="s">
        <v>13</v>
      </c>
      <c r="D273" s="0" t="s">
        <v>151</v>
      </c>
      <c r="E273" s="0" t="s">
        <v>799</v>
      </c>
      <c r="F273" s="0" t="s">
        <v>153</v>
      </c>
      <c r="G273" s="0" t="n">
        <f aca="false">HYPERLINK("http://clipc-services.ceda.ac.uk/dreq/u/4ffc1f50b844980dbbae006dbcfca869.html","web")</f>
        <v>0</v>
      </c>
      <c r="H273" s="0" t="s">
        <v>786</v>
      </c>
      <c r="I273" s="0" t="s">
        <v>760</v>
      </c>
      <c r="J273" s="0" t="s">
        <v>800</v>
      </c>
      <c r="K273" s="0" t="s">
        <v>797</v>
      </c>
    </row>
    <row r="274" customFormat="false" ht="15" hidden="false" customHeight="false" outlineLevel="0" collapsed="false">
      <c r="A274" s="0" t="s">
        <v>782</v>
      </c>
      <c r="B274" s="0" t="s">
        <v>801</v>
      </c>
      <c r="C274" s="0" t="s">
        <v>13</v>
      </c>
      <c r="D274" s="0" t="s">
        <v>151</v>
      </c>
      <c r="E274" s="0" t="s">
        <v>802</v>
      </c>
      <c r="F274" s="0" t="s">
        <v>13</v>
      </c>
      <c r="G274" s="0" t="n">
        <f aca="false">HYPERLINK("http://clipc-services.ceda.ac.uk/dreq/u/db3d77eebc6dc2fbcab4e0f894e46037.html","web")</f>
        <v>0</v>
      </c>
      <c r="H274" s="0" t="s">
        <v>266</v>
      </c>
      <c r="I274" s="0" t="s">
        <v>803</v>
      </c>
      <c r="J274" s="0" t="s">
        <v>804</v>
      </c>
      <c r="K274" s="0" t="s">
        <v>797</v>
      </c>
    </row>
    <row r="275" customFormat="false" ht="15" hidden="false" customHeight="false" outlineLevel="0" collapsed="false">
      <c r="A275" s="0" t="s">
        <v>782</v>
      </c>
      <c r="B275" s="0" t="s">
        <v>805</v>
      </c>
      <c r="C275" s="0" t="s">
        <v>13</v>
      </c>
      <c r="D275" s="0" t="s">
        <v>151</v>
      </c>
      <c r="E275" s="0" t="s">
        <v>806</v>
      </c>
      <c r="F275" s="0" t="s">
        <v>153</v>
      </c>
      <c r="G275" s="0" t="n">
        <f aca="false">HYPERLINK("http://clipc-services.ceda.ac.uk/dreq/u/ea546e38aa8fc0e021f03e746e1adb10.html","web")</f>
        <v>0</v>
      </c>
      <c r="H275" s="0" t="s">
        <v>786</v>
      </c>
      <c r="I275" s="0" t="s">
        <v>760</v>
      </c>
      <c r="J275" s="0" t="s">
        <v>807</v>
      </c>
      <c r="K275" s="0" t="s">
        <v>797</v>
      </c>
    </row>
    <row r="276" customFormat="false" ht="15" hidden="false" customHeight="false" outlineLevel="0" collapsed="false">
      <c r="A276" s="0" t="s">
        <v>782</v>
      </c>
      <c r="B276" s="0" t="s">
        <v>808</v>
      </c>
      <c r="C276" s="0" t="s">
        <v>13</v>
      </c>
      <c r="D276" s="0" t="s">
        <v>151</v>
      </c>
      <c r="E276" s="0" t="s">
        <v>809</v>
      </c>
      <c r="F276" s="0" t="s">
        <v>153</v>
      </c>
      <c r="G276" s="0" t="n">
        <f aca="false">HYPERLINK("http://clipc-services.ceda.ac.uk/dreq/u/691673a210102ac652eed2b784dd2ab4.html","web")</f>
        <v>0</v>
      </c>
      <c r="H276" s="0" t="s">
        <v>786</v>
      </c>
      <c r="I276" s="0" t="s">
        <v>760</v>
      </c>
      <c r="J276" s="0" t="s">
        <v>810</v>
      </c>
      <c r="K276" s="0" t="s">
        <v>797</v>
      </c>
    </row>
    <row r="277" customFormat="false" ht="15" hidden="false" customHeight="false" outlineLevel="0" collapsed="false">
      <c r="A277" s="0" t="s">
        <v>782</v>
      </c>
      <c r="B277" s="0" t="s">
        <v>811</v>
      </c>
      <c r="C277" s="0" t="s">
        <v>13</v>
      </c>
      <c r="D277" s="0" t="s">
        <v>151</v>
      </c>
      <c r="E277" s="0" t="s">
        <v>812</v>
      </c>
      <c r="F277" s="0" t="s">
        <v>153</v>
      </c>
      <c r="G277" s="0" t="n">
        <f aca="false">HYPERLINK("http://clipc-services.ceda.ac.uk/dreq/u/a4e52f0f3833b395c09c73f1b6f3f748.html","web")</f>
        <v>0</v>
      </c>
      <c r="H277" s="0" t="s">
        <v>786</v>
      </c>
      <c r="I277" s="0" t="s">
        <v>760</v>
      </c>
      <c r="J277" s="0" t="s">
        <v>813</v>
      </c>
      <c r="K277" s="0" t="s">
        <v>797</v>
      </c>
    </row>
    <row r="278" customFormat="false" ht="15" hidden="false" customHeight="false" outlineLevel="0" collapsed="false">
      <c r="A278" s="0" t="s">
        <v>782</v>
      </c>
      <c r="B278" s="0" t="s">
        <v>814</v>
      </c>
      <c r="C278" s="0" t="s">
        <v>13</v>
      </c>
      <c r="D278" s="0" t="s">
        <v>459</v>
      </c>
      <c r="E278" s="0" t="s">
        <v>815</v>
      </c>
      <c r="F278" s="0" t="s">
        <v>13</v>
      </c>
      <c r="G278" s="0" t="n">
        <f aca="false">HYPERLINK("http://clipc-services.ceda.ac.uk/dreq/u/a7cf325e9bf994ade073a1297378a57c.html","web")</f>
        <v>0</v>
      </c>
      <c r="H278" s="0" t="s">
        <v>816</v>
      </c>
      <c r="I278" s="0" t="s">
        <v>343</v>
      </c>
      <c r="J278" s="0" t="s">
        <v>817</v>
      </c>
      <c r="K278" s="0" t="s">
        <v>788</v>
      </c>
    </row>
    <row r="279" customFormat="false" ht="15" hidden="false" customHeight="false" outlineLevel="0" collapsed="false">
      <c r="A279" s="0" t="s">
        <v>782</v>
      </c>
      <c r="B279" s="0" t="s">
        <v>818</v>
      </c>
      <c r="C279" s="0" t="s">
        <v>13</v>
      </c>
      <c r="D279" s="0" t="s">
        <v>459</v>
      </c>
      <c r="E279" s="0" t="s">
        <v>819</v>
      </c>
      <c r="F279" s="0" t="s">
        <v>734</v>
      </c>
      <c r="G279" s="0" t="n">
        <f aca="false">HYPERLINK("http://clipc-services.ceda.ac.uk/dreq/u/cc8f92a2635774d636748ec8007c4bab.html","web")</f>
        <v>0</v>
      </c>
      <c r="H279" s="0" t="s">
        <v>786</v>
      </c>
      <c r="I279" s="0" t="s">
        <v>760</v>
      </c>
      <c r="J279" s="0" t="s">
        <v>820</v>
      </c>
      <c r="K279" s="0" t="s">
        <v>788</v>
      </c>
    </row>
    <row r="280" customFormat="false" ht="15" hidden="false" customHeight="false" outlineLevel="0" collapsed="false">
      <c r="A280" s="0" t="s">
        <v>782</v>
      </c>
      <c r="B280" s="0" t="s">
        <v>821</v>
      </c>
      <c r="C280" s="0" t="s">
        <v>13</v>
      </c>
      <c r="D280" s="0" t="s">
        <v>459</v>
      </c>
      <c r="E280" s="0" t="s">
        <v>822</v>
      </c>
      <c r="F280" s="0" t="s">
        <v>74</v>
      </c>
      <c r="G280" s="0" t="n">
        <f aca="false">HYPERLINK("http://clipc-services.ceda.ac.uk/dreq/u/2b133ea2-1b42-11e6-a696-35cd2d8034df.html","web")</f>
        <v>0</v>
      </c>
      <c r="H280" s="0" t="s">
        <v>786</v>
      </c>
      <c r="I280" s="0" t="s">
        <v>760</v>
      </c>
      <c r="J280" s="0" t="s">
        <v>823</v>
      </c>
      <c r="K280" s="0" t="s">
        <v>788</v>
      </c>
    </row>
    <row r="281" customFormat="false" ht="15" hidden="false" customHeight="false" outlineLevel="0" collapsed="false">
      <c r="A281" s="0" t="s">
        <v>782</v>
      </c>
      <c r="B281" s="0" t="s">
        <v>756</v>
      </c>
      <c r="C281" s="0" t="s">
        <v>13</v>
      </c>
      <c r="D281" s="0" t="s">
        <v>459</v>
      </c>
      <c r="E281" s="0" t="s">
        <v>758</v>
      </c>
      <c r="F281" s="0" t="s">
        <v>734</v>
      </c>
      <c r="G281" s="0" t="n">
        <f aca="false">HYPERLINK("http://clipc-services.ceda.ac.uk/dreq/u/942125e5a461fef57b1477b9a2bd5fa0.html","web")</f>
        <v>0</v>
      </c>
      <c r="H281" s="0" t="s">
        <v>759</v>
      </c>
      <c r="I281" s="0" t="s">
        <v>760</v>
      </c>
      <c r="J281" s="0" t="s">
        <v>761</v>
      </c>
      <c r="K281" s="0" t="s">
        <v>788</v>
      </c>
    </row>
    <row r="282" customFormat="false" ht="15" hidden="false" customHeight="false" outlineLevel="0" collapsed="false">
      <c r="A282" s="0" t="s">
        <v>782</v>
      </c>
      <c r="B282" s="0" t="s">
        <v>824</v>
      </c>
      <c r="C282" s="0" t="s">
        <v>13</v>
      </c>
      <c r="D282" s="0" t="s">
        <v>459</v>
      </c>
      <c r="E282" s="0" t="s">
        <v>825</v>
      </c>
      <c r="F282" s="0" t="s">
        <v>734</v>
      </c>
      <c r="G282" s="0" t="n">
        <f aca="false">HYPERLINK("http://clipc-services.ceda.ac.uk/dreq/u/97bf948c-b896-11e6-a189-5404a60d96b5.html","web")</f>
        <v>0</v>
      </c>
      <c r="H282" s="0" t="s">
        <v>342</v>
      </c>
      <c r="I282" s="0" t="s">
        <v>343</v>
      </c>
      <c r="J282" s="0" t="s">
        <v>826</v>
      </c>
      <c r="K282" s="0" t="s">
        <v>788</v>
      </c>
    </row>
    <row r="283" customFormat="false" ht="15" hidden="false" customHeight="false" outlineLevel="0" collapsed="false">
      <c r="A283" s="0" t="s">
        <v>782</v>
      </c>
      <c r="B283" s="0" t="s">
        <v>827</v>
      </c>
      <c r="C283" s="0" t="s">
        <v>13</v>
      </c>
      <c r="D283" s="0" t="s">
        <v>828</v>
      </c>
      <c r="E283" s="0" t="s">
        <v>829</v>
      </c>
      <c r="F283" s="0" t="s">
        <v>13</v>
      </c>
      <c r="G283" s="0" t="n">
        <f aca="false">HYPERLINK("http://clipc-services.ceda.ac.uk/dreq/u/a0c10a4b65d3b79db581a649058a08b1.html","web")</f>
        <v>0</v>
      </c>
      <c r="H283" s="0" t="s">
        <v>786</v>
      </c>
      <c r="I283" s="0" t="s">
        <v>760</v>
      </c>
      <c r="J283" s="0" t="s">
        <v>830</v>
      </c>
      <c r="K283" s="0" t="s">
        <v>831</v>
      </c>
    </row>
    <row r="284" customFormat="false" ht="15" hidden="false" customHeight="false" outlineLevel="0" collapsed="false">
      <c r="A284" s="0" t="s">
        <v>782</v>
      </c>
      <c r="B284" s="0" t="s">
        <v>832</v>
      </c>
      <c r="C284" s="0" t="s">
        <v>13</v>
      </c>
      <c r="D284" s="0" t="s">
        <v>828</v>
      </c>
      <c r="E284" s="0" t="s">
        <v>833</v>
      </c>
      <c r="F284" s="0" t="s">
        <v>13</v>
      </c>
      <c r="G284" s="0" t="n">
        <f aca="false">HYPERLINK("http://clipc-services.ceda.ac.uk/dreq/u/c9a72dd6-c5f0-11e6-ac20-5404a60d96b5.html","web")</f>
        <v>0</v>
      </c>
      <c r="H284" s="0" t="s">
        <v>342</v>
      </c>
      <c r="I284" s="0" t="s">
        <v>343</v>
      </c>
      <c r="J284" s="0" t="s">
        <v>834</v>
      </c>
      <c r="K284" s="0" t="s">
        <v>797</v>
      </c>
    </row>
    <row r="285" customFormat="false" ht="15" hidden="false" customHeight="false" outlineLevel="0" collapsed="false">
      <c r="A285" s="0" t="s">
        <v>782</v>
      </c>
      <c r="B285" s="0" t="s">
        <v>835</v>
      </c>
      <c r="C285" s="0" t="s">
        <v>13</v>
      </c>
      <c r="D285" s="0" t="s">
        <v>459</v>
      </c>
      <c r="E285" s="0" t="s">
        <v>836</v>
      </c>
      <c r="F285" s="0" t="s">
        <v>378</v>
      </c>
      <c r="G285" s="0" t="n">
        <f aca="false">HYPERLINK("http://clipc-services.ceda.ac.uk/dreq/u/a2609abee6ecd5d535a48e29ae70e852.html","web")</f>
        <v>0</v>
      </c>
      <c r="H285" s="0" t="s">
        <v>786</v>
      </c>
      <c r="I285" s="0" t="s">
        <v>760</v>
      </c>
      <c r="J285" s="0" t="s">
        <v>837</v>
      </c>
      <c r="K285" s="0" t="s">
        <v>788</v>
      </c>
    </row>
    <row r="286" customFormat="false" ht="15" hidden="false" customHeight="false" outlineLevel="0" collapsed="false">
      <c r="A286" s="0" t="s">
        <v>782</v>
      </c>
      <c r="B286" s="0" t="s">
        <v>838</v>
      </c>
      <c r="C286" s="0" t="s">
        <v>13</v>
      </c>
      <c r="D286" s="0" t="s">
        <v>151</v>
      </c>
      <c r="E286" s="0" t="s">
        <v>839</v>
      </c>
      <c r="F286" s="0" t="s">
        <v>840</v>
      </c>
      <c r="G286" s="0" t="n">
        <f aca="false">HYPERLINK("http://clipc-services.ceda.ac.uk/dreq/u/c9a5b6b8-c5f0-11e6-ac20-5404a60d96b5.html","web")</f>
        <v>0</v>
      </c>
      <c r="H286" s="0" t="s">
        <v>342</v>
      </c>
      <c r="I286" s="0" t="s">
        <v>841</v>
      </c>
      <c r="J286" s="0" t="s">
        <v>842</v>
      </c>
      <c r="K286" s="0" t="s">
        <v>797</v>
      </c>
    </row>
    <row r="287" customFormat="false" ht="15" hidden="false" customHeight="false" outlineLevel="0" collapsed="false">
      <c r="A287" s="0" t="s">
        <v>782</v>
      </c>
      <c r="B287" s="0" t="s">
        <v>843</v>
      </c>
      <c r="C287" s="0" t="s">
        <v>13</v>
      </c>
      <c r="D287" s="0" t="s">
        <v>151</v>
      </c>
      <c r="E287" s="0" t="s">
        <v>844</v>
      </c>
      <c r="F287" s="0" t="s">
        <v>41</v>
      </c>
      <c r="G287" s="0" t="n">
        <f aca="false">HYPERLINK("http://clipc-services.ceda.ac.uk/dreq/u/83d1d066c3325c7402b6265eee068056.html","web")</f>
        <v>0</v>
      </c>
      <c r="H287" s="0" t="s">
        <v>845</v>
      </c>
      <c r="I287" s="0" t="s">
        <v>795</v>
      </c>
      <c r="J287" s="0" t="s">
        <v>846</v>
      </c>
      <c r="K287" s="0" t="s">
        <v>847</v>
      </c>
    </row>
    <row r="288" customFormat="false" ht="15" hidden="false" customHeight="false" outlineLevel="0" collapsed="false">
      <c r="A288" s="0" t="s">
        <v>782</v>
      </c>
      <c r="B288" s="0" t="s">
        <v>715</v>
      </c>
      <c r="C288" s="0" t="s">
        <v>13</v>
      </c>
      <c r="D288" s="0" t="s">
        <v>459</v>
      </c>
      <c r="E288" s="0" t="s">
        <v>716</v>
      </c>
      <c r="F288" s="0" t="s">
        <v>391</v>
      </c>
      <c r="G288" s="0" t="n">
        <f aca="false">HYPERLINK("http://clipc-services.ceda.ac.uk/dreq/u/5917483c-9e49-11e5-803c-0d0b866b59f3.html","web")</f>
        <v>0</v>
      </c>
      <c r="H288" s="0" t="s">
        <v>717</v>
      </c>
      <c r="I288" s="0" t="s">
        <v>56</v>
      </c>
      <c r="J288" s="0" t="s">
        <v>718</v>
      </c>
      <c r="K288" s="0" t="s">
        <v>848</v>
      </c>
    </row>
    <row r="289" customFormat="false" ht="15" hidden="false" customHeight="false" outlineLevel="0" collapsed="false">
      <c r="A289" s="0" t="s">
        <v>782</v>
      </c>
      <c r="B289" s="0" t="s">
        <v>722</v>
      </c>
      <c r="C289" s="0" t="s">
        <v>13</v>
      </c>
      <c r="D289" s="0" t="s">
        <v>459</v>
      </c>
      <c r="E289" s="0" t="s">
        <v>723</v>
      </c>
      <c r="F289" s="0" t="s">
        <v>391</v>
      </c>
      <c r="G289" s="0" t="n">
        <f aca="false">HYPERLINK("http://clipc-services.ceda.ac.uk/dreq/u/59173c0c-9e49-11e5-803c-0d0b866b59f3.html","web")</f>
        <v>0</v>
      </c>
      <c r="H289" s="0" t="s">
        <v>717</v>
      </c>
      <c r="I289" s="0" t="s">
        <v>56</v>
      </c>
      <c r="J289" s="0" t="s">
        <v>724</v>
      </c>
      <c r="K289" s="0" t="s">
        <v>849</v>
      </c>
    </row>
    <row r="290" customFormat="false" ht="15" hidden="false" customHeight="false" outlineLevel="0" collapsed="false">
      <c r="A290" s="0" t="s">
        <v>782</v>
      </c>
      <c r="B290" s="0" t="s">
        <v>850</v>
      </c>
      <c r="C290" s="0" t="s">
        <v>13</v>
      </c>
      <c r="D290" s="0" t="s">
        <v>151</v>
      </c>
      <c r="E290" s="0" t="s">
        <v>851</v>
      </c>
      <c r="F290" s="0" t="s">
        <v>852</v>
      </c>
      <c r="G290" s="0" t="n">
        <f aca="false">HYPERLINK("http://clipc-services.ceda.ac.uk/dreq/u/c26eed24b27782de78cfab86e3d3b2d2.html","web")</f>
        <v>0</v>
      </c>
      <c r="H290" s="0" t="s">
        <v>853</v>
      </c>
      <c r="I290" s="0" t="s">
        <v>854</v>
      </c>
      <c r="J290" s="0" t="s">
        <v>855</v>
      </c>
      <c r="K290" s="0" t="s">
        <v>797</v>
      </c>
    </row>
    <row r="292" customFormat="false" ht="15" hidden="false" customHeight="false" outlineLevel="0" collapsed="false">
      <c r="A292" s="0" t="s">
        <v>856</v>
      </c>
      <c r="B292" s="0" t="s">
        <v>857</v>
      </c>
      <c r="C292" s="0" t="s">
        <v>13</v>
      </c>
      <c r="D292" s="0" t="s">
        <v>858</v>
      </c>
      <c r="E292" s="0" t="s">
        <v>859</v>
      </c>
      <c r="F292" s="0" t="s">
        <v>13</v>
      </c>
      <c r="G292" s="0" t="n">
        <f aca="false">HYPERLINK("http://clipc-services.ceda.ac.uk/dreq/u/b089240c-a0da-11e6-bc63-ac72891c3257.html","web")</f>
        <v>0</v>
      </c>
      <c r="H292" s="0" t="s">
        <v>860</v>
      </c>
      <c r="I292" s="0" t="s">
        <v>56</v>
      </c>
      <c r="J292" s="0" t="s">
        <v>861</v>
      </c>
      <c r="K292" s="0" t="s">
        <v>862</v>
      </c>
    </row>
    <row r="293" customFormat="false" ht="15" hidden="false" customHeight="false" outlineLevel="0" collapsed="false">
      <c r="A293" s="0" t="s">
        <v>856</v>
      </c>
      <c r="B293" s="0" t="s">
        <v>863</v>
      </c>
      <c r="C293" s="0" t="s">
        <v>13</v>
      </c>
      <c r="D293" s="0" t="s">
        <v>858</v>
      </c>
      <c r="E293" s="0" t="s">
        <v>864</v>
      </c>
      <c r="F293" s="0" t="s">
        <v>13</v>
      </c>
      <c r="G293" s="0" t="n">
        <f aca="false">HYPERLINK("http://clipc-services.ceda.ac.uk/dreq/u/afd8ba4a-a0da-11e6-bc63-ac72891c3257.html","web")</f>
        <v>0</v>
      </c>
      <c r="H293" s="0" t="s">
        <v>860</v>
      </c>
      <c r="I293" s="0" t="s">
        <v>56</v>
      </c>
      <c r="J293" s="0" t="s">
        <v>865</v>
      </c>
      <c r="K293" s="0" t="s">
        <v>862</v>
      </c>
    </row>
    <row r="294" customFormat="false" ht="15" hidden="false" customHeight="false" outlineLevel="0" collapsed="false">
      <c r="A294" s="0" t="s">
        <v>856</v>
      </c>
      <c r="B294" s="0" t="s">
        <v>866</v>
      </c>
      <c r="C294" s="0" t="s">
        <v>13</v>
      </c>
      <c r="D294" s="0" t="s">
        <v>858</v>
      </c>
      <c r="E294" s="0" t="s">
        <v>867</v>
      </c>
      <c r="F294" s="0" t="s">
        <v>13</v>
      </c>
      <c r="G294" s="0" t="n">
        <f aca="false">HYPERLINK("http://clipc-services.ceda.ac.uk/dreq/u/b02eb8b4-a0da-11e6-bc63-ac72891c3257.html","web")</f>
        <v>0</v>
      </c>
      <c r="H294" s="0" t="s">
        <v>860</v>
      </c>
      <c r="I294" s="0" t="s">
        <v>56</v>
      </c>
      <c r="J294" s="0" t="s">
        <v>868</v>
      </c>
      <c r="K294" s="0" t="s">
        <v>862</v>
      </c>
    </row>
    <row r="295" customFormat="false" ht="15" hidden="false" customHeight="false" outlineLevel="0" collapsed="false">
      <c r="A295" s="0" t="s">
        <v>856</v>
      </c>
      <c r="B295" s="0" t="s">
        <v>869</v>
      </c>
      <c r="C295" s="0" t="s">
        <v>13</v>
      </c>
      <c r="D295" s="0" t="s">
        <v>870</v>
      </c>
      <c r="E295" s="0" t="s">
        <v>871</v>
      </c>
      <c r="F295" s="0" t="s">
        <v>13</v>
      </c>
      <c r="G295" s="0" t="n">
        <f aca="false">HYPERLINK("http://clipc-services.ceda.ac.uk/dreq/u/59139cfa-9e49-11e5-803c-0d0b866b59f3.html","web")</f>
        <v>0</v>
      </c>
      <c r="H295" s="0" t="s">
        <v>860</v>
      </c>
      <c r="I295" s="0" t="s">
        <v>56</v>
      </c>
      <c r="J295" s="0" t="s">
        <v>872</v>
      </c>
      <c r="K295" s="0" t="s">
        <v>862</v>
      </c>
    </row>
    <row r="296" customFormat="false" ht="15" hidden="false" customHeight="false" outlineLevel="0" collapsed="false">
      <c r="A296" s="0" t="s">
        <v>856</v>
      </c>
      <c r="B296" s="0" t="s">
        <v>873</v>
      </c>
      <c r="C296" s="0" t="s">
        <v>13</v>
      </c>
      <c r="D296" s="0" t="s">
        <v>870</v>
      </c>
      <c r="E296" s="0" t="s">
        <v>874</v>
      </c>
      <c r="F296" s="0" t="s">
        <v>13</v>
      </c>
      <c r="G296" s="0" t="n">
        <f aca="false">HYPERLINK("http://clipc-services.ceda.ac.uk/dreq/u/590f3f16-9e49-11e5-803c-0d0b866b59f3.html","web")</f>
        <v>0</v>
      </c>
      <c r="H296" s="0" t="s">
        <v>860</v>
      </c>
      <c r="I296" s="0" t="s">
        <v>56</v>
      </c>
      <c r="J296" s="0" t="s">
        <v>875</v>
      </c>
      <c r="K296" s="0" t="s">
        <v>862</v>
      </c>
    </row>
    <row r="297" customFormat="false" ht="15" hidden="false" customHeight="false" outlineLevel="0" collapsed="false">
      <c r="A297" s="0" t="s">
        <v>856</v>
      </c>
      <c r="B297" s="0" t="s">
        <v>241</v>
      </c>
      <c r="C297" s="0" t="s">
        <v>13</v>
      </c>
      <c r="D297" s="0" t="s">
        <v>876</v>
      </c>
      <c r="E297" s="0" t="s">
        <v>243</v>
      </c>
      <c r="F297" s="0" t="s">
        <v>16</v>
      </c>
      <c r="G297" s="0" t="n">
        <f aca="false">HYPERLINK("http://clipc-services.ceda.ac.uk/dreq/u/400e5707b65c01e31f2ec6a59dd3983b.html","web")</f>
        <v>0</v>
      </c>
      <c r="H297" s="0" t="s">
        <v>244</v>
      </c>
      <c r="I297" s="0" t="s">
        <v>245</v>
      </c>
      <c r="J297" s="0" t="s">
        <v>246</v>
      </c>
      <c r="K297" s="0" t="s">
        <v>877</v>
      </c>
    </row>
    <row r="298" customFormat="false" ht="15" hidden="false" customHeight="false" outlineLevel="0" collapsed="false">
      <c r="A298" s="0" t="s">
        <v>856</v>
      </c>
      <c r="B298" s="0" t="s">
        <v>247</v>
      </c>
      <c r="C298" s="0" t="s">
        <v>32</v>
      </c>
      <c r="D298" s="0" t="s">
        <v>878</v>
      </c>
      <c r="E298" s="0" t="s">
        <v>249</v>
      </c>
      <c r="F298" s="0" t="s">
        <v>16</v>
      </c>
      <c r="G298" s="0" t="n">
        <f aca="false">HYPERLINK("http://clipc-services.ceda.ac.uk/dreq/u/fa7666d61b92de5bad1ad76561b8b850.html","web")</f>
        <v>0</v>
      </c>
      <c r="H298" s="0" t="s">
        <v>244</v>
      </c>
      <c r="I298" s="0" t="s">
        <v>245</v>
      </c>
      <c r="J298" s="0" t="s">
        <v>250</v>
      </c>
      <c r="K298" s="0" t="s">
        <v>235</v>
      </c>
    </row>
    <row r="299" customFormat="false" ht="15" hidden="false" customHeight="false" outlineLevel="0" collapsed="false">
      <c r="A299" s="0" t="s">
        <v>856</v>
      </c>
      <c r="B299" s="0" t="s">
        <v>756</v>
      </c>
      <c r="C299" s="0" t="s">
        <v>13</v>
      </c>
      <c r="D299" s="0" t="s">
        <v>879</v>
      </c>
      <c r="E299" s="0" t="s">
        <v>758</v>
      </c>
      <c r="F299" s="0" t="s">
        <v>734</v>
      </c>
      <c r="G299" s="0" t="n">
        <f aca="false">HYPERLINK("http://clipc-services.ceda.ac.uk/dreq/u/942125e5a461fef57b1477b9a2bd5fa0.html","web")</f>
        <v>0</v>
      </c>
      <c r="H299" s="0" t="s">
        <v>759</v>
      </c>
      <c r="I299" s="0" t="s">
        <v>760</v>
      </c>
      <c r="J299" s="0" t="s">
        <v>761</v>
      </c>
      <c r="K299" s="0" t="s">
        <v>862</v>
      </c>
    </row>
    <row r="300" customFormat="false" ht="15" hidden="false" customHeight="false" outlineLevel="0" collapsed="false">
      <c r="A300" s="0" t="s">
        <v>856</v>
      </c>
      <c r="B300" s="0" t="s">
        <v>880</v>
      </c>
      <c r="C300" s="0" t="s">
        <v>13</v>
      </c>
      <c r="D300" s="0" t="s">
        <v>881</v>
      </c>
      <c r="E300" s="0" t="s">
        <v>882</v>
      </c>
      <c r="F300" s="0" t="s">
        <v>13</v>
      </c>
      <c r="G300" s="0" t="n">
        <f aca="false">HYPERLINK("http://clipc-services.ceda.ac.uk/dreq/u/a06b8e83250b870d9f39dc1f6534efcb.html","web")</f>
        <v>0</v>
      </c>
      <c r="H300" s="0" t="s">
        <v>883</v>
      </c>
      <c r="I300" s="0" t="s">
        <v>245</v>
      </c>
      <c r="J300" s="0" t="s">
        <v>884</v>
      </c>
      <c r="K300" s="0" t="s">
        <v>877</v>
      </c>
    </row>
    <row r="301" customFormat="false" ht="15" hidden="false" customHeight="false" outlineLevel="0" collapsed="false">
      <c r="A301" s="0" t="s">
        <v>856</v>
      </c>
      <c r="B301" s="0" t="s">
        <v>363</v>
      </c>
      <c r="C301" s="0" t="s">
        <v>13</v>
      </c>
      <c r="D301" s="0" t="s">
        <v>885</v>
      </c>
      <c r="E301" s="0" t="s">
        <v>364</v>
      </c>
      <c r="F301" s="0" t="s">
        <v>348</v>
      </c>
      <c r="G301" s="0" t="n">
        <f aca="false">HYPERLINK("http://clipc-services.ceda.ac.uk/dreq/u/38806cec3ba894d7745fada80c9f6fe6.html","web")</f>
        <v>0</v>
      </c>
      <c r="H301" s="0" t="s">
        <v>365</v>
      </c>
      <c r="I301" s="0" t="s">
        <v>56</v>
      </c>
      <c r="J301" s="0" t="s">
        <v>366</v>
      </c>
      <c r="K301" s="0" t="s">
        <v>862</v>
      </c>
    </row>
    <row r="302" customFormat="false" ht="15" hidden="false" customHeight="false" outlineLevel="0" collapsed="false">
      <c r="A302" s="0" t="s">
        <v>856</v>
      </c>
      <c r="B302" s="0" t="s">
        <v>886</v>
      </c>
      <c r="C302" s="0" t="s">
        <v>13</v>
      </c>
      <c r="D302" s="0" t="s">
        <v>885</v>
      </c>
      <c r="E302" s="0" t="s">
        <v>887</v>
      </c>
      <c r="F302" s="0" t="s">
        <v>348</v>
      </c>
      <c r="G302" s="0" t="n">
        <f aca="false">HYPERLINK("http://clipc-services.ceda.ac.uk/dreq/u/ea83846e-a0de-11e6-bc63-ac72891c3257.html","web")</f>
        <v>0</v>
      </c>
      <c r="H302" s="0" t="s">
        <v>365</v>
      </c>
      <c r="I302" s="0" t="s">
        <v>56</v>
      </c>
      <c r="J302" s="0" t="s">
        <v>888</v>
      </c>
      <c r="K302" s="0" t="s">
        <v>862</v>
      </c>
    </row>
    <row r="303" customFormat="false" ht="15" hidden="false" customHeight="false" outlineLevel="0" collapsed="false">
      <c r="A303" s="0" t="s">
        <v>856</v>
      </c>
      <c r="B303" s="0" t="s">
        <v>889</v>
      </c>
      <c r="C303" s="0" t="s">
        <v>13</v>
      </c>
      <c r="D303" s="0" t="s">
        <v>890</v>
      </c>
      <c r="E303" s="0" t="s">
        <v>891</v>
      </c>
      <c r="F303" s="0" t="s">
        <v>348</v>
      </c>
      <c r="G303" s="0" t="n">
        <f aca="false">HYPERLINK("http://clipc-services.ceda.ac.uk/dreq/u/eb28c564-a0de-11e6-bc63-ac72891c3257.html","web")</f>
        <v>0</v>
      </c>
      <c r="H303" s="0" t="s">
        <v>860</v>
      </c>
      <c r="I303" s="0" t="s">
        <v>56</v>
      </c>
      <c r="J303" s="0" t="s">
        <v>888</v>
      </c>
      <c r="K303" s="0" t="s">
        <v>862</v>
      </c>
    </row>
    <row r="304" customFormat="false" ht="15" hidden="false" customHeight="false" outlineLevel="0" collapsed="false">
      <c r="A304" s="0" t="s">
        <v>856</v>
      </c>
      <c r="B304" s="0" t="s">
        <v>892</v>
      </c>
      <c r="C304" s="0" t="s">
        <v>13</v>
      </c>
      <c r="D304" s="0" t="s">
        <v>890</v>
      </c>
      <c r="E304" s="0" t="s">
        <v>893</v>
      </c>
      <c r="F304" s="0" t="s">
        <v>348</v>
      </c>
      <c r="G304" s="0" t="n">
        <f aca="false">HYPERLINK("http://clipc-services.ceda.ac.uk/dreq/u/ebd63780-a0de-11e6-bc63-ac72891c3257.html","web")</f>
        <v>0</v>
      </c>
      <c r="H304" s="0" t="s">
        <v>860</v>
      </c>
      <c r="I304" s="0" t="s">
        <v>56</v>
      </c>
      <c r="J304" s="0" t="s">
        <v>894</v>
      </c>
      <c r="K304" s="0" t="s">
        <v>862</v>
      </c>
    </row>
    <row r="305" customFormat="false" ht="15" hidden="false" customHeight="false" outlineLevel="0" collapsed="false">
      <c r="A305" s="0" t="s">
        <v>856</v>
      </c>
      <c r="B305" s="0" t="s">
        <v>895</v>
      </c>
      <c r="C305" s="0" t="s">
        <v>13</v>
      </c>
      <c r="D305" s="0" t="s">
        <v>896</v>
      </c>
      <c r="E305" s="0" t="s">
        <v>897</v>
      </c>
      <c r="F305" s="0" t="s">
        <v>348</v>
      </c>
      <c r="G305" s="0" t="n">
        <f aca="false">HYPERLINK("http://clipc-services.ceda.ac.uk/dreq/u/590daf66-9e49-11e5-803c-0d0b866b59f3.html","web")</f>
        <v>0</v>
      </c>
      <c r="H305" s="0" t="s">
        <v>898</v>
      </c>
      <c r="I305" s="0" t="s">
        <v>56</v>
      </c>
      <c r="J305" s="0" t="s">
        <v>899</v>
      </c>
      <c r="K305" s="0" t="s">
        <v>862</v>
      </c>
    </row>
    <row r="306" customFormat="false" ht="15" hidden="false" customHeight="false" outlineLevel="0" collapsed="false">
      <c r="A306" s="0" t="s">
        <v>856</v>
      </c>
      <c r="B306" s="0" t="s">
        <v>900</v>
      </c>
      <c r="C306" s="0" t="s">
        <v>13</v>
      </c>
      <c r="D306" s="0" t="s">
        <v>870</v>
      </c>
      <c r="E306" s="0" t="s">
        <v>901</v>
      </c>
      <c r="F306" s="0" t="s">
        <v>348</v>
      </c>
      <c r="G306" s="0" t="n">
        <f aca="false">HYPERLINK("http://clipc-services.ceda.ac.uk/dreq/u/386fb33a-a0dc-11e6-bc63-ac72891c3257.html","web")</f>
        <v>0</v>
      </c>
      <c r="H306" s="0" t="s">
        <v>860</v>
      </c>
      <c r="I306" s="0" t="s">
        <v>56</v>
      </c>
      <c r="J306" s="0" t="s">
        <v>902</v>
      </c>
      <c r="K306" s="0" t="s">
        <v>862</v>
      </c>
    </row>
    <row r="307" customFormat="false" ht="15" hidden="false" customHeight="false" outlineLevel="0" collapsed="false">
      <c r="A307" s="0" t="s">
        <v>856</v>
      </c>
      <c r="B307" s="0" t="s">
        <v>903</v>
      </c>
      <c r="C307" s="0" t="s">
        <v>13</v>
      </c>
      <c r="D307" s="0" t="s">
        <v>870</v>
      </c>
      <c r="E307" s="0" t="s">
        <v>904</v>
      </c>
      <c r="F307" s="0" t="s">
        <v>348</v>
      </c>
      <c r="G307" s="0" t="n">
        <f aca="false">HYPERLINK("http://clipc-services.ceda.ac.uk/dreq/u/398683d4-a0dc-11e6-bc63-ac72891c3257.html","web")</f>
        <v>0</v>
      </c>
      <c r="H307" s="0" t="s">
        <v>860</v>
      </c>
      <c r="I307" s="0" t="s">
        <v>56</v>
      </c>
      <c r="J307" s="0" t="s">
        <v>894</v>
      </c>
      <c r="K307" s="0" t="s">
        <v>862</v>
      </c>
    </row>
    <row r="308" customFormat="false" ht="15" hidden="false" customHeight="false" outlineLevel="0" collapsed="false">
      <c r="A308" s="0" t="s">
        <v>856</v>
      </c>
      <c r="B308" s="0" t="s">
        <v>370</v>
      </c>
      <c r="C308" s="0" t="s">
        <v>13</v>
      </c>
      <c r="D308" s="0" t="s">
        <v>885</v>
      </c>
      <c r="E308" s="0" t="s">
        <v>371</v>
      </c>
      <c r="F308" s="0" t="s">
        <v>348</v>
      </c>
      <c r="G308" s="0" t="n">
        <f aca="false">HYPERLINK("http://clipc-services.ceda.ac.uk/dreq/u/eb72b66b6365daed79aefeda9d3d30b5.html","web")</f>
        <v>0</v>
      </c>
      <c r="H308" s="0" t="s">
        <v>365</v>
      </c>
      <c r="I308" s="0" t="s">
        <v>56</v>
      </c>
      <c r="J308" s="0" t="s">
        <v>372</v>
      </c>
      <c r="K308" s="0" t="s">
        <v>862</v>
      </c>
    </row>
    <row r="309" customFormat="false" ht="15" hidden="false" customHeight="false" outlineLevel="0" collapsed="false">
      <c r="A309" s="0" t="s">
        <v>856</v>
      </c>
      <c r="B309" s="0" t="s">
        <v>905</v>
      </c>
      <c r="C309" s="0" t="s">
        <v>13</v>
      </c>
      <c r="D309" s="0" t="s">
        <v>885</v>
      </c>
      <c r="E309" s="0" t="s">
        <v>906</v>
      </c>
      <c r="F309" s="0" t="s">
        <v>348</v>
      </c>
      <c r="G309" s="0" t="n">
        <f aca="false">HYPERLINK("http://clipc-services.ceda.ac.uk/dreq/u/ea313ee8-a0de-11e6-bc63-ac72891c3257.html","web")</f>
        <v>0</v>
      </c>
      <c r="H309" s="0" t="s">
        <v>365</v>
      </c>
      <c r="I309" s="0" t="s">
        <v>56</v>
      </c>
      <c r="J309" s="0" t="s">
        <v>888</v>
      </c>
      <c r="K309" s="0" t="s">
        <v>862</v>
      </c>
    </row>
    <row r="310" customFormat="false" ht="15" hidden="false" customHeight="false" outlineLevel="0" collapsed="false">
      <c r="A310" s="0" t="s">
        <v>856</v>
      </c>
      <c r="B310" s="0" t="s">
        <v>907</v>
      </c>
      <c r="C310" s="0" t="s">
        <v>13</v>
      </c>
      <c r="D310" s="0" t="s">
        <v>890</v>
      </c>
      <c r="E310" s="0" t="s">
        <v>908</v>
      </c>
      <c r="F310" s="0" t="s">
        <v>348</v>
      </c>
      <c r="G310" s="0" t="n">
        <f aca="false">HYPERLINK("http://clipc-services.ceda.ac.uk/dreq/u/ead5a730-a0de-11e6-bc63-ac72891c3257.html","web")</f>
        <v>0</v>
      </c>
      <c r="H310" s="0" t="s">
        <v>860</v>
      </c>
      <c r="I310" s="0" t="s">
        <v>56</v>
      </c>
      <c r="J310" s="0" t="s">
        <v>888</v>
      </c>
      <c r="K310" s="0" t="s">
        <v>862</v>
      </c>
    </row>
    <row r="311" customFormat="false" ht="15" hidden="false" customHeight="false" outlineLevel="0" collapsed="false">
      <c r="A311" s="0" t="s">
        <v>856</v>
      </c>
      <c r="B311" s="0" t="s">
        <v>909</v>
      </c>
      <c r="C311" s="0" t="s">
        <v>13</v>
      </c>
      <c r="D311" s="0" t="s">
        <v>890</v>
      </c>
      <c r="E311" s="0" t="s">
        <v>910</v>
      </c>
      <c r="F311" s="0" t="s">
        <v>348</v>
      </c>
      <c r="G311" s="0" t="n">
        <f aca="false">HYPERLINK("http://clipc-services.ceda.ac.uk/dreq/u/eb85339e-a0de-11e6-bc63-ac72891c3257.html","web")</f>
        <v>0</v>
      </c>
      <c r="H311" s="0" t="s">
        <v>860</v>
      </c>
      <c r="I311" s="0" t="s">
        <v>56</v>
      </c>
      <c r="J311" s="0" t="s">
        <v>894</v>
      </c>
      <c r="K311" s="0" t="s">
        <v>862</v>
      </c>
    </row>
    <row r="312" customFormat="false" ht="15" hidden="false" customHeight="false" outlineLevel="0" collapsed="false">
      <c r="A312" s="0" t="s">
        <v>856</v>
      </c>
      <c r="B312" s="0" t="s">
        <v>911</v>
      </c>
      <c r="C312" s="0" t="s">
        <v>13</v>
      </c>
      <c r="D312" s="0" t="s">
        <v>896</v>
      </c>
      <c r="E312" s="0" t="s">
        <v>912</v>
      </c>
      <c r="F312" s="0" t="s">
        <v>348</v>
      </c>
      <c r="G312" s="0" t="n">
        <f aca="false">HYPERLINK("http://clipc-services.ceda.ac.uk/dreq/u/90df05fe3dcd9fe0c9b48aaa74b5e9e.html","web")</f>
        <v>0</v>
      </c>
      <c r="H312" s="0" t="s">
        <v>898</v>
      </c>
      <c r="I312" s="0" t="s">
        <v>56</v>
      </c>
      <c r="J312" s="0" t="s">
        <v>913</v>
      </c>
      <c r="K312" s="0" t="s">
        <v>862</v>
      </c>
    </row>
    <row r="313" customFormat="false" ht="15" hidden="false" customHeight="false" outlineLevel="0" collapsed="false">
      <c r="A313" s="0" t="s">
        <v>856</v>
      </c>
      <c r="B313" s="0" t="s">
        <v>914</v>
      </c>
      <c r="C313" s="0" t="s">
        <v>13</v>
      </c>
      <c r="D313" s="0" t="s">
        <v>870</v>
      </c>
      <c r="E313" s="0" t="s">
        <v>915</v>
      </c>
      <c r="F313" s="0" t="s">
        <v>348</v>
      </c>
      <c r="G313" s="0" t="n">
        <f aca="false">HYPERLINK("http://clipc-services.ceda.ac.uk/dreq/u/38bd2912-a0dc-11e6-bc63-ac72891c3257.html","web")</f>
        <v>0</v>
      </c>
      <c r="H313" s="0" t="s">
        <v>860</v>
      </c>
      <c r="I313" s="0" t="s">
        <v>56</v>
      </c>
      <c r="J313" s="0" t="s">
        <v>916</v>
      </c>
      <c r="K313" s="0" t="s">
        <v>862</v>
      </c>
    </row>
    <row r="314" customFormat="false" ht="15" hidden="false" customHeight="false" outlineLevel="0" collapsed="false">
      <c r="A314" s="0" t="s">
        <v>856</v>
      </c>
      <c r="B314" s="0" t="s">
        <v>917</v>
      </c>
      <c r="C314" s="0" t="s">
        <v>13</v>
      </c>
      <c r="D314" s="0" t="s">
        <v>870</v>
      </c>
      <c r="E314" s="0" t="s">
        <v>918</v>
      </c>
      <c r="F314" s="0" t="s">
        <v>348</v>
      </c>
      <c r="G314" s="0" t="n">
        <f aca="false">HYPERLINK("http://clipc-services.ceda.ac.uk/dreq/u/39d8c78e-a0dc-11e6-bc63-ac72891c3257.html","web")</f>
        <v>0</v>
      </c>
      <c r="H314" s="0" t="s">
        <v>860</v>
      </c>
      <c r="I314" s="0" t="s">
        <v>56</v>
      </c>
      <c r="J314" s="0" t="s">
        <v>894</v>
      </c>
      <c r="K314" s="0" t="s">
        <v>862</v>
      </c>
    </row>
    <row r="315" customFormat="false" ht="15" hidden="false" customHeight="false" outlineLevel="0" collapsed="false">
      <c r="A315" s="0" t="s">
        <v>856</v>
      </c>
      <c r="B315" s="0" t="s">
        <v>919</v>
      </c>
      <c r="C315" s="0" t="s">
        <v>13</v>
      </c>
      <c r="D315" s="0" t="s">
        <v>870</v>
      </c>
      <c r="E315" s="0" t="s">
        <v>920</v>
      </c>
      <c r="F315" s="0" t="s">
        <v>348</v>
      </c>
      <c r="G315" s="0" t="n">
        <f aca="false">HYPERLINK("http://clipc-services.ceda.ac.uk/dreq/u/3819950e-a0dc-11e6-bc63-ac72891c3257.html","web")</f>
        <v>0</v>
      </c>
      <c r="H315" s="0" t="s">
        <v>860</v>
      </c>
      <c r="I315" s="0" t="s">
        <v>56</v>
      </c>
      <c r="J315" s="0" t="s">
        <v>902</v>
      </c>
      <c r="K315" s="0" t="s">
        <v>862</v>
      </c>
    </row>
    <row r="316" customFormat="false" ht="15" hidden="false" customHeight="false" outlineLevel="0" collapsed="false">
      <c r="A316" s="0" t="s">
        <v>856</v>
      </c>
      <c r="B316" s="0" t="s">
        <v>921</v>
      </c>
      <c r="C316" s="0" t="s">
        <v>13</v>
      </c>
      <c r="D316" s="0" t="s">
        <v>870</v>
      </c>
      <c r="E316" s="0" t="s">
        <v>922</v>
      </c>
      <c r="F316" s="0" t="s">
        <v>348</v>
      </c>
      <c r="G316" s="0" t="n">
        <f aca="false">HYPERLINK("http://clipc-services.ceda.ac.uk/dreq/u/3912bdc8-a0dc-11e6-bc63-ac72891c3257.html","web")</f>
        <v>0</v>
      </c>
      <c r="H316" s="0" t="s">
        <v>860</v>
      </c>
      <c r="I316" s="0" t="s">
        <v>56</v>
      </c>
      <c r="J316" s="0" t="s">
        <v>894</v>
      </c>
      <c r="K316" s="0" t="s">
        <v>862</v>
      </c>
    </row>
    <row r="317" customFormat="false" ht="15" hidden="false" customHeight="false" outlineLevel="0" collapsed="false">
      <c r="A317" s="0" t="s">
        <v>856</v>
      </c>
      <c r="B317" s="0" t="s">
        <v>923</v>
      </c>
      <c r="C317" s="0" t="s">
        <v>13</v>
      </c>
      <c r="D317" s="0" t="s">
        <v>870</v>
      </c>
      <c r="E317" s="0" t="s">
        <v>924</v>
      </c>
      <c r="F317" s="0" t="s">
        <v>348</v>
      </c>
      <c r="G317" s="0" t="n">
        <f aca="false">HYPERLINK("http://clipc-services.ceda.ac.uk/dreq/u/af7306dc-a0da-11e6-bc63-ac72891c3257.html","web")</f>
        <v>0</v>
      </c>
      <c r="H317" s="0" t="s">
        <v>860</v>
      </c>
      <c r="I317" s="0" t="s">
        <v>56</v>
      </c>
      <c r="J317" s="0" t="s">
        <v>925</v>
      </c>
      <c r="K317" s="0" t="s">
        <v>862</v>
      </c>
    </row>
    <row r="319" customFormat="false" ht="15" hidden="false" customHeight="false" outlineLevel="0" collapsed="false">
      <c r="A319" s="0" t="s">
        <v>926</v>
      </c>
      <c r="B319" s="0" t="s">
        <v>251</v>
      </c>
      <c r="C319" s="0" t="s">
        <v>69</v>
      </c>
      <c r="D319" s="0" t="s">
        <v>879</v>
      </c>
      <c r="E319" s="0" t="s">
        <v>253</v>
      </c>
      <c r="F319" s="0" t="s">
        <v>153</v>
      </c>
      <c r="G319" s="0" t="n">
        <f aca="false">HYPERLINK("http://clipc-services.ceda.ac.uk/dreq/u/6d790fe4caa7feff46a41ae7b3811e52.html","web")</f>
        <v>0</v>
      </c>
      <c r="H319" s="0" t="s">
        <v>254</v>
      </c>
      <c r="J319" s="0" t="s">
        <v>255</v>
      </c>
      <c r="K319" s="0" t="s">
        <v>731</v>
      </c>
    </row>
    <row r="320" customFormat="false" ht="15" hidden="false" customHeight="false" outlineLevel="0" collapsed="false">
      <c r="A320" s="0" t="s">
        <v>926</v>
      </c>
      <c r="B320" s="0" t="s">
        <v>389</v>
      </c>
      <c r="C320" s="0" t="s">
        <v>69</v>
      </c>
      <c r="D320" s="0" t="s">
        <v>879</v>
      </c>
      <c r="E320" s="0" t="s">
        <v>390</v>
      </c>
      <c r="F320" s="0" t="s">
        <v>391</v>
      </c>
      <c r="G320" s="0" t="n">
        <f aca="false">HYPERLINK("http://clipc-services.ceda.ac.uk/dreq/u/c8b1814845661bcad37910e70a59b285.html","web")</f>
        <v>0</v>
      </c>
      <c r="H320" s="0" t="s">
        <v>392</v>
      </c>
      <c r="I320" s="0" t="s">
        <v>380</v>
      </c>
      <c r="J320" s="0" t="s">
        <v>390</v>
      </c>
      <c r="K320" s="0" t="s">
        <v>731</v>
      </c>
    </row>
    <row r="321" customFormat="false" ht="15" hidden="false" customHeight="false" outlineLevel="0" collapsed="false">
      <c r="A321" s="0" t="s">
        <v>926</v>
      </c>
      <c r="B321" s="0" t="s">
        <v>715</v>
      </c>
      <c r="C321" s="0" t="s">
        <v>69</v>
      </c>
      <c r="D321" s="0" t="s">
        <v>333</v>
      </c>
      <c r="E321" s="0" t="s">
        <v>716</v>
      </c>
      <c r="F321" s="0" t="s">
        <v>391</v>
      </c>
      <c r="G321" s="0" t="n">
        <f aca="false">HYPERLINK("http://clipc-services.ceda.ac.uk/dreq/u/5917483c-9e49-11e5-803c-0d0b866b59f3.html","web")</f>
        <v>0</v>
      </c>
      <c r="H321" s="0" t="s">
        <v>717</v>
      </c>
      <c r="I321" s="0" t="s">
        <v>56</v>
      </c>
      <c r="J321" s="0" t="s">
        <v>718</v>
      </c>
      <c r="K321" s="0" t="s">
        <v>877</v>
      </c>
    </row>
    <row r="322" customFormat="false" ht="15" hidden="false" customHeight="false" outlineLevel="0" collapsed="false">
      <c r="A322" s="0" t="s">
        <v>926</v>
      </c>
      <c r="B322" s="0" t="s">
        <v>719</v>
      </c>
      <c r="C322" s="0" t="s">
        <v>13</v>
      </c>
      <c r="D322" s="0" t="s">
        <v>333</v>
      </c>
      <c r="E322" s="0" t="s">
        <v>720</v>
      </c>
      <c r="F322" s="0" t="s">
        <v>391</v>
      </c>
      <c r="G322" s="0" t="n">
        <f aca="false">HYPERLINK("http://clipc-services.ceda.ac.uk/dreq/u/59170a02-9e49-11e5-803c-0d0b866b59f3.html","web")</f>
        <v>0</v>
      </c>
      <c r="H322" s="0" t="s">
        <v>266</v>
      </c>
      <c r="I322" s="0" t="s">
        <v>239</v>
      </c>
      <c r="J322" s="0" t="s">
        <v>721</v>
      </c>
      <c r="K322" s="0" t="s">
        <v>877</v>
      </c>
    </row>
    <row r="323" customFormat="false" ht="15" hidden="false" customHeight="false" outlineLevel="0" collapsed="false">
      <c r="A323" s="0" t="s">
        <v>926</v>
      </c>
      <c r="B323" s="0" t="s">
        <v>722</v>
      </c>
      <c r="C323" s="0" t="s">
        <v>69</v>
      </c>
      <c r="D323" s="0" t="s">
        <v>333</v>
      </c>
      <c r="E323" s="0" t="s">
        <v>723</v>
      </c>
      <c r="F323" s="0" t="s">
        <v>391</v>
      </c>
      <c r="G323" s="0" t="n">
        <f aca="false">HYPERLINK("http://clipc-services.ceda.ac.uk/dreq/u/59173c0c-9e49-11e5-803c-0d0b866b59f3.html","web")</f>
        <v>0</v>
      </c>
      <c r="H323" s="0" t="s">
        <v>717</v>
      </c>
      <c r="I323" s="0" t="s">
        <v>56</v>
      </c>
      <c r="J323" s="0" t="s">
        <v>724</v>
      </c>
      <c r="K323" s="0" t="s">
        <v>877</v>
      </c>
    </row>
    <row r="324" customFormat="false" ht="15" hidden="false" customHeight="false" outlineLevel="0" collapsed="false">
      <c r="A324" s="0" t="s">
        <v>926</v>
      </c>
      <c r="B324" s="0" t="s">
        <v>725</v>
      </c>
      <c r="C324" s="0" t="s">
        <v>13</v>
      </c>
      <c r="D324" s="0" t="s">
        <v>333</v>
      </c>
      <c r="E324" s="0" t="s">
        <v>726</v>
      </c>
      <c r="F324" s="0" t="s">
        <v>391</v>
      </c>
      <c r="G324" s="0" t="n">
        <f aca="false">HYPERLINK("http://clipc-services.ceda.ac.uk/dreq/u/5913d86e-9e49-11e5-803c-0d0b866b59f3.html","web")</f>
        <v>0</v>
      </c>
      <c r="H324" s="0" t="s">
        <v>266</v>
      </c>
      <c r="I324" s="0" t="s">
        <v>239</v>
      </c>
      <c r="J324" s="0" t="s">
        <v>727</v>
      </c>
      <c r="K324" s="0" t="s">
        <v>877</v>
      </c>
    </row>
    <row r="325" customFormat="false" ht="15" hidden="false" customHeight="false" outlineLevel="0" collapsed="false">
      <c r="A325" s="0" t="s">
        <v>926</v>
      </c>
      <c r="B325" s="0" t="s">
        <v>728</v>
      </c>
      <c r="C325" s="0" t="s">
        <v>13</v>
      </c>
      <c r="D325" s="0" t="s">
        <v>333</v>
      </c>
      <c r="E325" s="0" t="s">
        <v>729</v>
      </c>
      <c r="F325" s="0" t="s">
        <v>391</v>
      </c>
      <c r="G325" s="0" t="n">
        <f aca="false">HYPERLINK("http://clipc-services.ceda.ac.uk/dreq/u/5913d602-9e49-11e5-803c-0d0b866b59f3.html","web")</f>
        <v>0</v>
      </c>
      <c r="H325" s="0" t="s">
        <v>266</v>
      </c>
      <c r="I325" s="0" t="s">
        <v>239</v>
      </c>
      <c r="J325" s="0" t="s">
        <v>730</v>
      </c>
      <c r="K325" s="0" t="s">
        <v>877</v>
      </c>
    </row>
    <row r="327" customFormat="false" ht="15" hidden="false" customHeight="false" outlineLevel="0" collapsed="false">
      <c r="A327" s="0" t="s">
        <v>927</v>
      </c>
      <c r="B327" s="0" t="s">
        <v>801</v>
      </c>
      <c r="C327" s="0" t="s">
        <v>13</v>
      </c>
      <c r="D327" s="0" t="s">
        <v>151</v>
      </c>
      <c r="E327" s="0" t="s">
        <v>802</v>
      </c>
      <c r="F327" s="0" t="s">
        <v>13</v>
      </c>
      <c r="G327" s="0" t="n">
        <f aca="false">HYPERLINK("http://clipc-services.ceda.ac.uk/dreq/u/db3d77eebc6dc2fbcab4e0f894e46037.html","web")</f>
        <v>0</v>
      </c>
      <c r="H327" s="0" t="s">
        <v>266</v>
      </c>
      <c r="I327" s="0" t="s">
        <v>803</v>
      </c>
      <c r="J327" s="0" t="s">
        <v>804</v>
      </c>
      <c r="K327" s="0" t="s">
        <v>58</v>
      </c>
    </row>
    <row r="328" customFormat="false" ht="15" hidden="false" customHeight="false" outlineLevel="0" collapsed="false">
      <c r="A328" s="0" t="s">
        <v>927</v>
      </c>
      <c r="B328" s="0" t="s">
        <v>928</v>
      </c>
      <c r="C328" s="0" t="s">
        <v>13</v>
      </c>
      <c r="D328" s="0" t="s">
        <v>929</v>
      </c>
      <c r="E328" s="0" t="s">
        <v>930</v>
      </c>
      <c r="F328" s="0" t="s">
        <v>296</v>
      </c>
      <c r="G328" s="0" t="n">
        <f aca="false">HYPERLINK("http://clipc-services.ceda.ac.uk/dreq/u/0cde14f7745a201d47b856579bf6e759.html","web")</f>
        <v>0</v>
      </c>
      <c r="H328" s="0" t="s">
        <v>931</v>
      </c>
      <c r="I328" s="0" t="s">
        <v>56</v>
      </c>
      <c r="J328" s="0" t="s">
        <v>932</v>
      </c>
      <c r="K328" s="0" t="s">
        <v>58</v>
      </c>
    </row>
    <row r="329" customFormat="false" ht="15" hidden="false" customHeight="false" outlineLevel="0" collapsed="false">
      <c r="A329" s="0" t="s">
        <v>927</v>
      </c>
      <c r="B329" s="0" t="s">
        <v>933</v>
      </c>
      <c r="C329" s="0" t="s">
        <v>13</v>
      </c>
      <c r="D329" s="0" t="s">
        <v>929</v>
      </c>
      <c r="E329" s="0" t="s">
        <v>934</v>
      </c>
      <c r="F329" s="0" t="s">
        <v>41</v>
      </c>
      <c r="G329" s="0" t="n">
        <f aca="false">HYPERLINK("http://clipc-services.ceda.ac.uk/dreq/u/fc0bedbaf6d676fb85fe189310c871a8.html","web")</f>
        <v>0</v>
      </c>
      <c r="H329" s="0" t="s">
        <v>935</v>
      </c>
      <c r="I329" s="0" t="s">
        <v>56</v>
      </c>
      <c r="J329" s="0" t="s">
        <v>936</v>
      </c>
      <c r="K329" s="0" t="s">
        <v>58</v>
      </c>
    </row>
    <row r="330" customFormat="false" ht="15" hidden="false" customHeight="false" outlineLevel="0" collapsed="false">
      <c r="A330" s="0" t="s">
        <v>927</v>
      </c>
      <c r="B330" s="0" t="s">
        <v>937</v>
      </c>
      <c r="C330" s="0" t="s">
        <v>13</v>
      </c>
      <c r="D330" s="0" t="s">
        <v>938</v>
      </c>
      <c r="E330" s="0" t="s">
        <v>939</v>
      </c>
      <c r="F330" s="0" t="s">
        <v>41</v>
      </c>
      <c r="G330" s="0" t="n">
        <f aca="false">HYPERLINK("http://clipc-services.ceda.ac.uk/dreq/u/b1644981b0abd369ad35fac3fc930873.html","web")</f>
        <v>0</v>
      </c>
      <c r="H330" s="0" t="s">
        <v>940</v>
      </c>
      <c r="I330" s="0" t="s">
        <v>56</v>
      </c>
      <c r="J330" s="0" t="s">
        <v>941</v>
      </c>
      <c r="K330" s="0" t="s">
        <v>58</v>
      </c>
    </row>
    <row r="332" customFormat="false" ht="15" hidden="false" customHeight="false" outlineLevel="0" collapsed="false">
      <c r="A332" s="0" t="s">
        <v>942</v>
      </c>
      <c r="B332" s="0" t="s">
        <v>943</v>
      </c>
      <c r="C332" s="0" t="s">
        <v>69</v>
      </c>
      <c r="D332" s="0" t="s">
        <v>944</v>
      </c>
      <c r="E332" s="0" t="s">
        <v>945</v>
      </c>
      <c r="F332" s="0" t="s">
        <v>335</v>
      </c>
      <c r="G332" s="0" t="n">
        <f aca="false">HYPERLINK("http://clipc-services.ceda.ac.uk/dreq/u/f94930c327a257dddea9ef9d0e260ed3.html","web")</f>
        <v>0</v>
      </c>
      <c r="H332" s="0" t="s">
        <v>190</v>
      </c>
      <c r="I332" s="0" t="s">
        <v>103</v>
      </c>
      <c r="J332" s="0" t="s">
        <v>946</v>
      </c>
      <c r="K332" s="0" t="s">
        <v>947</v>
      </c>
    </row>
    <row r="333" customFormat="false" ht="15" hidden="false" customHeight="false" outlineLevel="0" collapsed="false">
      <c r="A333" s="0" t="s">
        <v>942</v>
      </c>
      <c r="B333" s="0" t="s">
        <v>948</v>
      </c>
      <c r="C333" s="0" t="s">
        <v>69</v>
      </c>
      <c r="D333" s="0" t="s">
        <v>944</v>
      </c>
      <c r="E333" s="0" t="s">
        <v>949</v>
      </c>
      <c r="F333" s="0" t="s">
        <v>335</v>
      </c>
      <c r="G333" s="0" t="n">
        <f aca="false">HYPERLINK("http://clipc-services.ceda.ac.uk/dreq/u/62cb333ec6550e64596f563d114977af.html","web")</f>
        <v>0</v>
      </c>
      <c r="H333" s="0" t="s">
        <v>190</v>
      </c>
      <c r="I333" s="0" t="s">
        <v>103</v>
      </c>
      <c r="J333" s="0" t="s">
        <v>950</v>
      </c>
      <c r="K333" s="0" t="s">
        <v>947</v>
      </c>
    </row>
    <row r="334" customFormat="false" ht="15" hidden="false" customHeight="false" outlineLevel="0" collapsed="false">
      <c r="A334" s="0" t="s">
        <v>942</v>
      </c>
      <c r="B334" s="0" t="s">
        <v>951</v>
      </c>
      <c r="C334" s="0" t="s">
        <v>69</v>
      </c>
      <c r="D334" s="0" t="s">
        <v>944</v>
      </c>
      <c r="E334" s="0" t="s">
        <v>952</v>
      </c>
      <c r="F334" s="0" t="s">
        <v>335</v>
      </c>
      <c r="G334" s="0" t="n">
        <f aca="false">HYPERLINK("http://clipc-services.ceda.ac.uk/dreq/u/4fb426293126d528f2bbf902b6ede847.html","web")</f>
        <v>0</v>
      </c>
      <c r="H334" s="0" t="s">
        <v>190</v>
      </c>
      <c r="I334" s="0" t="s">
        <v>103</v>
      </c>
      <c r="J334" s="0" t="s">
        <v>953</v>
      </c>
      <c r="K334" s="0" t="s">
        <v>947</v>
      </c>
    </row>
    <row r="335" customFormat="false" ht="15" hidden="false" customHeight="false" outlineLevel="0" collapsed="false">
      <c r="A335" s="0" t="s">
        <v>942</v>
      </c>
      <c r="B335" s="0" t="s">
        <v>954</v>
      </c>
      <c r="C335" s="0" t="s">
        <v>69</v>
      </c>
      <c r="D335" s="0" t="s">
        <v>944</v>
      </c>
      <c r="E335" s="0" t="s">
        <v>955</v>
      </c>
      <c r="F335" s="0" t="s">
        <v>348</v>
      </c>
      <c r="G335" s="0" t="n">
        <f aca="false">HYPERLINK("http://clipc-services.ceda.ac.uk/dreq/u/1763f47c438dc252b1317c9861792f50.html","web")</f>
        <v>0</v>
      </c>
      <c r="H335" s="0" t="s">
        <v>190</v>
      </c>
      <c r="I335" s="0" t="s">
        <v>103</v>
      </c>
      <c r="J335" s="0" t="s">
        <v>956</v>
      </c>
      <c r="K335" s="0" t="s">
        <v>947</v>
      </c>
    </row>
    <row r="336" customFormat="false" ht="15" hidden="false" customHeight="false" outlineLevel="0" collapsed="false">
      <c r="A336" s="0" t="s">
        <v>942</v>
      </c>
      <c r="B336" s="0" t="s">
        <v>957</v>
      </c>
      <c r="C336" s="0" t="s">
        <v>69</v>
      </c>
      <c r="D336" s="0" t="s">
        <v>944</v>
      </c>
      <c r="E336" s="0" t="s">
        <v>958</v>
      </c>
      <c r="F336" s="0" t="s">
        <v>348</v>
      </c>
      <c r="G336" s="0" t="n">
        <f aca="false">HYPERLINK("http://clipc-services.ceda.ac.uk/dreq/u/d00cab8104f1a9e853ebfa511d725462.html","web")</f>
        <v>0</v>
      </c>
      <c r="H336" s="0" t="s">
        <v>190</v>
      </c>
      <c r="I336" s="0" t="s">
        <v>103</v>
      </c>
      <c r="J336" s="0" t="s">
        <v>959</v>
      </c>
      <c r="K336" s="0" t="s">
        <v>947</v>
      </c>
    </row>
    <row r="337" customFormat="false" ht="15" hidden="false" customHeight="false" outlineLevel="0" collapsed="false">
      <c r="A337" s="0" t="s">
        <v>942</v>
      </c>
      <c r="B337" s="0" t="s">
        <v>257</v>
      </c>
      <c r="C337" s="0" t="s">
        <v>13</v>
      </c>
      <c r="D337" s="0" t="s">
        <v>944</v>
      </c>
      <c r="E337" s="0" t="s">
        <v>258</v>
      </c>
      <c r="F337" s="0" t="s">
        <v>41</v>
      </c>
      <c r="G337" s="0" t="n">
        <f aca="false">HYPERLINK("http://clipc-services.ceda.ac.uk/dreq/u/44471dd9799293cef70ac63fcdd2476e.html","web")</f>
        <v>0</v>
      </c>
      <c r="I337" s="0" t="s">
        <v>43</v>
      </c>
      <c r="J337" s="0" t="s">
        <v>259</v>
      </c>
      <c r="K337" s="0" t="s">
        <v>947</v>
      </c>
    </row>
    <row r="339" customFormat="false" ht="15" hidden="false" customHeight="false" outlineLevel="0" collapsed="false">
      <c r="A339" s="0" t="s">
        <v>960</v>
      </c>
      <c r="B339" s="0" t="s">
        <v>961</v>
      </c>
      <c r="C339" s="0" t="s">
        <v>13</v>
      </c>
      <c r="D339" s="0" t="s">
        <v>33</v>
      </c>
      <c r="E339" s="0" t="s">
        <v>962</v>
      </c>
      <c r="G339" s="0" t="n">
        <f aca="false">HYPERLINK("http://clipc-services.ceda.ac.uk/dreq/u/962e51dc-267b-11e7-96a5-ac72891c3257.html","web")</f>
        <v>0</v>
      </c>
      <c r="H339" s="0" t="s">
        <v>963</v>
      </c>
      <c r="I339" s="0" t="s">
        <v>330</v>
      </c>
      <c r="J339" s="0" t="s">
        <v>964</v>
      </c>
      <c r="K339" s="0" t="s">
        <v>965</v>
      </c>
    </row>
    <row r="340" customFormat="false" ht="15" hidden="false" customHeight="false" outlineLevel="0" collapsed="false">
      <c r="A340" s="0" t="s">
        <v>960</v>
      </c>
      <c r="B340" s="0" t="s">
        <v>213</v>
      </c>
      <c r="C340" s="0" t="s">
        <v>13</v>
      </c>
      <c r="D340" s="0" t="s">
        <v>966</v>
      </c>
      <c r="E340" s="0" t="s">
        <v>214</v>
      </c>
      <c r="F340" s="0" t="s">
        <v>215</v>
      </c>
      <c r="G340" s="0" t="n">
        <f aca="false">HYPERLINK("http://clipc-services.ceda.ac.uk/dreq/u/4c69515bfc84c5cb5624e94228f58351.html","web")</f>
        <v>0</v>
      </c>
      <c r="H340" s="0" t="s">
        <v>216</v>
      </c>
      <c r="I340" s="0" t="s">
        <v>65</v>
      </c>
      <c r="J340" s="0" t="s">
        <v>217</v>
      </c>
      <c r="K340" s="0" t="s">
        <v>967</v>
      </c>
    </row>
    <row r="342" customFormat="false" ht="15" hidden="false" customHeight="false" outlineLevel="0" collapsed="false">
      <c r="A342" s="0" t="s">
        <v>968</v>
      </c>
      <c r="B342" s="0" t="s">
        <v>969</v>
      </c>
      <c r="C342" s="0" t="s">
        <v>13</v>
      </c>
      <c r="D342" s="0" t="s">
        <v>970</v>
      </c>
      <c r="E342" s="0" t="s">
        <v>971</v>
      </c>
      <c r="F342" s="0" t="s">
        <v>852</v>
      </c>
      <c r="G342" s="0" t="n">
        <f aca="false">HYPERLINK("http://clipc-services.ceda.ac.uk/dreq/u/5917b704-9e49-11e5-803c-0d0b866b59f3.html","web")</f>
        <v>0</v>
      </c>
      <c r="H342" s="0" t="s">
        <v>972</v>
      </c>
      <c r="I342" s="0" t="s">
        <v>239</v>
      </c>
      <c r="J342" s="0" t="s">
        <v>973</v>
      </c>
      <c r="K342" s="0" t="s">
        <v>731</v>
      </c>
    </row>
    <row r="344" customFormat="false" ht="15" hidden="false" customHeight="false" outlineLevel="0" collapsed="false">
      <c r="A344" s="0" t="s">
        <v>974</v>
      </c>
      <c r="B344" s="0" t="s">
        <v>975</v>
      </c>
      <c r="C344" s="0" t="s">
        <v>13</v>
      </c>
      <c r="D344" s="0" t="s">
        <v>151</v>
      </c>
      <c r="E344" s="0" t="s">
        <v>976</v>
      </c>
      <c r="F344" s="0" t="s">
        <v>977</v>
      </c>
      <c r="G344" s="0" t="n">
        <f aca="false">HYPERLINK("http://clipc-services.ceda.ac.uk/dreq/u/f946653cd518e221676f263a895c7852.html","web")</f>
        <v>0</v>
      </c>
      <c r="H344" s="0" t="s">
        <v>978</v>
      </c>
      <c r="I344" s="0" t="s">
        <v>979</v>
      </c>
      <c r="J344" s="0" t="s">
        <v>980</v>
      </c>
      <c r="K344" s="0" t="s">
        <v>877</v>
      </c>
    </row>
    <row r="345" customFormat="false" ht="15" hidden="false" customHeight="false" outlineLevel="0" collapsed="false">
      <c r="A345" s="0" t="s">
        <v>974</v>
      </c>
      <c r="B345" s="0" t="s">
        <v>981</v>
      </c>
      <c r="C345" s="0" t="s">
        <v>13</v>
      </c>
      <c r="D345" s="0" t="s">
        <v>151</v>
      </c>
      <c r="E345" s="0" t="s">
        <v>982</v>
      </c>
      <c r="F345" s="0" t="s">
        <v>28</v>
      </c>
      <c r="G345" s="0" t="n">
        <f aca="false">HYPERLINK("http://clipc-services.ceda.ac.uk/dreq/u/590ef7b8-9e49-11e5-803c-0d0b866b59f3.html","web")</f>
        <v>0</v>
      </c>
      <c r="H345" s="0" t="s">
        <v>983</v>
      </c>
      <c r="I345" s="0" t="s">
        <v>56</v>
      </c>
      <c r="J345" s="0" t="s">
        <v>984</v>
      </c>
      <c r="K345" s="0" t="s">
        <v>877</v>
      </c>
    </row>
    <row r="346" customFormat="false" ht="15" hidden="false" customHeight="false" outlineLevel="0" collapsed="false">
      <c r="A346" s="0" t="s">
        <v>974</v>
      </c>
      <c r="B346" s="0" t="s">
        <v>985</v>
      </c>
      <c r="C346" s="0" t="s">
        <v>13</v>
      </c>
      <c r="D346" s="0" t="s">
        <v>986</v>
      </c>
      <c r="E346" s="0" t="s">
        <v>987</v>
      </c>
      <c r="F346" s="0" t="s">
        <v>16</v>
      </c>
      <c r="G346" s="0" t="n">
        <f aca="false">HYPERLINK("http://clipc-services.ceda.ac.uk/dreq/u/bf56baca-c14c-11e6-bb6a-ac72891c3257.html","web")</f>
        <v>0</v>
      </c>
      <c r="H346" s="0" t="s">
        <v>988</v>
      </c>
      <c r="I346" s="0" t="s">
        <v>989</v>
      </c>
      <c r="J346" s="0" t="s">
        <v>990</v>
      </c>
      <c r="K346" s="0" t="s">
        <v>781</v>
      </c>
    </row>
    <row r="347" customFormat="false" ht="15" hidden="false" customHeight="false" outlineLevel="0" collapsed="false">
      <c r="A347" s="0" t="s">
        <v>974</v>
      </c>
      <c r="B347" s="0" t="s">
        <v>991</v>
      </c>
      <c r="C347" s="0" t="s">
        <v>13</v>
      </c>
      <c r="D347" s="0" t="s">
        <v>151</v>
      </c>
      <c r="E347" s="0" t="s">
        <v>992</v>
      </c>
      <c r="F347" s="0" t="s">
        <v>28</v>
      </c>
      <c r="G347" s="0" t="n">
        <f aca="false">HYPERLINK("http://clipc-services.ceda.ac.uk/dreq/u/a17b2a3bcad6c41455a7e2474fb1fdcb.html","web")</f>
        <v>0</v>
      </c>
      <c r="H347" s="0" t="s">
        <v>993</v>
      </c>
      <c r="I347" s="0" t="s">
        <v>994</v>
      </c>
      <c r="J347" s="0" t="s">
        <v>995</v>
      </c>
      <c r="K347" s="0" t="s">
        <v>877</v>
      </c>
    </row>
    <row r="348" customFormat="false" ht="15" hidden="false" customHeight="false" outlineLevel="0" collapsed="false">
      <c r="A348" s="0" t="s">
        <v>974</v>
      </c>
      <c r="B348" s="0" t="s">
        <v>996</v>
      </c>
      <c r="C348" s="0" t="s">
        <v>13</v>
      </c>
      <c r="D348" s="0" t="s">
        <v>151</v>
      </c>
      <c r="E348" s="0" t="s">
        <v>997</v>
      </c>
      <c r="F348" s="0" t="s">
        <v>28</v>
      </c>
      <c r="G348" s="0" t="n">
        <f aca="false">HYPERLINK("http://clipc-services.ceda.ac.uk/dreq/u/e8d9deb887c24ae8008ca2179208f99d.html","web")</f>
        <v>0</v>
      </c>
      <c r="H348" s="0" t="s">
        <v>998</v>
      </c>
      <c r="I348" s="0" t="s">
        <v>994</v>
      </c>
      <c r="J348" s="0" t="s">
        <v>999</v>
      </c>
      <c r="K348" s="0" t="s">
        <v>877</v>
      </c>
    </row>
    <row r="349" customFormat="false" ht="15" hidden="false" customHeight="false" outlineLevel="0" collapsed="false">
      <c r="A349" s="0" t="s">
        <v>974</v>
      </c>
      <c r="B349" s="0" t="s">
        <v>1000</v>
      </c>
      <c r="C349" s="0" t="s">
        <v>13</v>
      </c>
      <c r="D349" s="0" t="s">
        <v>1001</v>
      </c>
      <c r="E349" s="0" t="s">
        <v>1002</v>
      </c>
      <c r="F349" s="0" t="s">
        <v>28</v>
      </c>
      <c r="G349" s="0" t="n">
        <f aca="false">HYPERLINK("http://clipc-services.ceda.ac.uk/dreq/u/590d17f4-9e49-11e5-803c-0d0b866b59f3.html","web")</f>
        <v>0</v>
      </c>
      <c r="H349" s="0" t="s">
        <v>1003</v>
      </c>
      <c r="I349" s="0" t="s">
        <v>43</v>
      </c>
      <c r="J349" s="0" t="s">
        <v>1004</v>
      </c>
      <c r="K349" s="0" t="s">
        <v>1005</v>
      </c>
    </row>
    <row r="350" customFormat="false" ht="15" hidden="false" customHeight="false" outlineLevel="0" collapsed="false">
      <c r="A350" s="0" t="s">
        <v>974</v>
      </c>
      <c r="B350" s="0" t="s">
        <v>880</v>
      </c>
      <c r="C350" s="0" t="s">
        <v>13</v>
      </c>
      <c r="D350" s="0" t="s">
        <v>1006</v>
      </c>
      <c r="E350" s="0" t="s">
        <v>882</v>
      </c>
      <c r="F350" s="0" t="s">
        <v>13</v>
      </c>
      <c r="G350" s="0" t="n">
        <f aca="false">HYPERLINK("http://clipc-services.ceda.ac.uk/dreq/u/a06b8e83250b870d9f39dc1f6534efcb.html","web")</f>
        <v>0</v>
      </c>
      <c r="H350" s="0" t="s">
        <v>883</v>
      </c>
      <c r="I350" s="0" t="s">
        <v>245</v>
      </c>
      <c r="J350" s="0" t="s">
        <v>884</v>
      </c>
      <c r="K350" s="0" t="s">
        <v>877</v>
      </c>
    </row>
    <row r="351" customFormat="false" ht="15" hidden="false" customHeight="false" outlineLevel="0" collapsed="false">
      <c r="A351" s="0" t="s">
        <v>974</v>
      </c>
      <c r="B351" s="0" t="s">
        <v>773</v>
      </c>
      <c r="C351" s="0" t="s">
        <v>13</v>
      </c>
      <c r="D351" s="0" t="s">
        <v>151</v>
      </c>
      <c r="E351" s="0" t="s">
        <v>774</v>
      </c>
      <c r="F351" s="0" t="s">
        <v>153</v>
      </c>
      <c r="G351" s="0" t="n">
        <f aca="false">HYPERLINK("http://clipc-services.ceda.ac.uk/dreq/u/7553003ead183dd3276108b6311a337f.html","web")</f>
        <v>0</v>
      </c>
      <c r="H351" s="0" t="s">
        <v>266</v>
      </c>
      <c r="I351" s="0" t="s">
        <v>239</v>
      </c>
      <c r="J351" s="0" t="s">
        <v>775</v>
      </c>
      <c r="K351" s="0" t="s">
        <v>1007</v>
      </c>
    </row>
    <row r="352" customFormat="false" ht="15" hidden="false" customHeight="false" outlineLevel="0" collapsed="false">
      <c r="A352" s="0" t="s">
        <v>974</v>
      </c>
      <c r="B352" s="0" t="s">
        <v>1008</v>
      </c>
      <c r="C352" s="0" t="s">
        <v>13</v>
      </c>
      <c r="D352" s="0" t="s">
        <v>151</v>
      </c>
      <c r="E352" s="0" t="s">
        <v>1009</v>
      </c>
      <c r="F352" s="0" t="s">
        <v>348</v>
      </c>
      <c r="G352" s="0" t="n">
        <f aca="false">HYPERLINK("http://clipc-services.ceda.ac.uk/dreq/u/6ca9dd8a089b15fb96841e9fe56411cf.html","web")</f>
        <v>0</v>
      </c>
      <c r="H352" s="0" t="s">
        <v>1010</v>
      </c>
      <c r="I352" s="0" t="s">
        <v>1011</v>
      </c>
      <c r="J352" s="0" t="s">
        <v>1012</v>
      </c>
      <c r="K352" s="0" t="s">
        <v>877</v>
      </c>
    </row>
    <row r="353" customFormat="false" ht="15" hidden="false" customHeight="false" outlineLevel="0" collapsed="false">
      <c r="A353" s="0" t="s">
        <v>974</v>
      </c>
      <c r="B353" s="0" t="s">
        <v>406</v>
      </c>
      <c r="C353" s="0" t="s">
        <v>13</v>
      </c>
      <c r="D353" s="0" t="s">
        <v>151</v>
      </c>
      <c r="E353" s="0" t="s">
        <v>407</v>
      </c>
      <c r="F353" s="0" t="s">
        <v>348</v>
      </c>
      <c r="G353" s="0" t="n">
        <f aca="false">HYPERLINK("http://clipc-services.ceda.ac.uk/dreq/u/f27656eeae247192e82aa1032c911399.html","web")</f>
        <v>0</v>
      </c>
      <c r="H353" s="0" t="s">
        <v>408</v>
      </c>
      <c r="I353" s="0" t="s">
        <v>409</v>
      </c>
      <c r="J353" s="0" t="s">
        <v>410</v>
      </c>
      <c r="K353" s="0" t="s">
        <v>877</v>
      </c>
    </row>
    <row r="354" customFormat="false" ht="15" hidden="false" customHeight="false" outlineLevel="0" collapsed="false">
      <c r="A354" s="0" t="s">
        <v>974</v>
      </c>
      <c r="B354" s="0" t="s">
        <v>1013</v>
      </c>
      <c r="C354" s="0" t="s">
        <v>13</v>
      </c>
      <c r="D354" s="0" t="s">
        <v>986</v>
      </c>
      <c r="E354" s="0" t="s">
        <v>1014</v>
      </c>
      <c r="F354" s="0" t="s">
        <v>852</v>
      </c>
      <c r="G354" s="0" t="n">
        <f aca="false">HYPERLINK("http://clipc-services.ceda.ac.uk/dreq/u/170ff384-b622-11e6-bbe2-ac72891c3257.html","web")</f>
        <v>0</v>
      </c>
      <c r="H354" s="0" t="s">
        <v>988</v>
      </c>
      <c r="I354" s="0" t="s">
        <v>989</v>
      </c>
      <c r="J354" s="0" t="s">
        <v>1015</v>
      </c>
      <c r="K354" s="0" t="s">
        <v>781</v>
      </c>
    </row>
    <row r="355" customFormat="false" ht="15" hidden="false" customHeight="false" outlineLevel="0" collapsed="false">
      <c r="A355" s="0" t="s">
        <v>974</v>
      </c>
      <c r="B355" s="0" t="s">
        <v>1016</v>
      </c>
      <c r="C355" s="0" t="s">
        <v>13</v>
      </c>
      <c r="D355" s="0" t="s">
        <v>986</v>
      </c>
      <c r="E355" s="0" t="s">
        <v>1017</v>
      </c>
      <c r="F355" s="0" t="s">
        <v>852</v>
      </c>
      <c r="G355" s="0" t="n">
        <f aca="false">HYPERLINK("http://clipc-services.ceda.ac.uk/dreq/u/1758307c-b622-11e6-bbe2-ac72891c3257.html","web")</f>
        <v>0</v>
      </c>
      <c r="H355" s="0" t="s">
        <v>988</v>
      </c>
      <c r="I355" s="0" t="s">
        <v>989</v>
      </c>
      <c r="J355" s="0" t="s">
        <v>1018</v>
      </c>
      <c r="K355" s="0" t="s">
        <v>781</v>
      </c>
    </row>
    <row r="356" customFormat="false" ht="15" hidden="false" customHeight="false" outlineLevel="0" collapsed="false">
      <c r="A356" s="0" t="s">
        <v>974</v>
      </c>
      <c r="B356" s="0" t="s">
        <v>1019</v>
      </c>
      <c r="C356" s="0" t="s">
        <v>13</v>
      </c>
      <c r="D356" s="0" t="s">
        <v>151</v>
      </c>
      <c r="E356" s="0" t="s">
        <v>1020</v>
      </c>
      <c r="F356" s="0" t="s">
        <v>232</v>
      </c>
      <c r="G356" s="0" t="n">
        <f aca="false">HYPERLINK("http://clipc-services.ceda.ac.uk/dreq/u/590ea93e-9e49-11e5-803c-0d0b866b59f3.html","web")</f>
        <v>0</v>
      </c>
      <c r="H356" s="0" t="s">
        <v>1021</v>
      </c>
      <c r="I356" s="0" t="s">
        <v>239</v>
      </c>
      <c r="J356" s="0" t="s">
        <v>1022</v>
      </c>
      <c r="K356" s="0" t="s">
        <v>268</v>
      </c>
    </row>
    <row r="357" customFormat="false" ht="15" hidden="false" customHeight="false" outlineLevel="0" collapsed="false">
      <c r="A357" s="0" t="s">
        <v>974</v>
      </c>
      <c r="B357" s="0" t="s">
        <v>1023</v>
      </c>
      <c r="C357" s="0" t="s">
        <v>13</v>
      </c>
      <c r="D357" s="0" t="s">
        <v>151</v>
      </c>
      <c r="E357" s="0" t="s">
        <v>1024</v>
      </c>
      <c r="F357" s="0" t="s">
        <v>232</v>
      </c>
      <c r="G357" s="0" t="n">
        <f aca="false">HYPERLINK("http://clipc-services.ceda.ac.uk/dreq/u/590f5b72-9e49-11e5-803c-0d0b866b59f3.html","web")</f>
        <v>0</v>
      </c>
      <c r="H357" s="0" t="s">
        <v>1025</v>
      </c>
      <c r="I357" s="0" t="s">
        <v>239</v>
      </c>
      <c r="J357" s="0" t="s">
        <v>1026</v>
      </c>
      <c r="K357" s="0" t="s">
        <v>268</v>
      </c>
    </row>
    <row r="359" customFormat="false" ht="15" hidden="false" customHeight="false" outlineLevel="0" collapsed="false">
      <c r="A359" s="0" t="s">
        <v>1027</v>
      </c>
      <c r="B359" s="0" t="s">
        <v>1028</v>
      </c>
      <c r="C359" s="0" t="s">
        <v>13</v>
      </c>
      <c r="D359" s="0" t="s">
        <v>263</v>
      </c>
      <c r="E359" s="0" t="s">
        <v>1029</v>
      </c>
      <c r="F359" s="0" t="s">
        <v>734</v>
      </c>
      <c r="G359" s="0" t="n">
        <f aca="false">HYPERLINK("http://clipc-services.ceda.ac.uk/dreq/u/96a44ea6-b096-11e6-aab6-ac72891c3257.html","web")</f>
        <v>0</v>
      </c>
      <c r="H359" s="0" t="s">
        <v>786</v>
      </c>
      <c r="I359" s="0" t="s">
        <v>760</v>
      </c>
      <c r="J359" s="0" t="s">
        <v>1030</v>
      </c>
      <c r="K359" s="0" t="s">
        <v>58</v>
      </c>
    </row>
    <row r="360" customFormat="false" ht="15" hidden="false" customHeight="false" outlineLevel="0" collapsed="false">
      <c r="A360" s="0" t="s">
        <v>1027</v>
      </c>
      <c r="B360" s="0" t="s">
        <v>1031</v>
      </c>
      <c r="C360" s="0" t="s">
        <v>13</v>
      </c>
      <c r="D360" s="0" t="s">
        <v>263</v>
      </c>
      <c r="E360" s="0" t="s">
        <v>1032</v>
      </c>
      <c r="F360" s="0" t="s">
        <v>734</v>
      </c>
      <c r="G360" s="0" t="n">
        <f aca="false">HYPERLINK("http://clipc-services.ceda.ac.uk/dreq/u/afef6490-b096-11e6-aab6-ac72891c3257.html","web")</f>
        <v>0</v>
      </c>
      <c r="H360" s="0" t="s">
        <v>786</v>
      </c>
      <c r="I360" s="0" t="s">
        <v>760</v>
      </c>
      <c r="J360" s="0" t="s">
        <v>1033</v>
      </c>
      <c r="K360" s="0" t="s">
        <v>58</v>
      </c>
    </row>
    <row r="361" customFormat="false" ht="15" hidden="false" customHeight="false" outlineLevel="0" collapsed="false">
      <c r="A361" s="0" t="s">
        <v>1027</v>
      </c>
      <c r="B361" s="0" t="s">
        <v>814</v>
      </c>
      <c r="C361" s="0" t="s">
        <v>13</v>
      </c>
      <c r="D361" s="0" t="s">
        <v>263</v>
      </c>
      <c r="E361" s="0" t="s">
        <v>815</v>
      </c>
      <c r="F361" s="0" t="s">
        <v>13</v>
      </c>
      <c r="G361" s="0" t="n">
        <f aca="false">HYPERLINK("http://clipc-services.ceda.ac.uk/dreq/u/a7cf325e9bf994ade073a1297378a57c.html","web")</f>
        <v>0</v>
      </c>
      <c r="H361" s="0" t="s">
        <v>816</v>
      </c>
      <c r="I361" s="0" t="s">
        <v>343</v>
      </c>
      <c r="J361" s="0" t="s">
        <v>817</v>
      </c>
      <c r="K361" s="0" t="s">
        <v>58</v>
      </c>
    </row>
    <row r="362" customFormat="false" ht="15" hidden="false" customHeight="false" outlineLevel="0" collapsed="false">
      <c r="A362" s="0" t="s">
        <v>1027</v>
      </c>
      <c r="B362" s="0" t="s">
        <v>818</v>
      </c>
      <c r="C362" s="0" t="s">
        <v>13</v>
      </c>
      <c r="D362" s="0" t="s">
        <v>263</v>
      </c>
      <c r="E362" s="0" t="s">
        <v>819</v>
      </c>
      <c r="F362" s="0" t="s">
        <v>734</v>
      </c>
      <c r="G362" s="0" t="n">
        <f aca="false">HYPERLINK("http://clipc-services.ceda.ac.uk/dreq/u/cc8f92a2635774d636748ec8007c4bab.html","web")</f>
        <v>0</v>
      </c>
      <c r="H362" s="0" t="s">
        <v>786</v>
      </c>
      <c r="I362" s="0" t="s">
        <v>760</v>
      </c>
      <c r="J362" s="0" t="s">
        <v>820</v>
      </c>
      <c r="K362" s="0" t="s">
        <v>58</v>
      </c>
    </row>
    <row r="363" customFormat="false" ht="15" hidden="false" customHeight="false" outlineLevel="0" collapsed="false">
      <c r="A363" s="0" t="s">
        <v>1027</v>
      </c>
      <c r="B363" s="0" t="s">
        <v>1034</v>
      </c>
      <c r="C363" s="0" t="s">
        <v>13</v>
      </c>
      <c r="D363" s="0" t="s">
        <v>263</v>
      </c>
      <c r="E363" s="0" t="s">
        <v>1035</v>
      </c>
      <c r="F363" s="0" t="s">
        <v>785</v>
      </c>
      <c r="G363" s="0" t="n">
        <f aca="false">HYPERLINK("http://clipc-services.ceda.ac.uk/dreq/u/e703d0fcbdd5f975485b3404a331ed91.html","web")</f>
        <v>0</v>
      </c>
      <c r="H363" s="0" t="s">
        <v>64</v>
      </c>
      <c r="I363" s="0" t="s">
        <v>56</v>
      </c>
      <c r="J363" s="0" t="s">
        <v>1036</v>
      </c>
      <c r="K363" s="0" t="s">
        <v>1037</v>
      </c>
    </row>
    <row r="364" customFormat="false" ht="15" hidden="false" customHeight="false" outlineLevel="0" collapsed="false">
      <c r="A364" s="0" t="s">
        <v>1027</v>
      </c>
      <c r="B364" s="0" t="s">
        <v>756</v>
      </c>
      <c r="C364" s="0" t="s">
        <v>13</v>
      </c>
      <c r="D364" s="0" t="s">
        <v>263</v>
      </c>
      <c r="E364" s="0" t="s">
        <v>758</v>
      </c>
      <c r="F364" s="0" t="s">
        <v>734</v>
      </c>
      <c r="G364" s="0" t="n">
        <f aca="false">HYPERLINK("http://clipc-services.ceda.ac.uk/dreq/u/942125e5a461fef57b1477b9a2bd5fa0.html","web")</f>
        <v>0</v>
      </c>
      <c r="H364" s="0" t="s">
        <v>759</v>
      </c>
      <c r="I364" s="0" t="s">
        <v>760</v>
      </c>
      <c r="J364" s="0" t="s">
        <v>761</v>
      </c>
      <c r="K364" s="0" t="s">
        <v>58</v>
      </c>
    </row>
    <row r="365" customFormat="false" ht="15" hidden="false" customHeight="false" outlineLevel="0" collapsed="false">
      <c r="A365" s="0" t="s">
        <v>1027</v>
      </c>
      <c r="B365" s="0" t="s">
        <v>1038</v>
      </c>
      <c r="C365" s="0" t="s">
        <v>13</v>
      </c>
      <c r="D365" s="0" t="s">
        <v>1039</v>
      </c>
      <c r="E365" s="0" t="s">
        <v>1040</v>
      </c>
      <c r="F365" s="0" t="s">
        <v>1041</v>
      </c>
      <c r="G365" s="0" t="n">
        <f aca="false">HYPERLINK("http://clipc-services.ceda.ac.uk/dreq/u/76248ae1d72c976495be67161d5a8d7d.html","web")</f>
        <v>0</v>
      </c>
      <c r="H365" s="0" t="s">
        <v>940</v>
      </c>
      <c r="I365" s="0" t="s">
        <v>56</v>
      </c>
      <c r="J365" s="0" t="s">
        <v>1042</v>
      </c>
      <c r="K365" s="0" t="s">
        <v>58</v>
      </c>
    </row>
    <row r="367" customFormat="false" ht="15" hidden="false" customHeight="false" outlineLevel="0" collapsed="false">
      <c r="A367" s="0" t="s">
        <v>1043</v>
      </c>
      <c r="B367" s="0" t="s">
        <v>327</v>
      </c>
      <c r="C367" s="0" t="s">
        <v>13</v>
      </c>
      <c r="D367" s="0" t="s">
        <v>896</v>
      </c>
      <c r="E367" s="0" t="s">
        <v>328</v>
      </c>
      <c r="F367" s="0" t="s">
        <v>13</v>
      </c>
      <c r="G367" s="0" t="n">
        <f aca="false">HYPERLINK("http://clipc-services.ceda.ac.uk/dreq/u/29fae9ea0f236a3eb144026e1bafde28.html","web")</f>
        <v>0</v>
      </c>
      <c r="H367" s="0" t="s">
        <v>329</v>
      </c>
      <c r="I367" s="0" t="s">
        <v>330</v>
      </c>
      <c r="J367" s="0" t="s">
        <v>331</v>
      </c>
      <c r="K367" s="0" t="s">
        <v>877</v>
      </c>
    </row>
    <row r="368" customFormat="false" ht="15" hidden="false" customHeight="false" outlineLevel="0" collapsed="false">
      <c r="A368" s="0" t="s">
        <v>1043</v>
      </c>
      <c r="B368" s="0" t="s">
        <v>458</v>
      </c>
      <c r="C368" s="0" t="s">
        <v>32</v>
      </c>
      <c r="D368" s="0" t="s">
        <v>879</v>
      </c>
      <c r="E368" s="0" t="s">
        <v>460</v>
      </c>
      <c r="F368" s="0" t="s">
        <v>16</v>
      </c>
      <c r="G368" s="0" t="n">
        <f aca="false">HYPERLINK("http://clipc-services.ceda.ac.uk/dreq/u/1aefc13bd27020244fe1cfd706ce1041.html","web")</f>
        <v>0</v>
      </c>
      <c r="H368" s="0" t="s">
        <v>266</v>
      </c>
      <c r="I368" s="0" t="s">
        <v>239</v>
      </c>
      <c r="J368" s="0" t="s">
        <v>461</v>
      </c>
      <c r="K368" s="0" t="s">
        <v>877</v>
      </c>
    </row>
    <row r="369" customFormat="false" ht="15" hidden="false" customHeight="false" outlineLevel="0" collapsed="false">
      <c r="A369" s="0" t="s">
        <v>1043</v>
      </c>
      <c r="B369" s="0" t="s">
        <v>465</v>
      </c>
      <c r="C369" s="0" t="s">
        <v>32</v>
      </c>
      <c r="D369" s="0" t="s">
        <v>879</v>
      </c>
      <c r="E369" s="0" t="s">
        <v>466</v>
      </c>
      <c r="F369" s="0" t="s">
        <v>16</v>
      </c>
      <c r="G369" s="0" t="n">
        <f aca="false">HYPERLINK("http://clipc-services.ceda.ac.uk/dreq/u/2cd1940e7201d5adb02ba157a74fc33e.html","web")</f>
        <v>0</v>
      </c>
      <c r="H369" s="0" t="s">
        <v>467</v>
      </c>
      <c r="I369" s="0" t="s">
        <v>330</v>
      </c>
      <c r="J369" s="0" t="s">
        <v>468</v>
      </c>
      <c r="K369" s="0" t="s">
        <v>877</v>
      </c>
    </row>
    <row r="370" customFormat="false" ht="15" hidden="false" customHeight="false" outlineLevel="0" collapsed="false">
      <c r="A370" s="0" t="s">
        <v>1043</v>
      </c>
      <c r="B370" s="0" t="s">
        <v>814</v>
      </c>
      <c r="C370" s="0" t="s">
        <v>32</v>
      </c>
      <c r="D370" s="0" t="s">
        <v>879</v>
      </c>
      <c r="E370" s="0" t="s">
        <v>815</v>
      </c>
      <c r="F370" s="0" t="s">
        <v>13</v>
      </c>
      <c r="G370" s="0" t="n">
        <f aca="false">HYPERLINK("http://clipc-services.ceda.ac.uk/dreq/u/a7cf325e9bf994ade073a1297378a57c.html","web")</f>
        <v>0</v>
      </c>
      <c r="H370" s="0" t="s">
        <v>816</v>
      </c>
      <c r="I370" s="0" t="s">
        <v>343</v>
      </c>
      <c r="J370" s="0" t="s">
        <v>817</v>
      </c>
      <c r="K370" s="0" t="s">
        <v>877</v>
      </c>
    </row>
    <row r="371" customFormat="false" ht="15" hidden="false" customHeight="false" outlineLevel="0" collapsed="false">
      <c r="A371" s="0" t="s">
        <v>1043</v>
      </c>
      <c r="B371" s="0" t="s">
        <v>373</v>
      </c>
      <c r="C371" s="0" t="s">
        <v>13</v>
      </c>
      <c r="D371" s="0" t="s">
        <v>896</v>
      </c>
      <c r="E371" s="0" t="s">
        <v>374</v>
      </c>
      <c r="F371" s="0" t="s">
        <v>13</v>
      </c>
      <c r="G371" s="0" t="n">
        <f aca="false">HYPERLINK("http://clipc-services.ceda.ac.uk/dreq/u/8de0f30b91b15720398fc10fd712a182.html","web")</f>
        <v>0</v>
      </c>
      <c r="H371" s="0" t="s">
        <v>329</v>
      </c>
      <c r="I371" s="0" t="s">
        <v>239</v>
      </c>
      <c r="J371" s="0" t="s">
        <v>375</v>
      </c>
      <c r="K371" s="0" t="s">
        <v>877</v>
      </c>
    </row>
    <row r="373" customFormat="false" ht="15" hidden="false" customHeight="false" outlineLevel="0" collapsed="false">
      <c r="A373" s="0" t="s">
        <v>1044</v>
      </c>
      <c r="B373" s="0" t="s">
        <v>1045</v>
      </c>
      <c r="C373" s="0" t="s">
        <v>13</v>
      </c>
      <c r="D373" s="0" t="s">
        <v>151</v>
      </c>
      <c r="E373" s="0" t="s">
        <v>1046</v>
      </c>
      <c r="F373" s="0" t="s">
        <v>153</v>
      </c>
      <c r="G373" s="0" t="n">
        <f aca="false">HYPERLINK("http://clipc-services.ceda.ac.uk/dreq/u/590d6e02-9e49-11e5-803c-0d0b866b59f3.html","web")</f>
        <v>0</v>
      </c>
      <c r="H373" s="0" t="s">
        <v>1047</v>
      </c>
      <c r="I373" s="0" t="s">
        <v>56</v>
      </c>
      <c r="J373" s="0" t="s">
        <v>1048</v>
      </c>
      <c r="K373" s="0" t="s">
        <v>731</v>
      </c>
    </row>
    <row r="374" customFormat="false" ht="15" hidden="false" customHeight="false" outlineLevel="0" collapsed="false">
      <c r="A374" s="0" t="s">
        <v>1044</v>
      </c>
      <c r="B374" s="0" t="s">
        <v>1049</v>
      </c>
      <c r="C374" s="0" t="s">
        <v>13</v>
      </c>
      <c r="D374" s="0" t="s">
        <v>151</v>
      </c>
      <c r="E374" s="0" t="s">
        <v>1050</v>
      </c>
      <c r="F374" s="0" t="s">
        <v>153</v>
      </c>
      <c r="G374" s="0" t="n">
        <f aca="false">HYPERLINK("http://clipc-services.ceda.ac.uk/dreq/u/5917e2ba-9e49-11e5-803c-0d0b866b59f3.html","web")</f>
        <v>0</v>
      </c>
      <c r="H374" s="0" t="s">
        <v>1051</v>
      </c>
      <c r="I374" s="0" t="s">
        <v>56</v>
      </c>
      <c r="J374" s="0" t="s">
        <v>775</v>
      </c>
      <c r="K374" s="0" t="s">
        <v>20</v>
      </c>
    </row>
    <row r="376" customFormat="false" ht="15" hidden="false" customHeight="false" outlineLevel="0" collapsed="false">
      <c r="A376" s="0" t="s">
        <v>1052</v>
      </c>
      <c r="B376" s="0" t="s">
        <v>1053</v>
      </c>
      <c r="C376" s="0" t="s">
        <v>32</v>
      </c>
      <c r="D376" s="0" t="s">
        <v>151</v>
      </c>
      <c r="E376" s="0" t="s">
        <v>1054</v>
      </c>
      <c r="F376" s="0" t="s">
        <v>28</v>
      </c>
      <c r="G376" s="0" t="n">
        <f aca="false">HYPERLINK("http://clipc-services.ceda.ac.uk/dreq/u/590f49fc-9e49-11e5-803c-0d0b866b59f3.html","web")</f>
        <v>0</v>
      </c>
      <c r="H376" s="0" t="s">
        <v>1055</v>
      </c>
      <c r="I376" s="0" t="s">
        <v>43</v>
      </c>
      <c r="J376" s="0" t="s">
        <v>1056</v>
      </c>
      <c r="K376" s="0" t="s">
        <v>1057</v>
      </c>
    </row>
    <row r="377" customFormat="false" ht="15" hidden="false" customHeight="false" outlineLevel="0" collapsed="false">
      <c r="A377" s="0" t="s">
        <v>1052</v>
      </c>
      <c r="B377" s="0" t="s">
        <v>1058</v>
      </c>
      <c r="C377" s="0" t="s">
        <v>32</v>
      </c>
      <c r="D377" s="0" t="s">
        <v>151</v>
      </c>
      <c r="E377" s="0" t="s">
        <v>1059</v>
      </c>
      <c r="F377" s="0" t="s">
        <v>28</v>
      </c>
      <c r="G377" s="0" t="n">
        <f aca="false">HYPERLINK("http://clipc-services.ceda.ac.uk/dreq/u/590de850-9e49-11e5-803c-0d0b866b59f3.html","web")</f>
        <v>0</v>
      </c>
      <c r="H377" s="0" t="s">
        <v>1055</v>
      </c>
      <c r="I377" s="0" t="s">
        <v>43</v>
      </c>
      <c r="J377" s="0" t="s">
        <v>1060</v>
      </c>
      <c r="K377" s="0" t="s">
        <v>1057</v>
      </c>
    </row>
    <row r="378" customFormat="false" ht="15" hidden="false" customHeight="false" outlineLevel="0" collapsed="false">
      <c r="A378" s="0" t="s">
        <v>1052</v>
      </c>
      <c r="B378" s="0" t="s">
        <v>1061</v>
      </c>
      <c r="C378" s="0" t="s">
        <v>32</v>
      </c>
      <c r="D378" s="0" t="s">
        <v>151</v>
      </c>
      <c r="E378" s="0" t="s">
        <v>1062</v>
      </c>
      <c r="F378" s="0" t="s">
        <v>28</v>
      </c>
      <c r="G378" s="0" t="n">
        <f aca="false">HYPERLINK("http://clipc-services.ceda.ac.uk/dreq/u/590f5e1a-9e49-11e5-803c-0d0b866b59f3.html","web")</f>
        <v>0</v>
      </c>
      <c r="H378" s="0" t="s">
        <v>1055</v>
      </c>
      <c r="I378" s="0" t="s">
        <v>43</v>
      </c>
      <c r="J378" s="0" t="s">
        <v>1063</v>
      </c>
      <c r="K378" s="0" t="s">
        <v>1057</v>
      </c>
    </row>
    <row r="379" customFormat="false" ht="15" hidden="false" customHeight="false" outlineLevel="0" collapsed="false">
      <c r="A379" s="0" t="s">
        <v>1052</v>
      </c>
      <c r="B379" s="0" t="s">
        <v>1064</v>
      </c>
      <c r="C379" s="0" t="s">
        <v>32</v>
      </c>
      <c r="D379" s="0" t="s">
        <v>151</v>
      </c>
      <c r="E379" s="0" t="s">
        <v>1065</v>
      </c>
      <c r="F379" s="0" t="s">
        <v>28</v>
      </c>
      <c r="G379" s="0" t="n">
        <f aca="false">HYPERLINK("http://clipc-services.ceda.ac.uk/dreq/u/59144c36-9e49-11e5-803c-0d0b866b59f3.html","web")</f>
        <v>0</v>
      </c>
      <c r="H379" s="0" t="s">
        <v>1055</v>
      </c>
      <c r="I379" s="0" t="s">
        <v>43</v>
      </c>
      <c r="J379" s="0" t="s">
        <v>1066</v>
      </c>
      <c r="K379" s="0" t="s">
        <v>1057</v>
      </c>
    </row>
    <row r="380" customFormat="false" ht="15" hidden="false" customHeight="false" outlineLevel="0" collapsed="false">
      <c r="A380" s="0" t="s">
        <v>1052</v>
      </c>
      <c r="B380" s="0" t="s">
        <v>1067</v>
      </c>
      <c r="C380" s="0" t="s">
        <v>32</v>
      </c>
      <c r="D380" s="0" t="s">
        <v>151</v>
      </c>
      <c r="E380" s="0" t="s">
        <v>1068</v>
      </c>
      <c r="F380" s="0" t="s">
        <v>28</v>
      </c>
      <c r="G380" s="0" t="n">
        <f aca="false">HYPERLINK("http://clipc-services.ceda.ac.uk/dreq/u/590f885e-9e49-11e5-803c-0d0b866b59f3.html","web")</f>
        <v>0</v>
      </c>
      <c r="H380" s="0" t="s">
        <v>1055</v>
      </c>
      <c r="I380" s="0" t="s">
        <v>43</v>
      </c>
      <c r="J380" s="0" t="s">
        <v>1069</v>
      </c>
      <c r="K380" s="0" t="s">
        <v>1057</v>
      </c>
    </row>
    <row r="381" customFormat="false" ht="15" hidden="false" customHeight="false" outlineLevel="0" collapsed="false">
      <c r="A381" s="0" t="s">
        <v>1052</v>
      </c>
      <c r="B381" s="0" t="s">
        <v>1070</v>
      </c>
      <c r="C381" s="0" t="s">
        <v>32</v>
      </c>
      <c r="D381" s="0" t="s">
        <v>151</v>
      </c>
      <c r="E381" s="0" t="s">
        <v>1071</v>
      </c>
      <c r="F381" s="0" t="s">
        <v>28</v>
      </c>
      <c r="G381" s="0" t="n">
        <f aca="false">HYPERLINK("http://clipc-services.ceda.ac.uk/dreq/u/590e29c8-9e49-11e5-803c-0d0b866b59f3.html","web")</f>
        <v>0</v>
      </c>
      <c r="H381" s="0" t="s">
        <v>1055</v>
      </c>
      <c r="I381" s="0" t="s">
        <v>43</v>
      </c>
      <c r="J381" s="0" t="s">
        <v>1072</v>
      </c>
      <c r="K381" s="0" t="s">
        <v>1057</v>
      </c>
    </row>
    <row r="382" customFormat="false" ht="15" hidden="false" customHeight="false" outlineLevel="0" collapsed="false">
      <c r="A382" s="0" t="s">
        <v>1052</v>
      </c>
      <c r="B382" s="0" t="s">
        <v>1073</v>
      </c>
      <c r="C382" s="0" t="s">
        <v>32</v>
      </c>
      <c r="D382" s="0" t="s">
        <v>151</v>
      </c>
      <c r="E382" s="0" t="s">
        <v>1074</v>
      </c>
      <c r="F382" s="0" t="s">
        <v>28</v>
      </c>
      <c r="G382" s="0" t="n">
        <f aca="false">HYPERLINK("http://clipc-services.ceda.ac.uk/dreq/u/5913d382-9e49-11e5-803c-0d0b866b59f3.html","web")</f>
        <v>0</v>
      </c>
      <c r="H382" s="0" t="s">
        <v>1055</v>
      </c>
      <c r="I382" s="0" t="s">
        <v>43</v>
      </c>
      <c r="J382" s="0" t="s">
        <v>1075</v>
      </c>
      <c r="K382" s="0" t="s">
        <v>1057</v>
      </c>
    </row>
    <row r="383" customFormat="false" ht="15" hidden="false" customHeight="false" outlineLevel="0" collapsed="false">
      <c r="A383" s="0" t="s">
        <v>1052</v>
      </c>
      <c r="B383" s="0" t="s">
        <v>1076</v>
      </c>
      <c r="C383" s="0" t="s">
        <v>32</v>
      </c>
      <c r="D383" s="0" t="s">
        <v>151</v>
      </c>
      <c r="E383" s="0" t="s">
        <v>1077</v>
      </c>
      <c r="F383" s="0" t="s">
        <v>28</v>
      </c>
      <c r="G383" s="0" t="n">
        <f aca="false">HYPERLINK("http://clipc-services.ceda.ac.uk/dreq/u/59149524-9e49-11e5-803c-0d0b866b59f3.html","web")</f>
        <v>0</v>
      </c>
      <c r="H383" s="0" t="s">
        <v>1055</v>
      </c>
      <c r="I383" s="0" t="s">
        <v>43</v>
      </c>
      <c r="J383" s="0" t="s">
        <v>1078</v>
      </c>
      <c r="K383" s="0" t="s">
        <v>1057</v>
      </c>
    </row>
    <row r="384" customFormat="false" ht="15" hidden="false" customHeight="false" outlineLevel="0" collapsed="false">
      <c r="A384" s="0" t="s">
        <v>1052</v>
      </c>
      <c r="B384" s="0" t="s">
        <v>1079</v>
      </c>
      <c r="C384" s="0" t="s">
        <v>32</v>
      </c>
      <c r="D384" s="0" t="s">
        <v>151</v>
      </c>
      <c r="E384" s="0" t="s">
        <v>1080</v>
      </c>
      <c r="F384" s="0" t="s">
        <v>28</v>
      </c>
      <c r="G384" s="0" t="n">
        <f aca="false">HYPERLINK("http://clipc-services.ceda.ac.uk/dreq/u/84f0f62e-acb7-11e6-b5ee-ac72891c3257.html","web")</f>
        <v>0</v>
      </c>
      <c r="H384" s="0" t="s">
        <v>1081</v>
      </c>
      <c r="I384" s="0" t="s">
        <v>43</v>
      </c>
      <c r="J384" s="0" t="s">
        <v>1082</v>
      </c>
      <c r="K384" s="0" t="s">
        <v>1083</v>
      </c>
    </row>
    <row r="385" customFormat="false" ht="15" hidden="false" customHeight="false" outlineLevel="0" collapsed="false">
      <c r="A385" s="0" t="s">
        <v>1052</v>
      </c>
      <c r="B385" s="0" t="s">
        <v>1084</v>
      </c>
      <c r="C385" s="0" t="s">
        <v>32</v>
      </c>
      <c r="D385" s="0" t="s">
        <v>151</v>
      </c>
      <c r="E385" s="0" t="s">
        <v>1085</v>
      </c>
      <c r="F385" s="0" t="s">
        <v>28</v>
      </c>
      <c r="G385" s="0" t="n">
        <f aca="false">HYPERLINK("http://clipc-services.ceda.ac.uk/dreq/u/84efa3fa-acb7-11e6-b5ee-ac72891c3257.html","web")</f>
        <v>0</v>
      </c>
      <c r="H385" s="0" t="s">
        <v>1081</v>
      </c>
      <c r="I385" s="0" t="s">
        <v>43</v>
      </c>
      <c r="J385" s="0" t="s">
        <v>1082</v>
      </c>
      <c r="K385" s="0" t="s">
        <v>1083</v>
      </c>
    </row>
    <row r="386" customFormat="false" ht="15" hidden="false" customHeight="false" outlineLevel="0" collapsed="false">
      <c r="A386" s="0" t="s">
        <v>1052</v>
      </c>
      <c r="B386" s="0" t="s">
        <v>1086</v>
      </c>
      <c r="C386" s="0" t="s">
        <v>32</v>
      </c>
      <c r="D386" s="0" t="s">
        <v>151</v>
      </c>
      <c r="E386" s="0" t="s">
        <v>1087</v>
      </c>
      <c r="F386" s="0" t="s">
        <v>28</v>
      </c>
      <c r="G386" s="0" t="n">
        <f aca="false">HYPERLINK("http://clipc-services.ceda.ac.uk/dreq/u/84f0a5d4-acb7-11e6-b5ee-ac72891c3257.html","web")</f>
        <v>0</v>
      </c>
      <c r="H386" s="0" t="s">
        <v>1081</v>
      </c>
      <c r="I386" s="0" t="s">
        <v>43</v>
      </c>
      <c r="J386" s="0" t="s">
        <v>1082</v>
      </c>
      <c r="K386" s="0" t="s">
        <v>1083</v>
      </c>
    </row>
    <row r="387" customFormat="false" ht="15" hidden="false" customHeight="false" outlineLevel="0" collapsed="false">
      <c r="A387" s="0" t="s">
        <v>1052</v>
      </c>
      <c r="B387" s="0" t="s">
        <v>1088</v>
      </c>
      <c r="C387" s="0" t="s">
        <v>32</v>
      </c>
      <c r="D387" s="0" t="s">
        <v>151</v>
      </c>
      <c r="E387" s="0" t="s">
        <v>1089</v>
      </c>
      <c r="F387" s="0" t="s">
        <v>28</v>
      </c>
      <c r="G387" s="0" t="n">
        <f aca="false">HYPERLINK("http://clipc-services.ceda.ac.uk/dreq/u/f3532407075647328e7da9c24f00193d.html","web")</f>
        <v>0</v>
      </c>
      <c r="H387" s="0" t="s">
        <v>1090</v>
      </c>
      <c r="I387" s="0" t="s">
        <v>43</v>
      </c>
      <c r="J387" s="0" t="s">
        <v>1091</v>
      </c>
      <c r="K387" s="0" t="s">
        <v>1092</v>
      </c>
    </row>
    <row r="388" customFormat="false" ht="15" hidden="false" customHeight="false" outlineLevel="0" collapsed="false">
      <c r="A388" s="0" t="s">
        <v>1052</v>
      </c>
      <c r="B388" s="0" t="s">
        <v>1093</v>
      </c>
      <c r="C388" s="0" t="s">
        <v>13</v>
      </c>
      <c r="D388" s="0" t="s">
        <v>1094</v>
      </c>
      <c r="E388" s="0" t="s">
        <v>1095</v>
      </c>
      <c r="F388" s="0" t="s">
        <v>28</v>
      </c>
      <c r="G388" s="0" t="n">
        <f aca="false">HYPERLINK("http://clipc-services.ceda.ac.uk/dreq/u/84f0f91c-acb7-11e6-b5ee-ac72891c3257.html","web")</f>
        <v>0</v>
      </c>
      <c r="H388" s="0" t="s">
        <v>1096</v>
      </c>
      <c r="I388" s="0" t="s">
        <v>43</v>
      </c>
      <c r="J388" s="0" t="s">
        <v>1097</v>
      </c>
      <c r="K388" s="0" t="s">
        <v>1083</v>
      </c>
    </row>
    <row r="389" customFormat="false" ht="15" hidden="false" customHeight="false" outlineLevel="0" collapsed="false">
      <c r="A389" s="0" t="s">
        <v>1052</v>
      </c>
      <c r="B389" s="0" t="s">
        <v>1098</v>
      </c>
      <c r="C389" s="0" t="s">
        <v>32</v>
      </c>
      <c r="D389" s="0" t="s">
        <v>151</v>
      </c>
      <c r="E389" s="0" t="s">
        <v>1099</v>
      </c>
      <c r="F389" s="0" t="s">
        <v>28</v>
      </c>
      <c r="G389" s="0" t="n">
        <f aca="false">HYPERLINK("http://clipc-services.ceda.ac.uk/dreq/u/84f0d158-acb7-11e6-b5ee-ac72891c3257.html","web")</f>
        <v>0</v>
      </c>
      <c r="H389" s="0" t="s">
        <v>1081</v>
      </c>
      <c r="I389" s="0" t="s">
        <v>43</v>
      </c>
      <c r="J389" s="0" t="s">
        <v>1100</v>
      </c>
      <c r="K389" s="0" t="s">
        <v>1083</v>
      </c>
    </row>
    <row r="390" customFormat="false" ht="15" hidden="false" customHeight="false" outlineLevel="0" collapsed="false">
      <c r="A390" s="0" t="s">
        <v>1052</v>
      </c>
      <c r="B390" s="0" t="s">
        <v>1101</v>
      </c>
      <c r="C390" s="0" t="s">
        <v>32</v>
      </c>
      <c r="D390" s="0" t="s">
        <v>1001</v>
      </c>
      <c r="E390" s="0" t="s">
        <v>1102</v>
      </c>
      <c r="F390" s="0" t="s">
        <v>28</v>
      </c>
      <c r="G390" s="0" t="n">
        <f aca="false">HYPERLINK("http://clipc-services.ceda.ac.uk/dreq/u/84f0a8f4-acb7-11e6-b5ee-ac72891c3257.html","web")</f>
        <v>0</v>
      </c>
      <c r="H390" s="0" t="s">
        <v>1096</v>
      </c>
      <c r="I390" s="0" t="s">
        <v>43</v>
      </c>
      <c r="J390" s="0" t="s">
        <v>1103</v>
      </c>
      <c r="K390" s="0" t="s">
        <v>1083</v>
      </c>
    </row>
    <row r="391" customFormat="false" ht="15" hidden="false" customHeight="false" outlineLevel="0" collapsed="false">
      <c r="A391" s="0" t="s">
        <v>1052</v>
      </c>
      <c r="B391" s="0" t="s">
        <v>1104</v>
      </c>
      <c r="C391" s="0" t="s">
        <v>32</v>
      </c>
      <c r="D391" s="0" t="s">
        <v>1105</v>
      </c>
      <c r="E391" s="0" t="s">
        <v>1106</v>
      </c>
      <c r="F391" s="0" t="s">
        <v>28</v>
      </c>
      <c r="G391" s="0" t="n">
        <f aca="false">HYPERLINK("http://clipc-services.ceda.ac.uk/dreq/u/84f0fc3c-acb7-11e6-b5ee-ac72891c3257.html","web")</f>
        <v>0</v>
      </c>
      <c r="H391" s="0" t="s">
        <v>1107</v>
      </c>
      <c r="I391" s="0" t="s">
        <v>43</v>
      </c>
      <c r="J391" s="0" t="s">
        <v>1108</v>
      </c>
      <c r="K391" s="0" t="s">
        <v>1083</v>
      </c>
    </row>
    <row r="392" customFormat="false" ht="15" hidden="false" customHeight="false" outlineLevel="0" collapsed="false">
      <c r="A392" s="0" t="s">
        <v>1052</v>
      </c>
      <c r="B392" s="0" t="s">
        <v>1109</v>
      </c>
      <c r="C392" s="0" t="s">
        <v>32</v>
      </c>
      <c r="D392" s="0" t="s">
        <v>151</v>
      </c>
      <c r="E392" s="0" t="s">
        <v>1110</v>
      </c>
      <c r="F392" s="0" t="s">
        <v>28</v>
      </c>
      <c r="G392" s="0" t="n">
        <f aca="false">HYPERLINK("http://clipc-services.ceda.ac.uk/dreq/u/84f10b8c-acb7-11e6-b5ee-ac72891c3257.html","web")</f>
        <v>0</v>
      </c>
      <c r="H392" s="0" t="s">
        <v>1081</v>
      </c>
      <c r="I392" s="0" t="s">
        <v>43</v>
      </c>
      <c r="J392" s="0" t="s">
        <v>1100</v>
      </c>
      <c r="K392" s="0" t="s">
        <v>1083</v>
      </c>
    </row>
    <row r="393" customFormat="false" ht="15" hidden="false" customHeight="false" outlineLevel="0" collapsed="false">
      <c r="A393" s="0" t="s">
        <v>1052</v>
      </c>
      <c r="B393" s="0" t="s">
        <v>1111</v>
      </c>
      <c r="C393" s="0" t="s">
        <v>32</v>
      </c>
      <c r="D393" s="0" t="s">
        <v>151</v>
      </c>
      <c r="E393" s="0" t="s">
        <v>1112</v>
      </c>
      <c r="F393" s="0" t="s">
        <v>28</v>
      </c>
      <c r="G393" s="0" t="n">
        <f aca="false">HYPERLINK("http://clipc-services.ceda.ac.uk/dreq/u/84f0e418-acb7-11e6-b5ee-ac72891c3257.html","web")</f>
        <v>0</v>
      </c>
      <c r="H393" s="0" t="s">
        <v>1081</v>
      </c>
      <c r="I393" s="0" t="s">
        <v>43</v>
      </c>
      <c r="J393" s="0" t="s">
        <v>1100</v>
      </c>
      <c r="K393" s="0" t="s">
        <v>1083</v>
      </c>
    </row>
    <row r="394" customFormat="false" ht="15" hidden="false" customHeight="false" outlineLevel="0" collapsed="false">
      <c r="A394" s="0" t="s">
        <v>1052</v>
      </c>
      <c r="B394" s="0" t="s">
        <v>1113</v>
      </c>
      <c r="C394" s="0" t="s">
        <v>32</v>
      </c>
      <c r="D394" s="0" t="s">
        <v>151</v>
      </c>
      <c r="E394" s="0" t="s">
        <v>1114</v>
      </c>
      <c r="F394" s="0" t="s">
        <v>28</v>
      </c>
      <c r="G394" s="0" t="n">
        <f aca="false">HYPERLINK("http://clipc-services.ceda.ac.uk/dreq/u/84f0ac28-acb7-11e6-b5ee-ac72891c3257.html","web")</f>
        <v>0</v>
      </c>
      <c r="H394" s="0" t="s">
        <v>1081</v>
      </c>
      <c r="I394" s="0" t="s">
        <v>43</v>
      </c>
      <c r="J394" s="0" t="s">
        <v>1115</v>
      </c>
      <c r="K394" s="0" t="s">
        <v>1083</v>
      </c>
    </row>
    <row r="395" customFormat="false" ht="15" hidden="false" customHeight="false" outlineLevel="0" collapsed="false">
      <c r="A395" s="0" t="s">
        <v>1052</v>
      </c>
      <c r="B395" s="0" t="s">
        <v>1116</v>
      </c>
      <c r="C395" s="0" t="s">
        <v>32</v>
      </c>
      <c r="D395" s="0" t="s">
        <v>151</v>
      </c>
      <c r="E395" s="0" t="s">
        <v>1117</v>
      </c>
      <c r="F395" s="0" t="s">
        <v>28</v>
      </c>
      <c r="G395" s="0" t="n">
        <f aca="false">HYPERLINK("http://clipc-services.ceda.ac.uk/dreq/u/84f0c19a-acb7-11e6-b5ee-ac72891c3257.html","web")</f>
        <v>0</v>
      </c>
      <c r="H395" s="0" t="s">
        <v>1081</v>
      </c>
      <c r="I395" s="0" t="s">
        <v>43</v>
      </c>
      <c r="J395" s="0" t="s">
        <v>1115</v>
      </c>
      <c r="K395" s="0" t="s">
        <v>1083</v>
      </c>
    </row>
    <row r="396" customFormat="false" ht="15" hidden="false" customHeight="false" outlineLevel="0" collapsed="false">
      <c r="A396" s="0" t="s">
        <v>1052</v>
      </c>
      <c r="B396" s="0" t="s">
        <v>1118</v>
      </c>
      <c r="C396" s="0" t="s">
        <v>32</v>
      </c>
      <c r="D396" s="0" t="s">
        <v>151</v>
      </c>
      <c r="E396" s="0" t="s">
        <v>1119</v>
      </c>
      <c r="F396" s="0" t="s">
        <v>28</v>
      </c>
      <c r="G396" s="0" t="n">
        <f aca="false">HYPERLINK("http://clipc-services.ceda.ac.uk/dreq/u/84f0ff48-acb7-11e6-b5ee-ac72891c3257.html","web")</f>
        <v>0</v>
      </c>
      <c r="H396" s="0" t="s">
        <v>1081</v>
      </c>
      <c r="I396" s="0" t="s">
        <v>43</v>
      </c>
      <c r="J396" s="0" t="s">
        <v>1115</v>
      </c>
      <c r="K396" s="0" t="s">
        <v>1083</v>
      </c>
    </row>
    <row r="397" customFormat="false" ht="15" hidden="false" customHeight="false" outlineLevel="0" collapsed="false">
      <c r="A397" s="0" t="s">
        <v>1052</v>
      </c>
      <c r="B397" s="0" t="s">
        <v>1120</v>
      </c>
      <c r="C397" s="0" t="s">
        <v>13</v>
      </c>
      <c r="D397" s="0" t="s">
        <v>151</v>
      </c>
      <c r="E397" s="0" t="s">
        <v>1121</v>
      </c>
      <c r="F397" s="0" t="s">
        <v>793</v>
      </c>
      <c r="G397" s="0" t="n">
        <f aca="false">HYPERLINK("http://clipc-services.ceda.ac.uk/dreq/u/069ed8a3f93e92dab9e61f59b4d5338e.html","web")</f>
        <v>0</v>
      </c>
      <c r="H397" s="0" t="s">
        <v>1122</v>
      </c>
      <c r="I397" s="0" t="s">
        <v>979</v>
      </c>
      <c r="J397" s="0" t="s">
        <v>1123</v>
      </c>
      <c r="K397" s="0" t="s">
        <v>1124</v>
      </c>
    </row>
    <row r="398" customFormat="false" ht="15" hidden="false" customHeight="false" outlineLevel="0" collapsed="false">
      <c r="A398" s="0" t="s">
        <v>1052</v>
      </c>
      <c r="B398" s="0" t="s">
        <v>975</v>
      </c>
      <c r="C398" s="0" t="s">
        <v>13</v>
      </c>
      <c r="D398" s="0" t="s">
        <v>151</v>
      </c>
      <c r="E398" s="0" t="s">
        <v>976</v>
      </c>
      <c r="F398" s="0" t="s">
        <v>977</v>
      </c>
      <c r="G398" s="0" t="n">
        <f aca="false">HYPERLINK("http://clipc-services.ceda.ac.uk/dreq/u/f946653cd518e221676f263a895c7852.html","web")</f>
        <v>0</v>
      </c>
      <c r="H398" s="0" t="s">
        <v>978</v>
      </c>
      <c r="I398" s="0" t="s">
        <v>979</v>
      </c>
      <c r="J398" s="0" t="s">
        <v>980</v>
      </c>
      <c r="K398" s="0" t="s">
        <v>1124</v>
      </c>
    </row>
    <row r="399" customFormat="false" ht="15" hidden="false" customHeight="false" outlineLevel="0" collapsed="false">
      <c r="A399" s="0" t="s">
        <v>1052</v>
      </c>
      <c r="B399" s="0" t="s">
        <v>981</v>
      </c>
      <c r="C399" s="0" t="s">
        <v>13</v>
      </c>
      <c r="D399" s="0" t="s">
        <v>151</v>
      </c>
      <c r="E399" s="0" t="s">
        <v>982</v>
      </c>
      <c r="F399" s="0" t="s">
        <v>28</v>
      </c>
      <c r="G399" s="0" t="n">
        <f aca="false">HYPERLINK("http://clipc-services.ceda.ac.uk/dreq/u/590ef7b8-9e49-11e5-803c-0d0b866b59f3.html","web")</f>
        <v>0</v>
      </c>
      <c r="H399" s="0" t="s">
        <v>983</v>
      </c>
      <c r="I399" s="0" t="s">
        <v>56</v>
      </c>
      <c r="J399" s="0" t="s">
        <v>984</v>
      </c>
      <c r="K399" s="0" t="s">
        <v>731</v>
      </c>
    </row>
    <row r="400" customFormat="false" ht="15" hidden="false" customHeight="false" outlineLevel="0" collapsed="false">
      <c r="A400" s="0" t="s">
        <v>1052</v>
      </c>
      <c r="B400" s="0" t="s">
        <v>1125</v>
      </c>
      <c r="C400" s="0" t="s">
        <v>32</v>
      </c>
      <c r="D400" s="0" t="s">
        <v>459</v>
      </c>
      <c r="E400" s="0" t="s">
        <v>1126</v>
      </c>
      <c r="F400" s="0" t="s">
        <v>1127</v>
      </c>
      <c r="G400" s="0" t="n">
        <f aca="false">HYPERLINK("http://clipc-services.ceda.ac.uk/dreq/u/712473d6-c7b6-11e6-bb2a-ac72891c3257.html","web")</f>
        <v>0</v>
      </c>
      <c r="I400" s="0" t="s">
        <v>43</v>
      </c>
      <c r="J400" s="0" t="s">
        <v>1128</v>
      </c>
      <c r="K400" s="0" t="s">
        <v>1005</v>
      </c>
    </row>
    <row r="401" customFormat="false" ht="15" hidden="false" customHeight="false" outlineLevel="0" collapsed="false">
      <c r="A401" s="0" t="s">
        <v>1052</v>
      </c>
      <c r="B401" s="0" t="s">
        <v>1129</v>
      </c>
      <c r="C401" s="0" t="s">
        <v>13</v>
      </c>
      <c r="D401" s="0" t="s">
        <v>459</v>
      </c>
      <c r="E401" s="0" t="s">
        <v>1130</v>
      </c>
      <c r="F401" s="0" t="s">
        <v>793</v>
      </c>
      <c r="G401" s="0" t="n">
        <f aca="false">HYPERLINK("http://clipc-services.ceda.ac.uk/dreq/u/70b0b8239a6ffb48b4a4f3086da12150.html","web")</f>
        <v>0</v>
      </c>
      <c r="H401" s="0" t="s">
        <v>1131</v>
      </c>
      <c r="I401" s="0" t="s">
        <v>343</v>
      </c>
      <c r="J401" s="0" t="s">
        <v>1132</v>
      </c>
      <c r="K401" s="0" t="s">
        <v>1124</v>
      </c>
    </row>
    <row r="402" customFormat="false" ht="15" hidden="false" customHeight="false" outlineLevel="0" collapsed="false">
      <c r="A402" s="0" t="s">
        <v>1052</v>
      </c>
      <c r="B402" s="0" t="s">
        <v>1133</v>
      </c>
      <c r="C402" s="0" t="s">
        <v>13</v>
      </c>
      <c r="D402" s="0" t="s">
        <v>757</v>
      </c>
      <c r="E402" s="0" t="s">
        <v>1134</v>
      </c>
      <c r="F402" s="0" t="s">
        <v>278</v>
      </c>
      <c r="G402" s="0" t="n">
        <f aca="false">HYPERLINK("http://clipc-services.ceda.ac.uk/dreq/u/5d432c16b179052a4e94c63af356c67c.html","web")</f>
        <v>0</v>
      </c>
      <c r="H402" s="0" t="s">
        <v>266</v>
      </c>
      <c r="I402" s="0" t="s">
        <v>239</v>
      </c>
      <c r="J402" s="0" t="s">
        <v>1135</v>
      </c>
      <c r="K402" s="0" t="s">
        <v>703</v>
      </c>
    </row>
    <row r="403" customFormat="false" ht="15" hidden="false" customHeight="false" outlineLevel="0" collapsed="false">
      <c r="A403" s="0" t="s">
        <v>1052</v>
      </c>
      <c r="B403" s="0" t="s">
        <v>1136</v>
      </c>
      <c r="C403" s="0" t="s">
        <v>32</v>
      </c>
      <c r="D403" s="0" t="s">
        <v>61</v>
      </c>
      <c r="E403" s="0" t="s">
        <v>1137</v>
      </c>
      <c r="F403" s="0" t="s">
        <v>63</v>
      </c>
      <c r="G403" s="0" t="n">
        <f aca="false">HYPERLINK("http://clipc-services.ceda.ac.uk/dreq/u/59144254-9e49-11e5-803c-0d0b866b59f3.html","web")</f>
        <v>0</v>
      </c>
      <c r="H403" s="0" t="s">
        <v>1055</v>
      </c>
      <c r="I403" s="0" t="s">
        <v>43</v>
      </c>
      <c r="J403" s="0" t="s">
        <v>1138</v>
      </c>
      <c r="K403" s="0" t="s">
        <v>1057</v>
      </c>
    </row>
    <row r="404" customFormat="false" ht="15" hidden="false" customHeight="false" outlineLevel="0" collapsed="false">
      <c r="A404" s="0" t="s">
        <v>1052</v>
      </c>
      <c r="B404" s="0" t="s">
        <v>132</v>
      </c>
      <c r="C404" s="0" t="s">
        <v>32</v>
      </c>
      <c r="D404" s="0" t="s">
        <v>61</v>
      </c>
      <c r="E404" s="0" t="s">
        <v>133</v>
      </c>
      <c r="F404" s="0" t="s">
        <v>134</v>
      </c>
      <c r="G404" s="0" t="n">
        <f aca="false">HYPERLINK("http://clipc-services.ceda.ac.uk/dreq/u/684d3f3543045a89ecbb0ca81ba6705f.html","web")</f>
        <v>0</v>
      </c>
      <c r="H404" s="0" t="s">
        <v>135</v>
      </c>
      <c r="I404" s="0" t="s">
        <v>136</v>
      </c>
      <c r="J404" s="0" t="s">
        <v>137</v>
      </c>
      <c r="K404" s="0" t="s">
        <v>1005</v>
      </c>
    </row>
    <row r="405" customFormat="false" ht="15" hidden="false" customHeight="false" outlineLevel="0" collapsed="false">
      <c r="A405" s="0" t="s">
        <v>1052</v>
      </c>
      <c r="B405" s="0" t="s">
        <v>138</v>
      </c>
      <c r="C405" s="0" t="s">
        <v>32</v>
      </c>
      <c r="D405" s="0" t="s">
        <v>61</v>
      </c>
      <c r="E405" s="0" t="s">
        <v>139</v>
      </c>
      <c r="F405" s="0" t="s">
        <v>134</v>
      </c>
      <c r="G405" s="0" t="n">
        <f aca="false">HYPERLINK("http://clipc-services.ceda.ac.uk/dreq/u/71480abb30ae62d262fcea6cfdd753cf.html","web")</f>
        <v>0</v>
      </c>
      <c r="H405" s="0" t="s">
        <v>140</v>
      </c>
      <c r="I405" s="0" t="s">
        <v>43</v>
      </c>
      <c r="J405" s="0" t="s">
        <v>141</v>
      </c>
      <c r="K405" s="0" t="s">
        <v>1005</v>
      </c>
    </row>
    <row r="406" customFormat="false" ht="15" hidden="false" customHeight="false" outlineLevel="0" collapsed="false">
      <c r="A406" s="0" t="s">
        <v>1052</v>
      </c>
      <c r="B406" s="0" t="s">
        <v>142</v>
      </c>
      <c r="C406" s="0" t="s">
        <v>13</v>
      </c>
      <c r="D406" s="0" t="s">
        <v>61</v>
      </c>
      <c r="E406" s="0" t="s">
        <v>143</v>
      </c>
      <c r="F406" s="0" t="s">
        <v>134</v>
      </c>
      <c r="G406" s="0" t="n">
        <f aca="false">HYPERLINK("http://clipc-services.ceda.ac.uk/dreq/u/e52528e8-dd83-11e5-9194-ac72891c3257.html","web")</f>
        <v>0</v>
      </c>
      <c r="H406" s="0" t="s">
        <v>140</v>
      </c>
      <c r="I406" s="0" t="s">
        <v>43</v>
      </c>
      <c r="J406" s="0" t="s">
        <v>144</v>
      </c>
      <c r="K406" s="0" t="s">
        <v>1005</v>
      </c>
    </row>
    <row r="407" customFormat="false" ht="15" hidden="false" customHeight="false" outlineLevel="0" collapsed="false">
      <c r="A407" s="0" t="s">
        <v>1052</v>
      </c>
      <c r="B407" s="0" t="s">
        <v>145</v>
      </c>
      <c r="C407" s="0" t="s">
        <v>32</v>
      </c>
      <c r="D407" s="0" t="s">
        <v>61</v>
      </c>
      <c r="E407" s="0" t="s">
        <v>146</v>
      </c>
      <c r="F407" s="0" t="s">
        <v>134</v>
      </c>
      <c r="G407" s="0" t="n">
        <f aca="false">HYPERLINK("http://clipc-services.ceda.ac.uk/dreq/u/236430ceeb7aa3d23577b3a03d13f7fb.html","web")</f>
        <v>0</v>
      </c>
      <c r="H407" s="0" t="s">
        <v>140</v>
      </c>
      <c r="I407" s="0" t="s">
        <v>43</v>
      </c>
      <c r="J407" s="0" t="s">
        <v>144</v>
      </c>
      <c r="K407" s="0" t="s">
        <v>1005</v>
      </c>
    </row>
    <row r="408" customFormat="false" ht="15" hidden="false" customHeight="false" outlineLevel="0" collapsed="false">
      <c r="A408" s="0" t="s">
        <v>1052</v>
      </c>
      <c r="B408" s="0" t="s">
        <v>1139</v>
      </c>
      <c r="C408" s="0" t="s">
        <v>13</v>
      </c>
      <c r="D408" s="0" t="s">
        <v>151</v>
      </c>
      <c r="E408" s="0" t="s">
        <v>1140</v>
      </c>
      <c r="F408" s="0" t="s">
        <v>153</v>
      </c>
      <c r="G408" s="0" t="n">
        <f aca="false">HYPERLINK("http://clipc-services.ceda.ac.uk/dreq/u/5917a796-9e49-11e5-803c-0d0b866b59f3.html","web")</f>
        <v>0</v>
      </c>
      <c r="H408" s="0" t="s">
        <v>1141</v>
      </c>
      <c r="I408" s="0" t="s">
        <v>1142</v>
      </c>
      <c r="J408" s="0" t="s">
        <v>1143</v>
      </c>
      <c r="K408" s="0" t="s">
        <v>1083</v>
      </c>
    </row>
    <row r="409" customFormat="false" ht="15" hidden="false" customHeight="false" outlineLevel="0" collapsed="false">
      <c r="A409" s="0" t="s">
        <v>1052</v>
      </c>
      <c r="B409" s="0" t="s">
        <v>1144</v>
      </c>
      <c r="C409" s="0" t="s">
        <v>13</v>
      </c>
      <c r="D409" s="0" t="s">
        <v>151</v>
      </c>
      <c r="E409" s="0" t="s">
        <v>1145</v>
      </c>
      <c r="F409" s="0" t="s">
        <v>153</v>
      </c>
      <c r="G409" s="0" t="n">
        <f aca="false">HYPERLINK("http://clipc-services.ceda.ac.uk/dreq/u/5912cf78-9e49-11e5-803c-0d0b866b59f3.html","web")</f>
        <v>0</v>
      </c>
      <c r="H409" s="0" t="s">
        <v>1146</v>
      </c>
      <c r="I409" s="0" t="s">
        <v>43</v>
      </c>
      <c r="J409" s="0" t="s">
        <v>1147</v>
      </c>
      <c r="K409" s="0" t="s">
        <v>1057</v>
      </c>
    </row>
    <row r="410" customFormat="false" ht="15" hidden="false" customHeight="false" outlineLevel="0" collapsed="false">
      <c r="A410" s="0" t="s">
        <v>1052</v>
      </c>
      <c r="B410" s="0" t="s">
        <v>1148</v>
      </c>
      <c r="C410" s="0" t="s">
        <v>32</v>
      </c>
      <c r="D410" s="0" t="s">
        <v>151</v>
      </c>
      <c r="E410" s="0" t="s">
        <v>1149</v>
      </c>
      <c r="F410" s="0" t="s">
        <v>153</v>
      </c>
      <c r="G410" s="0" t="n">
        <f aca="false">HYPERLINK("http://clipc-services.ceda.ac.uk/dreq/u/590f097e-9e49-11e5-803c-0d0b866b59f3.html","web")</f>
        <v>0</v>
      </c>
      <c r="H410" s="0" t="s">
        <v>1146</v>
      </c>
      <c r="I410" s="0" t="s">
        <v>43</v>
      </c>
      <c r="J410" s="0" t="s">
        <v>1150</v>
      </c>
      <c r="K410" s="0" t="s">
        <v>1083</v>
      </c>
    </row>
    <row r="411" customFormat="false" ht="15" hidden="false" customHeight="false" outlineLevel="0" collapsed="false">
      <c r="A411" s="0" t="s">
        <v>1052</v>
      </c>
      <c r="B411" s="0" t="s">
        <v>1151</v>
      </c>
      <c r="C411" s="0" t="s">
        <v>13</v>
      </c>
      <c r="D411" s="0" t="s">
        <v>151</v>
      </c>
      <c r="E411" s="0" t="s">
        <v>1152</v>
      </c>
      <c r="F411" s="0" t="s">
        <v>153</v>
      </c>
      <c r="G411" s="0" t="n">
        <f aca="false">HYPERLINK("http://clipc-services.ceda.ac.uk/dreq/u/5912d5ea-9e49-11e5-803c-0d0b866b59f3.html","web")</f>
        <v>0</v>
      </c>
      <c r="H411" s="0" t="s">
        <v>1153</v>
      </c>
      <c r="I411" s="0" t="s">
        <v>43</v>
      </c>
      <c r="J411" s="0" t="s">
        <v>1154</v>
      </c>
      <c r="K411" s="0" t="s">
        <v>1083</v>
      </c>
    </row>
    <row r="412" customFormat="false" ht="15" hidden="false" customHeight="false" outlineLevel="0" collapsed="false">
      <c r="A412" s="0" t="s">
        <v>1052</v>
      </c>
      <c r="B412" s="0" t="s">
        <v>1155</v>
      </c>
      <c r="C412" s="0" t="s">
        <v>32</v>
      </c>
      <c r="D412" s="0" t="s">
        <v>151</v>
      </c>
      <c r="E412" s="0" t="s">
        <v>1156</v>
      </c>
      <c r="F412" s="0" t="s">
        <v>153</v>
      </c>
      <c r="G412" s="0" t="n">
        <f aca="false">HYPERLINK("http://clipc-services.ceda.ac.uk/dreq/u/5913a696-9e49-11e5-803c-0d0b866b59f3.html","web")</f>
        <v>0</v>
      </c>
      <c r="H412" s="0" t="s">
        <v>1107</v>
      </c>
      <c r="I412" s="0" t="s">
        <v>43</v>
      </c>
      <c r="J412" s="0" t="s">
        <v>1157</v>
      </c>
      <c r="K412" s="0" t="s">
        <v>1083</v>
      </c>
    </row>
    <row r="413" customFormat="false" ht="15" hidden="false" customHeight="false" outlineLevel="0" collapsed="false">
      <c r="A413" s="0" t="s">
        <v>1052</v>
      </c>
      <c r="B413" s="0" t="s">
        <v>1158</v>
      </c>
      <c r="C413" s="0" t="s">
        <v>32</v>
      </c>
      <c r="D413" s="0" t="s">
        <v>151</v>
      </c>
      <c r="E413" s="0" t="s">
        <v>1159</v>
      </c>
      <c r="F413" s="0" t="s">
        <v>153</v>
      </c>
      <c r="G413" s="0" t="n">
        <f aca="false">HYPERLINK("http://clipc-services.ceda.ac.uk/dreq/u/591348fe-9e49-11e5-803c-0d0b866b59f3.html","web")</f>
        <v>0</v>
      </c>
      <c r="H413" s="0" t="s">
        <v>1107</v>
      </c>
      <c r="I413" s="0" t="s">
        <v>43</v>
      </c>
      <c r="J413" s="0" t="s">
        <v>1157</v>
      </c>
      <c r="K413" s="0" t="s">
        <v>1083</v>
      </c>
    </row>
    <row r="414" customFormat="false" ht="15" hidden="false" customHeight="false" outlineLevel="0" collapsed="false">
      <c r="A414" s="0" t="s">
        <v>1052</v>
      </c>
      <c r="B414" s="0" t="s">
        <v>1160</v>
      </c>
      <c r="C414" s="0" t="s">
        <v>32</v>
      </c>
      <c r="D414" s="0" t="s">
        <v>151</v>
      </c>
      <c r="E414" s="0" t="s">
        <v>1161</v>
      </c>
      <c r="F414" s="0" t="s">
        <v>153</v>
      </c>
      <c r="G414" s="0" t="n">
        <f aca="false">HYPERLINK("http://clipc-services.ceda.ac.uk/dreq/u/84ef402c-acb7-11e6-b5ee-ac72891c3257.html","web")</f>
        <v>0</v>
      </c>
      <c r="H414" s="0" t="s">
        <v>1107</v>
      </c>
      <c r="I414" s="0" t="s">
        <v>43</v>
      </c>
      <c r="J414" s="0" t="s">
        <v>1157</v>
      </c>
      <c r="K414" s="0" t="s">
        <v>1083</v>
      </c>
    </row>
    <row r="415" customFormat="false" ht="15" hidden="false" customHeight="false" outlineLevel="0" collapsed="false">
      <c r="A415" s="0" t="s">
        <v>1052</v>
      </c>
      <c r="B415" s="0" t="s">
        <v>1162</v>
      </c>
      <c r="C415" s="0" t="s">
        <v>32</v>
      </c>
      <c r="D415" s="0" t="s">
        <v>151</v>
      </c>
      <c r="E415" s="0" t="s">
        <v>1163</v>
      </c>
      <c r="F415" s="0" t="s">
        <v>153</v>
      </c>
      <c r="G415" s="0" t="n">
        <f aca="false">HYPERLINK("http://clipc-services.ceda.ac.uk/dreq/u/84f0ddec-acb7-11e6-b5ee-ac72891c3257.html","web")</f>
        <v>0</v>
      </c>
      <c r="H415" s="0" t="s">
        <v>1107</v>
      </c>
      <c r="I415" s="0" t="s">
        <v>43</v>
      </c>
      <c r="J415" s="0" t="s">
        <v>1157</v>
      </c>
      <c r="K415" s="0" t="s">
        <v>1083</v>
      </c>
    </row>
    <row r="416" customFormat="false" ht="15" hidden="false" customHeight="false" outlineLevel="0" collapsed="false">
      <c r="A416" s="0" t="s">
        <v>1052</v>
      </c>
      <c r="B416" s="0" t="s">
        <v>1164</v>
      </c>
      <c r="C416" s="0" t="s">
        <v>13</v>
      </c>
      <c r="D416" s="0" t="s">
        <v>1165</v>
      </c>
      <c r="E416" s="0" t="s">
        <v>1166</v>
      </c>
      <c r="F416" s="0" t="s">
        <v>348</v>
      </c>
      <c r="G416" s="0" t="n">
        <f aca="false">HYPERLINK("http://clipc-services.ceda.ac.uk/dreq/u/3f30557c-b89b-11e6-be04-ac72891c3257.html","web")</f>
        <v>0</v>
      </c>
      <c r="H416" s="0" t="s">
        <v>1167</v>
      </c>
      <c r="I416" s="0" t="s">
        <v>1168</v>
      </c>
      <c r="J416" s="0" t="s">
        <v>1169</v>
      </c>
      <c r="K416" s="0" t="s">
        <v>1170</v>
      </c>
    </row>
    <row r="417" customFormat="false" ht="15" hidden="false" customHeight="false" outlineLevel="0" collapsed="false">
      <c r="A417" s="0" t="s">
        <v>1052</v>
      </c>
      <c r="B417" s="0" t="s">
        <v>1171</v>
      </c>
      <c r="C417" s="0" t="s">
        <v>32</v>
      </c>
      <c r="D417" s="0" t="s">
        <v>151</v>
      </c>
      <c r="E417" s="0" t="s">
        <v>1172</v>
      </c>
      <c r="F417" s="0" t="s">
        <v>153</v>
      </c>
      <c r="G417" s="0" t="n">
        <f aca="false">HYPERLINK("http://clipc-services.ceda.ac.uk/dreq/u/5917788e-9e49-11e5-803c-0d0b866b59f3.html","web")</f>
        <v>0</v>
      </c>
      <c r="H417" s="0" t="s">
        <v>1055</v>
      </c>
      <c r="I417" s="0" t="s">
        <v>43</v>
      </c>
      <c r="J417" s="0" t="s">
        <v>1173</v>
      </c>
      <c r="K417" s="0" t="s">
        <v>1057</v>
      </c>
    </row>
    <row r="418" customFormat="false" ht="15" hidden="false" customHeight="false" outlineLevel="0" collapsed="false">
      <c r="A418" s="0" t="s">
        <v>1052</v>
      </c>
      <c r="B418" s="0" t="s">
        <v>1174</v>
      </c>
      <c r="C418" s="0" t="s">
        <v>32</v>
      </c>
      <c r="D418" s="0" t="s">
        <v>151</v>
      </c>
      <c r="E418" s="0" t="s">
        <v>1175</v>
      </c>
      <c r="F418" s="0" t="s">
        <v>153</v>
      </c>
      <c r="G418" s="0" t="n">
        <f aca="false">HYPERLINK("http://clipc-services.ceda.ac.uk/dreq/u/84f0c47e-acb7-11e6-b5ee-ac72891c3257.html","web")</f>
        <v>0</v>
      </c>
      <c r="H418" s="0" t="s">
        <v>1176</v>
      </c>
      <c r="I418" s="0" t="s">
        <v>43</v>
      </c>
      <c r="J418" s="0" t="s">
        <v>1177</v>
      </c>
      <c r="K418" s="0" t="s">
        <v>1083</v>
      </c>
    </row>
    <row r="419" customFormat="false" ht="15" hidden="false" customHeight="false" outlineLevel="0" collapsed="false">
      <c r="A419" s="0" t="s">
        <v>1052</v>
      </c>
      <c r="B419" s="0" t="s">
        <v>1178</v>
      </c>
      <c r="C419" s="0" t="s">
        <v>32</v>
      </c>
      <c r="D419" s="0" t="s">
        <v>151</v>
      </c>
      <c r="E419" s="0" t="s">
        <v>1179</v>
      </c>
      <c r="F419" s="0" t="s">
        <v>153</v>
      </c>
      <c r="G419" s="0" t="n">
        <f aca="false">HYPERLINK("http://clipc-services.ceda.ac.uk/dreq/u/590f9ace-9e49-11e5-803c-0d0b866b59f3.html","web")</f>
        <v>0</v>
      </c>
      <c r="H419" s="0" t="s">
        <v>1055</v>
      </c>
      <c r="I419" s="0" t="s">
        <v>43</v>
      </c>
      <c r="J419" s="0" t="s">
        <v>1180</v>
      </c>
      <c r="K419" s="0" t="s">
        <v>1057</v>
      </c>
    </row>
    <row r="420" customFormat="false" ht="15" hidden="false" customHeight="false" outlineLevel="0" collapsed="false">
      <c r="A420" s="0" t="s">
        <v>1052</v>
      </c>
      <c r="B420" s="0" t="s">
        <v>1181</v>
      </c>
      <c r="C420" s="0" t="s">
        <v>32</v>
      </c>
      <c r="D420" s="0" t="s">
        <v>151</v>
      </c>
      <c r="E420" s="0" t="s">
        <v>1182</v>
      </c>
      <c r="F420" s="0" t="s">
        <v>153</v>
      </c>
      <c r="G420" s="0" t="n">
        <f aca="false">HYPERLINK("http://clipc-services.ceda.ac.uk/dreq/u/590f95c4-9e49-11e5-803c-0d0b866b59f3.html","web")</f>
        <v>0</v>
      </c>
      <c r="H420" s="0" t="s">
        <v>1055</v>
      </c>
      <c r="I420" s="0" t="s">
        <v>43</v>
      </c>
      <c r="J420" s="0" t="s">
        <v>1183</v>
      </c>
      <c r="K420" s="0" t="s">
        <v>1057</v>
      </c>
    </row>
    <row r="421" customFormat="false" ht="15" hidden="false" customHeight="false" outlineLevel="0" collapsed="false">
      <c r="A421" s="0" t="s">
        <v>1052</v>
      </c>
      <c r="B421" s="0" t="s">
        <v>1184</v>
      </c>
      <c r="C421" s="0" t="s">
        <v>13</v>
      </c>
      <c r="D421" s="0" t="s">
        <v>1165</v>
      </c>
      <c r="E421" s="0" t="s">
        <v>1185</v>
      </c>
      <c r="F421" s="0" t="s">
        <v>348</v>
      </c>
      <c r="G421" s="0" t="n">
        <f aca="false">HYPERLINK("http://clipc-services.ceda.ac.uk/dreq/u/590ee804-9e49-11e5-803c-0d0b866b59f3.html","web")</f>
        <v>0</v>
      </c>
      <c r="H421" s="0" t="s">
        <v>1167</v>
      </c>
      <c r="I421" s="0" t="s">
        <v>1168</v>
      </c>
      <c r="J421" s="0" t="s">
        <v>1186</v>
      </c>
      <c r="K421" s="0" t="s">
        <v>1170</v>
      </c>
    </row>
    <row r="422" customFormat="false" ht="15" hidden="false" customHeight="false" outlineLevel="0" collapsed="false">
      <c r="A422" s="0" t="s">
        <v>1052</v>
      </c>
      <c r="B422" s="0" t="s">
        <v>1187</v>
      </c>
      <c r="C422" s="0" t="s">
        <v>13</v>
      </c>
      <c r="D422" s="0" t="s">
        <v>1165</v>
      </c>
      <c r="E422" s="0" t="s">
        <v>1188</v>
      </c>
      <c r="F422" s="0" t="s">
        <v>348</v>
      </c>
      <c r="G422" s="0" t="n">
        <f aca="false">HYPERLINK("http://clipc-services.ceda.ac.uk/dreq/u/590e590c-9e49-11e5-803c-0d0b866b59f3.html","web")</f>
        <v>0</v>
      </c>
      <c r="H422" s="0" t="s">
        <v>1167</v>
      </c>
      <c r="I422" s="0" t="s">
        <v>1168</v>
      </c>
      <c r="J422" s="0" t="s">
        <v>1189</v>
      </c>
      <c r="K422" s="0" t="s">
        <v>1170</v>
      </c>
    </row>
    <row r="423" customFormat="false" ht="15" hidden="false" customHeight="false" outlineLevel="0" collapsed="false">
      <c r="A423" s="0" t="s">
        <v>1052</v>
      </c>
      <c r="B423" s="0" t="s">
        <v>985</v>
      </c>
      <c r="C423" s="0" t="s">
        <v>13</v>
      </c>
      <c r="D423" s="0" t="s">
        <v>986</v>
      </c>
      <c r="E423" s="0" t="s">
        <v>987</v>
      </c>
      <c r="F423" s="0" t="s">
        <v>16</v>
      </c>
      <c r="G423" s="0" t="n">
        <f aca="false">HYPERLINK("http://clipc-services.ceda.ac.uk/dreq/u/bf56baca-c14c-11e6-bb6a-ac72891c3257.html","web")</f>
        <v>0</v>
      </c>
      <c r="H423" s="0" t="s">
        <v>988</v>
      </c>
      <c r="I423" s="0" t="s">
        <v>989</v>
      </c>
      <c r="J423" s="0" t="s">
        <v>990</v>
      </c>
      <c r="K423" s="0" t="s">
        <v>781</v>
      </c>
    </row>
    <row r="424" customFormat="false" ht="15" hidden="false" customHeight="false" outlineLevel="0" collapsed="false">
      <c r="A424" s="0" t="s">
        <v>1052</v>
      </c>
      <c r="B424" s="0" t="s">
        <v>1190</v>
      </c>
      <c r="C424" s="0" t="s">
        <v>13</v>
      </c>
      <c r="D424" s="0" t="s">
        <v>1191</v>
      </c>
      <c r="E424" s="0" t="s">
        <v>1192</v>
      </c>
      <c r="F424" s="0" t="s">
        <v>13</v>
      </c>
      <c r="G424" s="0" t="n">
        <f aca="false">HYPERLINK("http://clipc-services.ceda.ac.uk/dreq/u/59178a72-9e49-11e5-803c-0d0b866b59f3.html","web")</f>
        <v>0</v>
      </c>
      <c r="H424" s="0" t="s">
        <v>1167</v>
      </c>
      <c r="I424" s="0" t="s">
        <v>1168</v>
      </c>
      <c r="J424" s="0" t="s">
        <v>1193</v>
      </c>
      <c r="K424" s="0" t="s">
        <v>1170</v>
      </c>
    </row>
    <row r="425" customFormat="false" ht="15" hidden="false" customHeight="false" outlineLevel="0" collapsed="false">
      <c r="A425" s="0" t="s">
        <v>1052</v>
      </c>
      <c r="B425" s="0" t="s">
        <v>991</v>
      </c>
      <c r="C425" s="0" t="s">
        <v>13</v>
      </c>
      <c r="D425" s="0" t="s">
        <v>151</v>
      </c>
      <c r="E425" s="0" t="s">
        <v>992</v>
      </c>
      <c r="F425" s="0" t="s">
        <v>28</v>
      </c>
      <c r="G425" s="0" t="n">
        <f aca="false">HYPERLINK("http://clipc-services.ceda.ac.uk/dreq/u/a17b2a3bcad6c41455a7e2474fb1fdcb.html","web")</f>
        <v>0</v>
      </c>
      <c r="H425" s="0" t="s">
        <v>993</v>
      </c>
      <c r="I425" s="0" t="s">
        <v>994</v>
      </c>
      <c r="J425" s="0" t="s">
        <v>995</v>
      </c>
      <c r="K425" s="0" t="s">
        <v>1124</v>
      </c>
    </row>
    <row r="426" customFormat="false" ht="15" hidden="false" customHeight="false" outlineLevel="0" collapsed="false">
      <c r="A426" s="0" t="s">
        <v>1052</v>
      </c>
      <c r="B426" s="0" t="s">
        <v>996</v>
      </c>
      <c r="C426" s="0" t="s">
        <v>13</v>
      </c>
      <c r="D426" s="0" t="s">
        <v>151</v>
      </c>
      <c r="E426" s="0" t="s">
        <v>997</v>
      </c>
      <c r="F426" s="0" t="s">
        <v>28</v>
      </c>
      <c r="G426" s="0" t="n">
        <f aca="false">HYPERLINK("http://clipc-services.ceda.ac.uk/dreq/u/e8d9deb887c24ae8008ca2179208f99d.html","web")</f>
        <v>0</v>
      </c>
      <c r="H426" s="0" t="s">
        <v>998</v>
      </c>
      <c r="I426" s="0" t="s">
        <v>994</v>
      </c>
      <c r="J426" s="0" t="s">
        <v>999</v>
      </c>
      <c r="K426" s="0" t="s">
        <v>1124</v>
      </c>
    </row>
    <row r="427" customFormat="false" ht="15" hidden="false" customHeight="false" outlineLevel="0" collapsed="false">
      <c r="A427" s="0" t="s">
        <v>1052</v>
      </c>
      <c r="B427" s="0" t="s">
        <v>1194</v>
      </c>
      <c r="C427" s="0" t="s">
        <v>13</v>
      </c>
      <c r="D427" s="0" t="s">
        <v>151</v>
      </c>
      <c r="E427" s="0" t="s">
        <v>1195</v>
      </c>
      <c r="F427" s="0" t="s">
        <v>348</v>
      </c>
      <c r="G427" s="0" t="n">
        <f aca="false">HYPERLINK("http://clipc-services.ceda.ac.uk/dreq/u/5914ede4-9e49-11e5-803c-0d0b866b59f3.html","web")</f>
        <v>0</v>
      </c>
      <c r="H427" s="0" t="s">
        <v>1196</v>
      </c>
      <c r="I427" s="0" t="s">
        <v>56</v>
      </c>
      <c r="J427" s="0" t="s">
        <v>1197</v>
      </c>
      <c r="K427" s="0" t="s">
        <v>1198</v>
      </c>
    </row>
    <row r="428" customFormat="false" ht="15" hidden="false" customHeight="false" outlineLevel="0" collapsed="false">
      <c r="A428" s="0" t="s">
        <v>1052</v>
      </c>
      <c r="B428" s="0" t="s">
        <v>1199</v>
      </c>
      <c r="C428" s="0" t="s">
        <v>13</v>
      </c>
      <c r="D428" s="0" t="s">
        <v>151</v>
      </c>
      <c r="E428" s="0" t="s">
        <v>1200</v>
      </c>
      <c r="F428" s="0" t="s">
        <v>348</v>
      </c>
      <c r="G428" s="0" t="n">
        <f aca="false">HYPERLINK("http://clipc-services.ceda.ac.uk/dreq/u/591497a4-9e49-11e5-803c-0d0b866b59f3.html","web")</f>
        <v>0</v>
      </c>
      <c r="H428" s="0" t="s">
        <v>1196</v>
      </c>
      <c r="I428" s="0" t="s">
        <v>56</v>
      </c>
      <c r="J428" s="0" t="s">
        <v>1201</v>
      </c>
      <c r="K428" s="0" t="s">
        <v>1198</v>
      </c>
    </row>
    <row r="429" customFormat="false" ht="15" hidden="false" customHeight="false" outlineLevel="0" collapsed="false">
      <c r="A429" s="0" t="s">
        <v>1052</v>
      </c>
      <c r="B429" s="0" t="s">
        <v>1202</v>
      </c>
      <c r="C429" s="0" t="s">
        <v>13</v>
      </c>
      <c r="D429" s="0" t="s">
        <v>151</v>
      </c>
      <c r="E429" s="0" t="s">
        <v>1203</v>
      </c>
      <c r="F429" s="0" t="s">
        <v>348</v>
      </c>
      <c r="G429" s="0" t="n">
        <f aca="false">HYPERLINK("http://clipc-services.ceda.ac.uk/dreq/u/f9f66ff437154f86913937f9e2d9a26d.html","web")</f>
        <v>0</v>
      </c>
      <c r="H429" s="0" t="s">
        <v>1196</v>
      </c>
      <c r="I429" s="0" t="s">
        <v>56</v>
      </c>
      <c r="J429" s="0" t="s">
        <v>1204</v>
      </c>
      <c r="K429" s="0" t="s">
        <v>1198</v>
      </c>
    </row>
    <row r="430" customFormat="false" ht="15" hidden="false" customHeight="false" outlineLevel="0" collapsed="false">
      <c r="A430" s="0" t="s">
        <v>1052</v>
      </c>
      <c r="B430" s="0" t="s">
        <v>1205</v>
      </c>
      <c r="C430" s="0" t="s">
        <v>13</v>
      </c>
      <c r="D430" s="0" t="s">
        <v>151</v>
      </c>
      <c r="E430" s="0" t="s">
        <v>1206</v>
      </c>
      <c r="F430" s="0" t="s">
        <v>348</v>
      </c>
      <c r="G430" s="0" t="n">
        <f aca="false">HYPERLINK("http://clipc-services.ceda.ac.uk/dreq/u/ab57604d6acd918c08aa6252145c608e.html","web")</f>
        <v>0</v>
      </c>
      <c r="H430" s="0" t="s">
        <v>1196</v>
      </c>
      <c r="I430" s="0" t="s">
        <v>56</v>
      </c>
      <c r="J430" s="0" t="s">
        <v>1204</v>
      </c>
      <c r="K430" s="0" t="s">
        <v>1198</v>
      </c>
    </row>
    <row r="431" customFormat="false" ht="15" hidden="false" customHeight="false" outlineLevel="0" collapsed="false">
      <c r="A431" s="0" t="s">
        <v>1052</v>
      </c>
      <c r="B431" s="0" t="s">
        <v>1207</v>
      </c>
      <c r="C431" s="0" t="s">
        <v>13</v>
      </c>
      <c r="D431" s="0" t="s">
        <v>151</v>
      </c>
      <c r="E431" s="0" t="s">
        <v>1208</v>
      </c>
      <c r="F431" s="0" t="s">
        <v>348</v>
      </c>
      <c r="G431" s="0" t="n">
        <f aca="false">HYPERLINK("http://clipc-services.ceda.ac.uk/dreq/u/59134bf6-9e49-11e5-803c-0d0b866b59f3.html","web")</f>
        <v>0</v>
      </c>
      <c r="H431" s="0" t="s">
        <v>1196</v>
      </c>
      <c r="I431" s="0" t="s">
        <v>56</v>
      </c>
      <c r="J431" s="0" t="s">
        <v>1197</v>
      </c>
      <c r="K431" s="0" t="s">
        <v>1198</v>
      </c>
    </row>
    <row r="432" customFormat="false" ht="15" hidden="false" customHeight="false" outlineLevel="0" collapsed="false">
      <c r="A432" s="0" t="s">
        <v>1052</v>
      </c>
      <c r="B432" s="0" t="s">
        <v>1209</v>
      </c>
      <c r="C432" s="0" t="s">
        <v>13</v>
      </c>
      <c r="D432" s="0" t="s">
        <v>151</v>
      </c>
      <c r="E432" s="0" t="s">
        <v>1210</v>
      </c>
      <c r="F432" s="0" t="s">
        <v>28</v>
      </c>
      <c r="G432" s="0" t="n">
        <f aca="false">HYPERLINK("http://clipc-services.ceda.ac.uk/dreq/u/59130e98-9e49-11e5-803c-0d0b866b59f3.html","web")</f>
        <v>0</v>
      </c>
      <c r="H432" s="0" t="s">
        <v>1003</v>
      </c>
      <c r="I432" s="0" t="s">
        <v>43</v>
      </c>
      <c r="J432" s="0" t="s">
        <v>1211</v>
      </c>
      <c r="K432" s="0" t="s">
        <v>1057</v>
      </c>
    </row>
    <row r="433" customFormat="false" ht="15" hidden="false" customHeight="false" outlineLevel="0" collapsed="false">
      <c r="A433" s="0" t="s">
        <v>1052</v>
      </c>
      <c r="B433" s="0" t="s">
        <v>1000</v>
      </c>
      <c r="C433" s="0" t="s">
        <v>13</v>
      </c>
      <c r="D433" s="0" t="s">
        <v>1001</v>
      </c>
      <c r="E433" s="0" t="s">
        <v>1002</v>
      </c>
      <c r="F433" s="0" t="s">
        <v>28</v>
      </c>
      <c r="G433" s="0" t="n">
        <f aca="false">HYPERLINK("http://clipc-services.ceda.ac.uk/dreq/u/590d17f4-9e49-11e5-803c-0d0b866b59f3.html","web")</f>
        <v>0</v>
      </c>
      <c r="H433" s="0" t="s">
        <v>1003</v>
      </c>
      <c r="I433" s="0" t="s">
        <v>43</v>
      </c>
      <c r="J433" s="0" t="s">
        <v>1004</v>
      </c>
      <c r="K433" s="0" t="s">
        <v>1057</v>
      </c>
    </row>
    <row r="434" customFormat="false" ht="15" hidden="false" customHeight="false" outlineLevel="0" collapsed="false">
      <c r="A434" s="0" t="s">
        <v>1052</v>
      </c>
      <c r="B434" s="0" t="s">
        <v>1212</v>
      </c>
      <c r="C434" s="0" t="s">
        <v>32</v>
      </c>
      <c r="D434" s="0" t="s">
        <v>151</v>
      </c>
      <c r="E434" s="0" t="s">
        <v>1213</v>
      </c>
      <c r="F434" s="0" t="s">
        <v>28</v>
      </c>
      <c r="G434" s="0" t="n">
        <f aca="false">HYPERLINK("http://clipc-services.ceda.ac.uk/dreq/u/590d24c4-9e49-11e5-803c-0d0b866b59f3.html","web")</f>
        <v>0</v>
      </c>
      <c r="H434" s="0" t="s">
        <v>1214</v>
      </c>
      <c r="I434" s="0" t="s">
        <v>1215</v>
      </c>
      <c r="J434" s="0" t="s">
        <v>1216</v>
      </c>
      <c r="K434" s="0" t="s">
        <v>1057</v>
      </c>
    </row>
    <row r="435" customFormat="false" ht="15" hidden="false" customHeight="false" outlineLevel="0" collapsed="false">
      <c r="A435" s="0" t="s">
        <v>1052</v>
      </c>
      <c r="B435" s="0" t="s">
        <v>1217</v>
      </c>
      <c r="C435" s="0" t="s">
        <v>32</v>
      </c>
      <c r="D435" s="0" t="s">
        <v>151</v>
      </c>
      <c r="E435" s="0" t="s">
        <v>1218</v>
      </c>
      <c r="F435" s="0" t="s">
        <v>153</v>
      </c>
      <c r="G435" s="0" t="n">
        <f aca="false">HYPERLINK("http://clipc-services.ceda.ac.uk/dreq/u/59176d94-9e49-11e5-803c-0d0b866b59f3.html","web")</f>
        <v>0</v>
      </c>
      <c r="H435" s="0" t="s">
        <v>1055</v>
      </c>
      <c r="I435" s="0" t="s">
        <v>43</v>
      </c>
      <c r="J435" s="0" t="s">
        <v>1219</v>
      </c>
      <c r="K435" s="0" t="s">
        <v>1057</v>
      </c>
    </row>
    <row r="436" customFormat="false" ht="15" hidden="false" customHeight="false" outlineLevel="0" collapsed="false">
      <c r="A436" s="0" t="s">
        <v>1052</v>
      </c>
      <c r="B436" s="0" t="s">
        <v>1220</v>
      </c>
      <c r="C436" s="0" t="s">
        <v>32</v>
      </c>
      <c r="D436" s="0" t="s">
        <v>151</v>
      </c>
      <c r="E436" s="0" t="s">
        <v>1221</v>
      </c>
      <c r="F436" s="0" t="s">
        <v>153</v>
      </c>
      <c r="G436" s="0" t="n">
        <f aca="false">HYPERLINK("http://clipc-services.ceda.ac.uk/dreq/u/59132b58-9e49-11e5-803c-0d0b866b59f3.html","web")</f>
        <v>0</v>
      </c>
      <c r="H436" s="0" t="s">
        <v>1055</v>
      </c>
      <c r="I436" s="0" t="s">
        <v>43</v>
      </c>
      <c r="J436" s="0" t="s">
        <v>1222</v>
      </c>
      <c r="K436" s="0" t="s">
        <v>1057</v>
      </c>
    </row>
    <row r="437" customFormat="false" ht="15" hidden="false" customHeight="false" outlineLevel="0" collapsed="false">
      <c r="A437" s="0" t="s">
        <v>1052</v>
      </c>
      <c r="B437" s="0" t="s">
        <v>1223</v>
      </c>
      <c r="C437" s="0" t="s">
        <v>32</v>
      </c>
      <c r="D437" s="0" t="s">
        <v>151</v>
      </c>
      <c r="E437" s="0" t="s">
        <v>1224</v>
      </c>
      <c r="F437" s="0" t="s">
        <v>153</v>
      </c>
      <c r="G437" s="0" t="n">
        <f aca="false">HYPERLINK("http://clipc-services.ceda.ac.uk/dreq/u/84f0bbbe-acb7-11e6-b5ee-ac72891c3257.html","web")</f>
        <v>0</v>
      </c>
      <c r="H437" s="0" t="s">
        <v>1225</v>
      </c>
      <c r="I437" s="0" t="s">
        <v>43</v>
      </c>
      <c r="J437" s="0" t="s">
        <v>1226</v>
      </c>
      <c r="K437" s="0" t="s">
        <v>1083</v>
      </c>
    </row>
    <row r="438" customFormat="false" ht="15" hidden="false" customHeight="false" outlineLevel="0" collapsed="false">
      <c r="A438" s="0" t="s">
        <v>1052</v>
      </c>
      <c r="B438" s="0" t="s">
        <v>1227</v>
      </c>
      <c r="C438" s="0" t="s">
        <v>32</v>
      </c>
      <c r="D438" s="0" t="s">
        <v>151</v>
      </c>
      <c r="E438" s="0" t="s">
        <v>1228</v>
      </c>
      <c r="F438" s="0" t="s">
        <v>153</v>
      </c>
      <c r="G438" s="0" t="n">
        <f aca="false">HYPERLINK("http://clipc-services.ceda.ac.uk/dreq/u/84f0f052-acb7-11e6-b5ee-ac72891c3257.html","web")</f>
        <v>0</v>
      </c>
      <c r="H438" s="0" t="s">
        <v>1176</v>
      </c>
      <c r="I438" s="0" t="s">
        <v>43</v>
      </c>
      <c r="J438" s="0" t="s">
        <v>1229</v>
      </c>
      <c r="K438" s="0" t="s">
        <v>1083</v>
      </c>
    </row>
    <row r="439" customFormat="false" ht="15" hidden="false" customHeight="false" outlineLevel="0" collapsed="false">
      <c r="A439" s="0" t="s">
        <v>1052</v>
      </c>
      <c r="B439" s="0" t="s">
        <v>1230</v>
      </c>
      <c r="C439" s="0" t="s">
        <v>32</v>
      </c>
      <c r="D439" s="0" t="s">
        <v>151</v>
      </c>
      <c r="E439" s="0" t="s">
        <v>1231</v>
      </c>
      <c r="F439" s="0" t="s">
        <v>153</v>
      </c>
      <c r="G439" s="0" t="n">
        <f aca="false">HYPERLINK("http://clipc-services.ceda.ac.uk/dreq/u/84f09f30-acb7-11e6-b5ee-ac72891c3257.html","web")</f>
        <v>0</v>
      </c>
      <c r="H439" s="0" t="s">
        <v>1225</v>
      </c>
      <c r="I439" s="0" t="s">
        <v>43</v>
      </c>
      <c r="J439" s="0" t="s">
        <v>1226</v>
      </c>
      <c r="K439" s="0" t="s">
        <v>1083</v>
      </c>
    </row>
    <row r="440" customFormat="false" ht="15" hidden="false" customHeight="false" outlineLevel="0" collapsed="false">
      <c r="A440" s="0" t="s">
        <v>1052</v>
      </c>
      <c r="B440" s="0" t="s">
        <v>1232</v>
      </c>
      <c r="C440" s="0" t="s">
        <v>13</v>
      </c>
      <c r="D440" s="0" t="s">
        <v>151</v>
      </c>
      <c r="E440" s="0" t="s">
        <v>1233</v>
      </c>
      <c r="F440" s="0" t="s">
        <v>13</v>
      </c>
      <c r="G440" s="0" t="n">
        <f aca="false">HYPERLINK("http://clipc-services.ceda.ac.uk/dreq/u/59130948-9e49-11e5-803c-0d0b866b59f3.html","web")</f>
        <v>0</v>
      </c>
      <c r="H440" s="0" t="s">
        <v>1234</v>
      </c>
      <c r="I440" s="0" t="s">
        <v>841</v>
      </c>
      <c r="J440" s="0" t="s">
        <v>1235</v>
      </c>
      <c r="K440" s="0" t="s">
        <v>1198</v>
      </c>
    </row>
    <row r="441" customFormat="false" ht="15" hidden="false" customHeight="false" outlineLevel="0" collapsed="false">
      <c r="A441" s="0" t="s">
        <v>1052</v>
      </c>
      <c r="B441" s="0" t="s">
        <v>1236</v>
      </c>
      <c r="C441" s="0" t="s">
        <v>13</v>
      </c>
      <c r="D441" s="0" t="s">
        <v>828</v>
      </c>
      <c r="E441" s="0" t="s">
        <v>1237</v>
      </c>
      <c r="F441" s="0" t="s">
        <v>13</v>
      </c>
      <c r="G441" s="0" t="n">
        <f aca="false">HYPERLINK("http://clipc-services.ceda.ac.uk/dreq/u/5914cf30-9e49-11e5-803c-0d0b866b59f3.html","web")</f>
        <v>0</v>
      </c>
      <c r="H441" s="0" t="s">
        <v>1238</v>
      </c>
      <c r="I441" s="0" t="s">
        <v>56</v>
      </c>
      <c r="J441" s="0" t="s">
        <v>1239</v>
      </c>
      <c r="K441" s="0" t="s">
        <v>1198</v>
      </c>
    </row>
    <row r="442" customFormat="false" ht="15" hidden="false" customHeight="false" outlineLevel="0" collapsed="false">
      <c r="A442" s="0" t="s">
        <v>1052</v>
      </c>
      <c r="B442" s="0" t="s">
        <v>1240</v>
      </c>
      <c r="C442" s="0" t="s">
        <v>13</v>
      </c>
      <c r="D442" s="0" t="s">
        <v>151</v>
      </c>
      <c r="E442" s="0" t="s">
        <v>1241</v>
      </c>
      <c r="F442" s="0" t="s">
        <v>13</v>
      </c>
      <c r="G442" s="0" t="n">
        <f aca="false">HYPERLINK("http://clipc-services.ceda.ac.uk/dreq/u/5914c0ee-9e49-11e5-803c-0d0b866b59f3.html","web")</f>
        <v>0</v>
      </c>
      <c r="H442" s="0" t="s">
        <v>1234</v>
      </c>
      <c r="I442" s="0" t="s">
        <v>841</v>
      </c>
      <c r="J442" s="0" t="s">
        <v>1242</v>
      </c>
      <c r="K442" s="0" t="s">
        <v>1198</v>
      </c>
    </row>
    <row r="443" customFormat="false" ht="15" hidden="false" customHeight="false" outlineLevel="0" collapsed="false">
      <c r="A443" s="0" t="s">
        <v>1052</v>
      </c>
      <c r="B443" s="0" t="s">
        <v>223</v>
      </c>
      <c r="C443" s="0" t="s">
        <v>13</v>
      </c>
      <c r="D443" s="0" t="s">
        <v>151</v>
      </c>
      <c r="E443" s="0" t="s">
        <v>225</v>
      </c>
      <c r="F443" s="0" t="s">
        <v>41</v>
      </c>
      <c r="G443" s="0" t="n">
        <f aca="false">HYPERLINK("http://clipc-services.ceda.ac.uk/dreq/u/00e77372e8b909d9a827a0790e991fd9.html","web")</f>
        <v>0</v>
      </c>
      <c r="H443" s="0" t="s">
        <v>226</v>
      </c>
      <c r="I443" s="0" t="s">
        <v>43</v>
      </c>
      <c r="J443" s="0" t="s">
        <v>227</v>
      </c>
      <c r="K443" s="0" t="s">
        <v>45</v>
      </c>
    </row>
    <row r="444" customFormat="false" ht="15" hidden="false" customHeight="false" outlineLevel="0" collapsed="false">
      <c r="A444" s="0" t="s">
        <v>1052</v>
      </c>
      <c r="B444" s="0" t="s">
        <v>880</v>
      </c>
      <c r="C444" s="0" t="s">
        <v>13</v>
      </c>
      <c r="D444" s="0" t="s">
        <v>1006</v>
      </c>
      <c r="E444" s="0" t="s">
        <v>882</v>
      </c>
      <c r="F444" s="0" t="s">
        <v>13</v>
      </c>
      <c r="G444" s="0" t="n">
        <f aca="false">HYPERLINK("http://clipc-services.ceda.ac.uk/dreq/u/a06b8e83250b870d9f39dc1f6534efcb.html","web")</f>
        <v>0</v>
      </c>
      <c r="H444" s="0" t="s">
        <v>883</v>
      </c>
      <c r="I444" s="0" t="s">
        <v>245</v>
      </c>
      <c r="J444" s="0" t="s">
        <v>884</v>
      </c>
      <c r="K444" s="0" t="s">
        <v>235</v>
      </c>
    </row>
    <row r="445" customFormat="false" ht="15" hidden="false" customHeight="false" outlineLevel="0" collapsed="false">
      <c r="A445" s="0" t="s">
        <v>1052</v>
      </c>
      <c r="B445" s="0" t="s">
        <v>198</v>
      </c>
      <c r="C445" s="0" t="s">
        <v>69</v>
      </c>
      <c r="D445" s="0" t="s">
        <v>61</v>
      </c>
      <c r="E445" s="0" t="s">
        <v>199</v>
      </c>
      <c r="F445" s="0" t="s">
        <v>74</v>
      </c>
      <c r="G445" s="0" t="n">
        <f aca="false">HYPERLINK("http://clipc-services.ceda.ac.uk/dreq/u/e526caea-dd83-11e5-9194-ac72891c3257.html","web")</f>
        <v>0</v>
      </c>
      <c r="H445" s="0" t="s">
        <v>135</v>
      </c>
      <c r="I445" s="0" t="s">
        <v>136</v>
      </c>
      <c r="J445" s="0" t="s">
        <v>200</v>
      </c>
      <c r="K445" s="0" t="s">
        <v>1005</v>
      </c>
    </row>
    <row r="446" customFormat="false" ht="15" hidden="false" customHeight="false" outlineLevel="0" collapsed="false">
      <c r="A446" s="0" t="s">
        <v>1052</v>
      </c>
      <c r="B446" s="0" t="s">
        <v>201</v>
      </c>
      <c r="C446" s="0" t="s">
        <v>69</v>
      </c>
      <c r="D446" s="0" t="s">
        <v>61</v>
      </c>
      <c r="E446" s="0" t="s">
        <v>202</v>
      </c>
      <c r="F446" s="0" t="s">
        <v>74</v>
      </c>
      <c r="G446" s="0" t="n">
        <f aca="false">HYPERLINK("http://clipc-services.ceda.ac.uk/dreq/u/e525bed4-dd83-11e5-9194-ac72891c3257.html","web")</f>
        <v>0</v>
      </c>
      <c r="H446" s="0" t="s">
        <v>140</v>
      </c>
      <c r="I446" s="0" t="s">
        <v>43</v>
      </c>
      <c r="J446" s="0" t="s">
        <v>203</v>
      </c>
      <c r="K446" s="0" t="s">
        <v>1005</v>
      </c>
    </row>
    <row r="447" customFormat="false" ht="15" hidden="false" customHeight="false" outlineLevel="0" collapsed="false">
      <c r="A447" s="0" t="s">
        <v>1052</v>
      </c>
      <c r="B447" s="0" t="s">
        <v>204</v>
      </c>
      <c r="C447" s="0" t="s">
        <v>69</v>
      </c>
      <c r="D447" s="0" t="s">
        <v>61</v>
      </c>
      <c r="E447" s="0" t="s">
        <v>205</v>
      </c>
      <c r="F447" s="0" t="s">
        <v>74</v>
      </c>
      <c r="G447" s="0" t="n">
        <f aca="false">HYPERLINK("http://clipc-services.ceda.ac.uk/dreq/u/e52644bc-dd83-11e5-9194-ac72891c3257.html","web")</f>
        <v>0</v>
      </c>
      <c r="H447" s="0" t="s">
        <v>135</v>
      </c>
      <c r="I447" s="0" t="s">
        <v>136</v>
      </c>
      <c r="J447" s="0" t="s">
        <v>206</v>
      </c>
      <c r="K447" s="0" t="s">
        <v>1005</v>
      </c>
    </row>
    <row r="448" customFormat="false" ht="15" hidden="false" customHeight="false" outlineLevel="0" collapsed="false">
      <c r="A448" s="0" t="s">
        <v>1052</v>
      </c>
      <c r="B448" s="0" t="s">
        <v>207</v>
      </c>
      <c r="C448" s="0" t="s">
        <v>69</v>
      </c>
      <c r="D448" s="0" t="s">
        <v>61</v>
      </c>
      <c r="E448" s="0" t="s">
        <v>208</v>
      </c>
      <c r="F448" s="0" t="s">
        <v>74</v>
      </c>
      <c r="G448" s="0" t="n">
        <f aca="false">HYPERLINK("http://clipc-services.ceda.ac.uk/dreq/u/e5278b06-dd83-11e5-9194-ac72891c3257.html","web")</f>
        <v>0</v>
      </c>
      <c r="H448" s="0" t="s">
        <v>140</v>
      </c>
      <c r="I448" s="0" t="s">
        <v>43</v>
      </c>
      <c r="J448" s="0" t="s">
        <v>209</v>
      </c>
      <c r="K448" s="0" t="s">
        <v>1005</v>
      </c>
    </row>
    <row r="449" customFormat="false" ht="15" hidden="false" customHeight="false" outlineLevel="0" collapsed="false">
      <c r="A449" s="0" t="s">
        <v>1052</v>
      </c>
      <c r="B449" s="0" t="s">
        <v>210</v>
      </c>
      <c r="C449" s="0" t="s">
        <v>69</v>
      </c>
      <c r="D449" s="0" t="s">
        <v>61</v>
      </c>
      <c r="E449" s="0" t="s">
        <v>211</v>
      </c>
      <c r="F449" s="0" t="s">
        <v>74</v>
      </c>
      <c r="G449" s="0" t="n">
        <f aca="false">HYPERLINK("http://clipc-services.ceda.ac.uk/dreq/u/e527532a-dd83-11e5-9194-ac72891c3257.html","web")</f>
        <v>0</v>
      </c>
      <c r="H449" s="0" t="s">
        <v>135</v>
      </c>
      <c r="I449" s="0" t="s">
        <v>136</v>
      </c>
      <c r="J449" s="0" t="s">
        <v>212</v>
      </c>
      <c r="K449" s="0" t="s">
        <v>1005</v>
      </c>
    </row>
    <row r="450" customFormat="false" ht="15" hidden="false" customHeight="false" outlineLevel="0" collapsed="false">
      <c r="A450" s="0" t="s">
        <v>1052</v>
      </c>
      <c r="B450" s="0" t="s">
        <v>1243</v>
      </c>
      <c r="C450" s="0" t="s">
        <v>13</v>
      </c>
      <c r="D450" s="0" t="s">
        <v>151</v>
      </c>
      <c r="E450" s="0" t="s">
        <v>1244</v>
      </c>
      <c r="F450" s="0" t="s">
        <v>153</v>
      </c>
      <c r="G450" s="0" t="n">
        <f aca="false">HYPERLINK("http://clipc-services.ceda.ac.uk/dreq/u/590f10b8-9e49-11e5-803c-0d0b866b59f3.html","web")</f>
        <v>0</v>
      </c>
      <c r="H450" s="0" t="s">
        <v>1010</v>
      </c>
      <c r="I450" s="0" t="s">
        <v>1011</v>
      </c>
      <c r="J450" s="0" t="s">
        <v>1245</v>
      </c>
      <c r="K450" s="0" t="s">
        <v>1198</v>
      </c>
    </row>
    <row r="451" customFormat="false" ht="15" hidden="false" customHeight="false" outlineLevel="0" collapsed="false">
      <c r="A451" s="0" t="s">
        <v>1052</v>
      </c>
      <c r="B451" s="0" t="s">
        <v>1246</v>
      </c>
      <c r="C451" s="0" t="s">
        <v>13</v>
      </c>
      <c r="D451" s="0" t="s">
        <v>151</v>
      </c>
      <c r="E451" s="0" t="s">
        <v>1247</v>
      </c>
      <c r="F451" s="0" t="s">
        <v>153</v>
      </c>
      <c r="G451" s="0" t="n">
        <f aca="false">HYPERLINK("http://clipc-services.ceda.ac.uk/dreq/u/590e4408-9e49-11e5-803c-0d0b866b59f3.html","web")</f>
        <v>0</v>
      </c>
      <c r="H451" s="0" t="s">
        <v>1010</v>
      </c>
      <c r="I451" s="0" t="s">
        <v>1011</v>
      </c>
      <c r="J451" s="0" t="s">
        <v>1248</v>
      </c>
      <c r="K451" s="0" t="s">
        <v>1198</v>
      </c>
    </row>
    <row r="452" customFormat="false" ht="15" hidden="false" customHeight="false" outlineLevel="0" collapsed="false">
      <c r="A452" s="0" t="s">
        <v>1052</v>
      </c>
      <c r="B452" s="0" t="s">
        <v>1249</v>
      </c>
      <c r="C452" s="0" t="s">
        <v>13</v>
      </c>
      <c r="D452" s="0" t="s">
        <v>151</v>
      </c>
      <c r="E452" s="0" t="s">
        <v>1250</v>
      </c>
      <c r="F452" s="0" t="s">
        <v>153</v>
      </c>
      <c r="G452" s="0" t="n">
        <f aca="false">HYPERLINK("http://clipc-services.ceda.ac.uk/dreq/u/590e105a-9e49-11e5-803c-0d0b866b59f3.html","web")</f>
        <v>0</v>
      </c>
      <c r="H452" s="0" t="s">
        <v>1010</v>
      </c>
      <c r="I452" s="0" t="s">
        <v>1011</v>
      </c>
      <c r="J452" s="0" t="s">
        <v>1251</v>
      </c>
      <c r="K452" s="0" t="s">
        <v>1198</v>
      </c>
    </row>
    <row r="453" customFormat="false" ht="15" hidden="false" customHeight="false" outlineLevel="0" collapsed="false">
      <c r="A453" s="0" t="s">
        <v>1052</v>
      </c>
      <c r="B453" s="0" t="s">
        <v>773</v>
      </c>
      <c r="C453" s="0" t="s">
        <v>13</v>
      </c>
      <c r="D453" s="0" t="s">
        <v>151</v>
      </c>
      <c r="E453" s="0" t="s">
        <v>774</v>
      </c>
      <c r="F453" s="0" t="s">
        <v>153</v>
      </c>
      <c r="G453" s="0" t="n">
        <f aca="false">HYPERLINK("http://clipc-services.ceda.ac.uk/dreq/u/7553003ead183dd3276108b6311a337f.html","web")</f>
        <v>0</v>
      </c>
      <c r="H453" s="0" t="s">
        <v>266</v>
      </c>
      <c r="I453" s="0" t="s">
        <v>239</v>
      </c>
      <c r="J453" s="0" t="s">
        <v>775</v>
      </c>
      <c r="K453" s="0" t="s">
        <v>776</v>
      </c>
    </row>
    <row r="454" customFormat="false" ht="15" hidden="false" customHeight="false" outlineLevel="0" collapsed="false">
      <c r="A454" s="0" t="s">
        <v>1052</v>
      </c>
      <c r="B454" s="0" t="s">
        <v>1252</v>
      </c>
      <c r="C454" s="0" t="s">
        <v>13</v>
      </c>
      <c r="D454" s="0" t="s">
        <v>151</v>
      </c>
      <c r="E454" s="0" t="s">
        <v>1253</v>
      </c>
      <c r="F454" s="0" t="s">
        <v>153</v>
      </c>
      <c r="G454" s="0" t="n">
        <f aca="false">HYPERLINK("http://clipc-services.ceda.ac.uk/dreq/u/591401a4-9e49-11e5-803c-0d0b866b59f3.html","web")</f>
        <v>0</v>
      </c>
      <c r="H454" s="0" t="s">
        <v>1010</v>
      </c>
      <c r="I454" s="0" t="s">
        <v>1011</v>
      </c>
      <c r="J454" s="0" t="s">
        <v>1254</v>
      </c>
      <c r="K454" s="0" t="s">
        <v>1198</v>
      </c>
    </row>
    <row r="455" customFormat="false" ht="15" hidden="false" customHeight="false" outlineLevel="0" collapsed="false">
      <c r="A455" s="0" t="s">
        <v>1052</v>
      </c>
      <c r="B455" s="0" t="s">
        <v>1255</v>
      </c>
      <c r="C455" s="0" t="s">
        <v>13</v>
      </c>
      <c r="D455" s="0" t="s">
        <v>151</v>
      </c>
      <c r="E455" s="0" t="s">
        <v>1256</v>
      </c>
      <c r="F455" s="0" t="s">
        <v>153</v>
      </c>
      <c r="G455" s="0" t="n">
        <f aca="false">HYPERLINK("http://clipc-services.ceda.ac.uk/dreq/u/591763b2-9e49-11e5-803c-0d0b866b59f3.html","web")</f>
        <v>0</v>
      </c>
      <c r="H455" s="0" t="s">
        <v>1010</v>
      </c>
      <c r="I455" s="0" t="s">
        <v>1011</v>
      </c>
      <c r="J455" s="0" t="s">
        <v>1257</v>
      </c>
      <c r="K455" s="0" t="s">
        <v>1198</v>
      </c>
    </row>
    <row r="456" customFormat="false" ht="15" hidden="false" customHeight="false" outlineLevel="0" collapsed="false">
      <c r="A456" s="0" t="s">
        <v>1052</v>
      </c>
      <c r="B456" s="0" t="s">
        <v>1258</v>
      </c>
      <c r="C456" s="0" t="s">
        <v>13</v>
      </c>
      <c r="D456" s="0" t="s">
        <v>151</v>
      </c>
      <c r="E456" s="0" t="s">
        <v>1259</v>
      </c>
      <c r="F456" s="0" t="s">
        <v>153</v>
      </c>
      <c r="G456" s="0" t="n">
        <f aca="false">HYPERLINK("http://clipc-services.ceda.ac.uk/dreq/u/5912fb88-9e49-11e5-803c-0d0b866b59f3.html","web")</f>
        <v>0</v>
      </c>
      <c r="H456" s="0" t="s">
        <v>1010</v>
      </c>
      <c r="I456" s="0" t="s">
        <v>1011</v>
      </c>
      <c r="J456" s="0" t="s">
        <v>1260</v>
      </c>
      <c r="K456" s="0" t="s">
        <v>1198</v>
      </c>
    </row>
    <row r="457" customFormat="false" ht="15" hidden="false" customHeight="false" outlineLevel="0" collapsed="false">
      <c r="A457" s="0" t="s">
        <v>1052</v>
      </c>
      <c r="B457" s="0" t="s">
        <v>1261</v>
      </c>
      <c r="C457" s="0" t="s">
        <v>13</v>
      </c>
      <c r="D457" s="0" t="s">
        <v>459</v>
      </c>
      <c r="E457" s="0" t="s">
        <v>1262</v>
      </c>
      <c r="F457" s="0" t="s">
        <v>28</v>
      </c>
      <c r="G457" s="0" t="n">
        <f aca="false">HYPERLINK("http://clipc-services.ceda.ac.uk/dreq/u/590f7e72-9e49-11e5-803c-0d0b866b59f3.html","web")</f>
        <v>0</v>
      </c>
      <c r="H457" s="0" t="s">
        <v>1010</v>
      </c>
      <c r="I457" s="0" t="s">
        <v>1011</v>
      </c>
      <c r="J457" s="0" t="s">
        <v>1263</v>
      </c>
      <c r="K457" s="0" t="s">
        <v>1198</v>
      </c>
    </row>
    <row r="458" customFormat="false" ht="15" hidden="false" customHeight="false" outlineLevel="0" collapsed="false">
      <c r="A458" s="0" t="s">
        <v>1052</v>
      </c>
      <c r="B458" s="0" t="s">
        <v>1264</v>
      </c>
      <c r="C458" s="0" t="s">
        <v>13</v>
      </c>
      <c r="D458" s="0" t="s">
        <v>61</v>
      </c>
      <c r="E458" s="0" t="s">
        <v>1265</v>
      </c>
      <c r="F458" s="0" t="s">
        <v>28</v>
      </c>
      <c r="G458" s="0" t="n">
        <f aca="false">HYPERLINK("http://clipc-services.ceda.ac.uk/dreq/u/590e0dd0-9e49-11e5-803c-0d0b866b59f3.html","web")</f>
        <v>0</v>
      </c>
      <c r="H458" s="0" t="s">
        <v>1010</v>
      </c>
      <c r="I458" s="0" t="s">
        <v>1011</v>
      </c>
      <c r="J458" s="0" t="s">
        <v>1266</v>
      </c>
      <c r="K458" s="0" t="s">
        <v>1198</v>
      </c>
    </row>
    <row r="459" customFormat="false" ht="15" hidden="false" customHeight="false" outlineLevel="0" collapsed="false">
      <c r="A459" s="0" t="s">
        <v>1052</v>
      </c>
      <c r="B459" s="0" t="s">
        <v>1267</v>
      </c>
      <c r="C459" s="0" t="s">
        <v>13</v>
      </c>
      <c r="D459" s="0" t="s">
        <v>459</v>
      </c>
      <c r="E459" s="0" t="s">
        <v>1268</v>
      </c>
      <c r="F459" s="0" t="s">
        <v>28</v>
      </c>
      <c r="G459" s="0" t="n">
        <f aca="false">HYPERLINK("http://clipc-services.ceda.ac.uk/dreq/u/5914fd52-9e49-11e5-803c-0d0b866b59f3.html","web")</f>
        <v>0</v>
      </c>
      <c r="H459" s="0" t="s">
        <v>1010</v>
      </c>
      <c r="I459" s="0" t="s">
        <v>1011</v>
      </c>
      <c r="J459" s="0" t="s">
        <v>1269</v>
      </c>
      <c r="K459" s="0" t="s">
        <v>1198</v>
      </c>
    </row>
    <row r="460" customFormat="false" ht="15" hidden="false" customHeight="false" outlineLevel="0" collapsed="false">
      <c r="A460" s="0" t="s">
        <v>1052</v>
      </c>
      <c r="B460" s="0" t="s">
        <v>1270</v>
      </c>
      <c r="C460" s="0" t="s">
        <v>32</v>
      </c>
      <c r="D460" s="0" t="s">
        <v>151</v>
      </c>
      <c r="E460" s="0" t="s">
        <v>1271</v>
      </c>
      <c r="F460" s="0" t="s">
        <v>153</v>
      </c>
      <c r="G460" s="0" t="n">
        <f aca="false">HYPERLINK("http://clipc-services.ceda.ac.uk/dreq/u/84f108a8-acb7-11e6-b5ee-ac72891c3257.html","web")</f>
        <v>0</v>
      </c>
      <c r="H460" s="0" t="s">
        <v>1176</v>
      </c>
      <c r="I460" s="0" t="s">
        <v>43</v>
      </c>
      <c r="J460" s="0" t="s">
        <v>1272</v>
      </c>
      <c r="K460" s="0" t="s">
        <v>1083</v>
      </c>
    </row>
    <row r="461" customFormat="false" ht="15" hidden="false" customHeight="false" outlineLevel="0" collapsed="false">
      <c r="A461" s="0" t="s">
        <v>1052</v>
      </c>
      <c r="B461" s="0" t="s">
        <v>1273</v>
      </c>
      <c r="C461" s="0" t="s">
        <v>32</v>
      </c>
      <c r="D461" s="0" t="s">
        <v>151</v>
      </c>
      <c r="E461" s="0" t="s">
        <v>1274</v>
      </c>
      <c r="F461" s="0" t="s">
        <v>153</v>
      </c>
      <c r="G461" s="0" t="n">
        <f aca="false">HYPERLINK("http://clipc-services.ceda.ac.uk/dreq/u/590dd13a-9e49-11e5-803c-0d0b866b59f3.html","web")</f>
        <v>0</v>
      </c>
      <c r="H461" s="0" t="s">
        <v>1055</v>
      </c>
      <c r="I461" s="0" t="s">
        <v>43</v>
      </c>
      <c r="J461" s="0" t="s">
        <v>1275</v>
      </c>
      <c r="K461" s="0" t="s">
        <v>1057</v>
      </c>
    </row>
    <row r="462" customFormat="false" ht="15" hidden="false" customHeight="false" outlineLevel="0" collapsed="false">
      <c r="A462" s="0" t="s">
        <v>1052</v>
      </c>
      <c r="B462" s="0" t="s">
        <v>1276</v>
      </c>
      <c r="C462" s="0" t="s">
        <v>32</v>
      </c>
      <c r="D462" s="0" t="s">
        <v>151</v>
      </c>
      <c r="E462" s="0" t="s">
        <v>1277</v>
      </c>
      <c r="F462" s="0" t="s">
        <v>153</v>
      </c>
      <c r="G462" s="0" t="n">
        <f aca="false">HYPERLINK("http://clipc-services.ceda.ac.uk/dreq/u/5914517c-9e49-11e5-803c-0d0b866b59f3.html","web")</f>
        <v>0</v>
      </c>
      <c r="H462" s="0" t="s">
        <v>1055</v>
      </c>
      <c r="I462" s="0" t="s">
        <v>43</v>
      </c>
      <c r="J462" s="0" t="s">
        <v>1278</v>
      </c>
      <c r="K462" s="0" t="s">
        <v>1057</v>
      </c>
    </row>
    <row r="463" customFormat="false" ht="15" hidden="false" customHeight="false" outlineLevel="0" collapsed="false">
      <c r="A463" s="0" t="s">
        <v>1052</v>
      </c>
      <c r="B463" s="0" t="s">
        <v>1279</v>
      </c>
      <c r="C463" s="0" t="s">
        <v>32</v>
      </c>
      <c r="D463" s="0" t="s">
        <v>151</v>
      </c>
      <c r="E463" s="0" t="s">
        <v>1280</v>
      </c>
      <c r="F463" s="0" t="s">
        <v>153</v>
      </c>
      <c r="G463" s="0" t="n">
        <f aca="false">HYPERLINK("http://clipc-services.ceda.ac.uk/dreq/u/84f0beac-acb7-11e6-b5ee-ac72891c3257.html","web")</f>
        <v>0</v>
      </c>
      <c r="H463" s="0" t="s">
        <v>1281</v>
      </c>
      <c r="I463" s="0" t="s">
        <v>43</v>
      </c>
      <c r="J463" s="0" t="s">
        <v>1282</v>
      </c>
      <c r="K463" s="0" t="s">
        <v>1083</v>
      </c>
    </row>
    <row r="464" customFormat="false" ht="15" hidden="false" customHeight="false" outlineLevel="0" collapsed="false">
      <c r="A464" s="0" t="s">
        <v>1052</v>
      </c>
      <c r="B464" s="0" t="s">
        <v>1283</v>
      </c>
      <c r="C464" s="0" t="s">
        <v>32</v>
      </c>
      <c r="D464" s="0" t="s">
        <v>151</v>
      </c>
      <c r="E464" s="0" t="s">
        <v>1284</v>
      </c>
      <c r="F464" s="0" t="s">
        <v>153</v>
      </c>
      <c r="G464" s="0" t="n">
        <f aca="false">HYPERLINK("http://clipc-services.ceda.ac.uk/dreq/u/84f0f354-acb7-11e6-b5ee-ac72891c3257.html","web")</f>
        <v>0</v>
      </c>
      <c r="H464" s="0" t="s">
        <v>1281</v>
      </c>
      <c r="I464" s="0" t="s">
        <v>43</v>
      </c>
      <c r="J464" s="0" t="s">
        <v>1285</v>
      </c>
      <c r="K464" s="0" t="s">
        <v>1083</v>
      </c>
    </row>
    <row r="465" customFormat="false" ht="15" hidden="false" customHeight="false" outlineLevel="0" collapsed="false">
      <c r="A465" s="0" t="s">
        <v>1052</v>
      </c>
      <c r="B465" s="0" t="s">
        <v>1286</v>
      </c>
      <c r="C465" s="0" t="s">
        <v>32</v>
      </c>
      <c r="D465" s="0" t="s">
        <v>151</v>
      </c>
      <c r="E465" s="0" t="s">
        <v>1287</v>
      </c>
      <c r="F465" s="0" t="s">
        <v>153</v>
      </c>
      <c r="G465" s="0" t="n">
        <f aca="false">HYPERLINK("http://clipc-services.ceda.ac.uk/dreq/u/84f1117c-acb7-11e6-b5ee-ac72891c3257.html","web")</f>
        <v>0</v>
      </c>
      <c r="H465" s="0" t="s">
        <v>1281</v>
      </c>
      <c r="I465" s="0" t="s">
        <v>43</v>
      </c>
      <c r="J465" s="0" t="s">
        <v>1288</v>
      </c>
      <c r="K465" s="0" t="s">
        <v>1083</v>
      </c>
    </row>
    <row r="466" customFormat="false" ht="15" hidden="false" customHeight="false" outlineLevel="0" collapsed="false">
      <c r="A466" s="0" t="s">
        <v>1052</v>
      </c>
      <c r="B466" s="0" t="s">
        <v>1289</v>
      </c>
      <c r="C466" s="0" t="s">
        <v>32</v>
      </c>
      <c r="D466" s="0" t="s">
        <v>151</v>
      </c>
      <c r="E466" s="0" t="s">
        <v>1290</v>
      </c>
      <c r="F466" s="0" t="s">
        <v>153</v>
      </c>
      <c r="G466" s="0" t="n">
        <f aca="false">HYPERLINK("http://clipc-services.ceda.ac.uk/dreq/u/590f1f68-9e49-11e5-803c-0d0b866b59f3.html","web")</f>
        <v>0</v>
      </c>
      <c r="H466" s="0" t="s">
        <v>1055</v>
      </c>
      <c r="I466" s="0" t="s">
        <v>43</v>
      </c>
      <c r="J466" s="0" t="s">
        <v>1291</v>
      </c>
      <c r="K466" s="0" t="s">
        <v>1057</v>
      </c>
    </row>
    <row r="467" customFormat="false" ht="15" hidden="false" customHeight="false" outlineLevel="0" collapsed="false">
      <c r="A467" s="0" t="s">
        <v>1052</v>
      </c>
      <c r="B467" s="0" t="s">
        <v>1292</v>
      </c>
      <c r="C467" s="0" t="s">
        <v>32</v>
      </c>
      <c r="D467" s="0" t="s">
        <v>151</v>
      </c>
      <c r="E467" s="0" t="s">
        <v>1293</v>
      </c>
      <c r="F467" s="0" t="s">
        <v>153</v>
      </c>
      <c r="G467" s="0" t="n">
        <f aca="false">HYPERLINK("http://clipc-services.ceda.ac.uk/dreq/u/590f2436-9e49-11e5-803c-0d0b866b59f3.html","web")</f>
        <v>0</v>
      </c>
      <c r="H467" s="0" t="s">
        <v>1055</v>
      </c>
      <c r="I467" s="0" t="s">
        <v>43</v>
      </c>
      <c r="J467" s="0" t="s">
        <v>1291</v>
      </c>
      <c r="K467" s="0" t="s">
        <v>1057</v>
      </c>
    </row>
    <row r="468" customFormat="false" ht="15" hidden="false" customHeight="false" outlineLevel="0" collapsed="false">
      <c r="A468" s="0" t="s">
        <v>1052</v>
      </c>
      <c r="B468" s="0" t="s">
        <v>1294</v>
      </c>
      <c r="C468" s="0" t="s">
        <v>13</v>
      </c>
      <c r="D468" s="0" t="s">
        <v>1165</v>
      </c>
      <c r="E468" s="0" t="s">
        <v>1295</v>
      </c>
      <c r="F468" s="0" t="s">
        <v>348</v>
      </c>
      <c r="G468" s="0" t="n">
        <f aca="false">HYPERLINK("http://clipc-services.ceda.ac.uk/dreq/u/5912c3de-9e49-11e5-803c-0d0b866b59f3.html","web")</f>
        <v>0</v>
      </c>
      <c r="H468" s="0" t="s">
        <v>1167</v>
      </c>
      <c r="I468" s="0" t="s">
        <v>1168</v>
      </c>
      <c r="J468" s="0" t="s">
        <v>1296</v>
      </c>
      <c r="K468" s="0" t="s">
        <v>1170</v>
      </c>
    </row>
    <row r="469" customFormat="false" ht="15" hidden="false" customHeight="false" outlineLevel="0" collapsed="false">
      <c r="A469" s="0" t="s">
        <v>1052</v>
      </c>
      <c r="B469" s="0" t="s">
        <v>1008</v>
      </c>
      <c r="C469" s="0" t="s">
        <v>13</v>
      </c>
      <c r="D469" s="0" t="s">
        <v>151</v>
      </c>
      <c r="E469" s="0" t="s">
        <v>1009</v>
      </c>
      <c r="F469" s="0" t="s">
        <v>348</v>
      </c>
      <c r="G469" s="0" t="n">
        <f aca="false">HYPERLINK("http://clipc-services.ceda.ac.uk/dreq/u/6ca9dd8a089b15fb96841e9fe56411cf.html","web")</f>
        <v>0</v>
      </c>
      <c r="H469" s="0" t="s">
        <v>1010</v>
      </c>
      <c r="I469" s="0" t="s">
        <v>1011</v>
      </c>
      <c r="J469" s="0" t="s">
        <v>1012</v>
      </c>
      <c r="K469" s="0" t="s">
        <v>1124</v>
      </c>
    </row>
    <row r="470" customFormat="false" ht="15" hidden="false" customHeight="false" outlineLevel="0" collapsed="false">
      <c r="A470" s="0" t="s">
        <v>1052</v>
      </c>
      <c r="B470" s="0" t="s">
        <v>406</v>
      </c>
      <c r="C470" s="0" t="s">
        <v>13</v>
      </c>
      <c r="D470" s="0" t="s">
        <v>151</v>
      </c>
      <c r="E470" s="0" t="s">
        <v>407</v>
      </c>
      <c r="F470" s="0" t="s">
        <v>348</v>
      </c>
      <c r="G470" s="0" t="n">
        <f aca="false">HYPERLINK("http://clipc-services.ceda.ac.uk/dreq/u/f27656eeae247192e82aa1032c911399.html","web")</f>
        <v>0</v>
      </c>
      <c r="H470" s="0" t="s">
        <v>408</v>
      </c>
      <c r="I470" s="0" t="s">
        <v>409</v>
      </c>
      <c r="J470" s="0" t="s">
        <v>410</v>
      </c>
      <c r="K470" s="0" t="s">
        <v>1124</v>
      </c>
    </row>
    <row r="471" customFormat="false" ht="15" hidden="false" customHeight="false" outlineLevel="0" collapsed="false">
      <c r="A471" s="0" t="s">
        <v>1052</v>
      </c>
      <c r="B471" s="0" t="s">
        <v>1297</v>
      </c>
      <c r="C471" s="0" t="s">
        <v>13</v>
      </c>
      <c r="D471" s="0" t="s">
        <v>1165</v>
      </c>
      <c r="E471" s="0" t="s">
        <v>1298</v>
      </c>
      <c r="F471" s="0" t="s">
        <v>348</v>
      </c>
      <c r="G471" s="0" t="n">
        <f aca="false">HYPERLINK("http://clipc-services.ceda.ac.uk/dreq/u/5912e6d4-9e49-11e5-803c-0d0b866b59f3.html","web")</f>
        <v>0</v>
      </c>
      <c r="H471" s="0" t="s">
        <v>1167</v>
      </c>
      <c r="I471" s="0" t="s">
        <v>1168</v>
      </c>
      <c r="J471" s="0" t="s">
        <v>1299</v>
      </c>
      <c r="K471" s="0" t="s">
        <v>1170</v>
      </c>
    </row>
    <row r="472" customFormat="false" ht="15" hidden="false" customHeight="false" outlineLevel="0" collapsed="false">
      <c r="A472" s="0" t="s">
        <v>1052</v>
      </c>
      <c r="B472" s="0" t="s">
        <v>1300</v>
      </c>
      <c r="C472" s="0" t="s">
        <v>13</v>
      </c>
      <c r="D472" s="0" t="s">
        <v>151</v>
      </c>
      <c r="E472" s="0" t="s">
        <v>1301</v>
      </c>
      <c r="F472" s="0" t="s">
        <v>101</v>
      </c>
      <c r="G472" s="0" t="n">
        <f aca="false">HYPERLINK("http://clipc-services.ceda.ac.uk/dreq/u/31a3caf70db7a8ed71e8d0a226365105.html","web")</f>
        <v>0</v>
      </c>
      <c r="H472" s="0" t="s">
        <v>1131</v>
      </c>
      <c r="I472" s="0" t="s">
        <v>343</v>
      </c>
      <c r="J472" s="0" t="s">
        <v>1302</v>
      </c>
      <c r="K472" s="0" t="s">
        <v>1124</v>
      </c>
    </row>
    <row r="473" customFormat="false" ht="15" hidden="false" customHeight="false" outlineLevel="0" collapsed="false">
      <c r="A473" s="0" t="s">
        <v>1052</v>
      </c>
      <c r="B473" s="0" t="s">
        <v>1303</v>
      </c>
      <c r="C473" s="0" t="s">
        <v>13</v>
      </c>
      <c r="D473" s="0" t="s">
        <v>61</v>
      </c>
      <c r="E473" s="0" t="s">
        <v>1304</v>
      </c>
      <c r="F473" s="0" t="s">
        <v>13</v>
      </c>
      <c r="G473" s="0" t="n">
        <f aca="false">HYPERLINK("http://clipc-services.ceda.ac.uk/dreq/u/fdca5cbf-4d35-11e8-be0a-1c4d70487308.html","web")</f>
        <v>0</v>
      </c>
      <c r="H473" s="0" t="s">
        <v>1305</v>
      </c>
      <c r="I473" s="0" t="s">
        <v>330</v>
      </c>
      <c r="J473" s="0" t="s">
        <v>1306</v>
      </c>
      <c r="K473" s="0" t="s">
        <v>1198</v>
      </c>
    </row>
    <row r="474" customFormat="false" ht="15" hidden="false" customHeight="false" outlineLevel="0" collapsed="false">
      <c r="A474" s="0" t="s">
        <v>1052</v>
      </c>
      <c r="B474" s="0" t="s">
        <v>1307</v>
      </c>
      <c r="C474" s="0" t="s">
        <v>13</v>
      </c>
      <c r="D474" s="0" t="s">
        <v>459</v>
      </c>
      <c r="E474" s="0" t="s">
        <v>1308</v>
      </c>
      <c r="F474" s="0" t="s">
        <v>13</v>
      </c>
      <c r="G474" s="0" t="n">
        <f aca="false">HYPERLINK("http://clipc-services.ceda.ac.uk/dreq/u/590d4440-9e49-11e5-803c-0d0b866b59f3.html","web")</f>
        <v>0</v>
      </c>
      <c r="H474" s="0" t="s">
        <v>1010</v>
      </c>
      <c r="I474" s="0" t="s">
        <v>1011</v>
      </c>
      <c r="J474" s="0" t="s">
        <v>1309</v>
      </c>
      <c r="K474" s="0" t="s">
        <v>1198</v>
      </c>
    </row>
    <row r="475" customFormat="false" ht="15" hidden="false" customHeight="false" outlineLevel="0" collapsed="false">
      <c r="A475" s="0" t="s">
        <v>1052</v>
      </c>
      <c r="B475" s="0" t="s">
        <v>1310</v>
      </c>
      <c r="C475" s="0" t="s">
        <v>13</v>
      </c>
      <c r="D475" s="0" t="s">
        <v>61</v>
      </c>
      <c r="E475" s="0" t="s">
        <v>1311</v>
      </c>
      <c r="F475" s="0" t="s">
        <v>13</v>
      </c>
      <c r="G475" s="0" t="n">
        <f aca="false">HYPERLINK("http://clipc-services.ceda.ac.uk/dreq/u/fdca5cc0-4d35-11e8-be0a-1c4d70487308.html","web")</f>
        <v>0</v>
      </c>
      <c r="H475" s="0" t="s">
        <v>1010</v>
      </c>
      <c r="I475" s="0" t="s">
        <v>1011</v>
      </c>
      <c r="J475" s="0" t="s">
        <v>1312</v>
      </c>
      <c r="K475" s="0" t="s">
        <v>1198</v>
      </c>
    </row>
    <row r="476" customFormat="false" ht="15" hidden="false" customHeight="false" outlineLevel="0" collapsed="false">
      <c r="A476" s="0" t="s">
        <v>1052</v>
      </c>
      <c r="B476" s="0" t="s">
        <v>1313</v>
      </c>
      <c r="C476" s="0" t="s">
        <v>13</v>
      </c>
      <c r="D476" s="0" t="s">
        <v>1165</v>
      </c>
      <c r="E476" s="0" t="s">
        <v>1314</v>
      </c>
      <c r="F476" s="0" t="s">
        <v>41</v>
      </c>
      <c r="G476" s="0" t="n">
        <f aca="false">HYPERLINK("http://clipc-services.ceda.ac.uk/dreq/u/590e379c-9e49-11e5-803c-0d0b866b59f3.html","web")</f>
        <v>0</v>
      </c>
      <c r="H476" s="0" t="s">
        <v>1167</v>
      </c>
      <c r="I476" s="0" t="s">
        <v>1168</v>
      </c>
      <c r="J476" s="0" t="s">
        <v>1315</v>
      </c>
      <c r="K476" s="0" t="s">
        <v>1170</v>
      </c>
    </row>
    <row r="477" customFormat="false" ht="15" hidden="false" customHeight="false" outlineLevel="0" collapsed="false">
      <c r="A477" s="0" t="s">
        <v>1052</v>
      </c>
      <c r="B477" s="0" t="s">
        <v>1316</v>
      </c>
      <c r="C477" s="0" t="s">
        <v>13</v>
      </c>
      <c r="D477" s="0" t="s">
        <v>151</v>
      </c>
      <c r="E477" s="0" t="s">
        <v>1317</v>
      </c>
      <c r="F477" s="0" t="s">
        <v>348</v>
      </c>
      <c r="G477" s="0" t="n">
        <f aca="false">HYPERLINK("http://clipc-services.ceda.ac.uk/dreq/u/590f465a-9e49-11e5-803c-0d0b866b59f3.html","web")</f>
        <v>0</v>
      </c>
      <c r="H477" s="0" t="s">
        <v>1196</v>
      </c>
      <c r="I477" s="0" t="s">
        <v>56</v>
      </c>
      <c r="J477" s="0" t="s">
        <v>1197</v>
      </c>
      <c r="K477" s="0" t="s">
        <v>1198</v>
      </c>
    </row>
    <row r="478" customFormat="false" ht="15" hidden="false" customHeight="false" outlineLevel="0" collapsed="false">
      <c r="A478" s="0" t="s">
        <v>1052</v>
      </c>
      <c r="B478" s="0" t="s">
        <v>1318</v>
      </c>
      <c r="C478" s="0" t="s">
        <v>13</v>
      </c>
      <c r="D478" s="0" t="s">
        <v>151</v>
      </c>
      <c r="E478" s="0" t="s">
        <v>1319</v>
      </c>
      <c r="F478" s="0" t="s">
        <v>348</v>
      </c>
      <c r="G478" s="0" t="n">
        <f aca="false">HYPERLINK("http://clipc-services.ceda.ac.uk/dreq/u/5917cf46-9e49-11e5-803c-0d0b866b59f3.html","web")</f>
        <v>0</v>
      </c>
      <c r="H478" s="0" t="s">
        <v>1196</v>
      </c>
      <c r="I478" s="0" t="s">
        <v>56</v>
      </c>
      <c r="J478" s="0" t="s">
        <v>1320</v>
      </c>
      <c r="K478" s="0" t="s">
        <v>1198</v>
      </c>
    </row>
    <row r="479" customFormat="false" ht="15" hidden="false" customHeight="false" outlineLevel="0" collapsed="false">
      <c r="A479" s="0" t="s">
        <v>1052</v>
      </c>
      <c r="B479" s="0" t="s">
        <v>1321</v>
      </c>
      <c r="C479" s="0" t="s">
        <v>13</v>
      </c>
      <c r="D479" s="0" t="s">
        <v>151</v>
      </c>
      <c r="E479" s="0" t="s">
        <v>1322</v>
      </c>
      <c r="F479" s="0" t="s">
        <v>348</v>
      </c>
      <c r="G479" s="0" t="n">
        <f aca="false">HYPERLINK("http://clipc-services.ceda.ac.uk/dreq/u/4cabf9607859a83bcb3bc00fa8d0698c.html","web")</f>
        <v>0</v>
      </c>
      <c r="H479" s="0" t="s">
        <v>1196</v>
      </c>
      <c r="I479" s="0" t="s">
        <v>56</v>
      </c>
      <c r="J479" s="0" t="s">
        <v>1204</v>
      </c>
      <c r="K479" s="0" t="s">
        <v>1198</v>
      </c>
    </row>
    <row r="480" customFormat="false" ht="15" hidden="false" customHeight="false" outlineLevel="0" collapsed="false">
      <c r="A480" s="0" t="s">
        <v>1052</v>
      </c>
      <c r="B480" s="0" t="s">
        <v>1323</v>
      </c>
      <c r="C480" s="0" t="s">
        <v>13</v>
      </c>
      <c r="D480" s="0" t="s">
        <v>151</v>
      </c>
      <c r="E480" s="0" t="s">
        <v>1324</v>
      </c>
      <c r="F480" s="0" t="s">
        <v>348</v>
      </c>
      <c r="G480" s="0" t="n">
        <f aca="false">HYPERLINK("http://clipc-services.ceda.ac.uk/dreq/u/332db812bf06c7af2de1b9d1e0cf58c9.html","web")</f>
        <v>0</v>
      </c>
      <c r="H480" s="0" t="s">
        <v>1196</v>
      </c>
      <c r="I480" s="0" t="s">
        <v>56</v>
      </c>
      <c r="J480" s="0" t="s">
        <v>1204</v>
      </c>
      <c r="K480" s="0" t="s">
        <v>1198</v>
      </c>
    </row>
    <row r="481" customFormat="false" ht="15" hidden="false" customHeight="false" outlineLevel="0" collapsed="false">
      <c r="A481" s="0" t="s">
        <v>1052</v>
      </c>
      <c r="B481" s="0" t="s">
        <v>1325</v>
      </c>
      <c r="C481" s="0" t="s">
        <v>32</v>
      </c>
      <c r="D481" s="0" t="s">
        <v>1105</v>
      </c>
      <c r="E481" s="0" t="s">
        <v>1326</v>
      </c>
      <c r="F481" s="0" t="s">
        <v>378</v>
      </c>
      <c r="G481" s="0" t="n">
        <f aca="false">HYPERLINK("http://clipc-services.ceda.ac.uk/dreq/u/84f1146a-acb7-11e6-b5ee-ac72891c3257.html","web")</f>
        <v>0</v>
      </c>
      <c r="H481" s="0" t="s">
        <v>1107</v>
      </c>
      <c r="I481" s="0" t="s">
        <v>43</v>
      </c>
      <c r="J481" s="0" t="s">
        <v>1327</v>
      </c>
      <c r="K481" s="0" t="s">
        <v>1083</v>
      </c>
    </row>
    <row r="482" customFormat="false" ht="15" hidden="false" customHeight="false" outlineLevel="0" collapsed="false">
      <c r="A482" s="0" t="s">
        <v>1052</v>
      </c>
      <c r="B482" s="0" t="s">
        <v>1328</v>
      </c>
      <c r="C482" s="0" t="s">
        <v>13</v>
      </c>
      <c r="D482" s="0" t="s">
        <v>1191</v>
      </c>
      <c r="E482" s="0" t="s">
        <v>1329</v>
      </c>
      <c r="F482" s="0" t="s">
        <v>852</v>
      </c>
      <c r="G482" s="0" t="n">
        <f aca="false">HYPERLINK("http://clipc-services.ceda.ac.uk/dreq/u/590f1a90-9e49-11e5-803c-0d0b866b59f3.html","web")</f>
        <v>0</v>
      </c>
      <c r="H482" s="0" t="s">
        <v>1167</v>
      </c>
      <c r="I482" s="0" t="s">
        <v>1168</v>
      </c>
      <c r="J482" s="0" t="s">
        <v>1330</v>
      </c>
      <c r="K482" s="0" t="s">
        <v>1170</v>
      </c>
    </row>
    <row r="483" customFormat="false" ht="15" hidden="false" customHeight="false" outlineLevel="0" collapsed="false">
      <c r="A483" s="0" t="s">
        <v>1052</v>
      </c>
      <c r="B483" s="0" t="s">
        <v>1013</v>
      </c>
      <c r="C483" s="0" t="s">
        <v>13</v>
      </c>
      <c r="D483" s="0" t="s">
        <v>986</v>
      </c>
      <c r="E483" s="0" t="s">
        <v>1014</v>
      </c>
      <c r="F483" s="0" t="s">
        <v>852</v>
      </c>
      <c r="G483" s="0" t="n">
        <f aca="false">HYPERLINK("http://clipc-services.ceda.ac.uk/dreq/u/170ff384-b622-11e6-bbe2-ac72891c3257.html","web")</f>
        <v>0</v>
      </c>
      <c r="H483" s="0" t="s">
        <v>988</v>
      </c>
      <c r="I483" s="0" t="s">
        <v>989</v>
      </c>
      <c r="J483" s="0" t="s">
        <v>1015</v>
      </c>
      <c r="K483" s="0" t="s">
        <v>781</v>
      </c>
    </row>
    <row r="484" customFormat="false" ht="15" hidden="false" customHeight="false" outlineLevel="0" collapsed="false">
      <c r="A484" s="0" t="s">
        <v>1052</v>
      </c>
      <c r="B484" s="0" t="s">
        <v>1016</v>
      </c>
      <c r="C484" s="0" t="s">
        <v>13</v>
      </c>
      <c r="D484" s="0" t="s">
        <v>986</v>
      </c>
      <c r="E484" s="0" t="s">
        <v>1017</v>
      </c>
      <c r="F484" s="0" t="s">
        <v>852</v>
      </c>
      <c r="G484" s="0" t="n">
        <f aca="false">HYPERLINK("http://clipc-services.ceda.ac.uk/dreq/u/1758307c-b622-11e6-bbe2-ac72891c3257.html","web")</f>
        <v>0</v>
      </c>
      <c r="H484" s="0" t="s">
        <v>988</v>
      </c>
      <c r="I484" s="0" t="s">
        <v>989</v>
      </c>
      <c r="J484" s="0" t="s">
        <v>1018</v>
      </c>
      <c r="K484" s="0" t="s">
        <v>781</v>
      </c>
    </row>
    <row r="485" customFormat="false" ht="15" hidden="false" customHeight="false" outlineLevel="0" collapsed="false">
      <c r="A485" s="0" t="s">
        <v>1052</v>
      </c>
      <c r="B485" s="0" t="s">
        <v>719</v>
      </c>
      <c r="C485" s="0" t="s">
        <v>13</v>
      </c>
      <c r="D485" s="0" t="s">
        <v>459</v>
      </c>
      <c r="E485" s="0" t="s">
        <v>720</v>
      </c>
      <c r="F485" s="0" t="s">
        <v>391</v>
      </c>
      <c r="G485" s="0" t="n">
        <f aca="false">HYPERLINK("http://clipc-services.ceda.ac.uk/dreq/u/59170a02-9e49-11e5-803c-0d0b866b59f3.html","web")</f>
        <v>0</v>
      </c>
      <c r="H485" s="0" t="s">
        <v>266</v>
      </c>
      <c r="I485" s="0" t="s">
        <v>239</v>
      </c>
      <c r="J485" s="0" t="s">
        <v>721</v>
      </c>
      <c r="K485" s="0" t="s">
        <v>877</v>
      </c>
    </row>
    <row r="486" customFormat="false" ht="15" hidden="false" customHeight="false" outlineLevel="0" collapsed="false">
      <c r="A486" s="0" t="s">
        <v>1052</v>
      </c>
      <c r="B486" s="0" t="s">
        <v>725</v>
      </c>
      <c r="C486" s="0" t="s">
        <v>13</v>
      </c>
      <c r="D486" s="0" t="s">
        <v>459</v>
      </c>
      <c r="E486" s="0" t="s">
        <v>726</v>
      </c>
      <c r="F486" s="0" t="s">
        <v>391</v>
      </c>
      <c r="G486" s="0" t="n">
        <f aca="false">HYPERLINK("http://clipc-services.ceda.ac.uk/dreq/u/5913d86e-9e49-11e5-803c-0d0b866b59f3.html","web")</f>
        <v>0</v>
      </c>
      <c r="H486" s="0" t="s">
        <v>266</v>
      </c>
      <c r="I486" s="0" t="s">
        <v>239</v>
      </c>
      <c r="J486" s="0" t="s">
        <v>727</v>
      </c>
      <c r="K486" s="0" t="s">
        <v>877</v>
      </c>
    </row>
    <row r="487" customFormat="false" ht="15" hidden="false" customHeight="false" outlineLevel="0" collapsed="false">
      <c r="A487" s="0" t="s">
        <v>1052</v>
      </c>
      <c r="B487" s="0" t="s">
        <v>728</v>
      </c>
      <c r="C487" s="0" t="s">
        <v>13</v>
      </c>
      <c r="D487" s="0" t="s">
        <v>459</v>
      </c>
      <c r="E487" s="0" t="s">
        <v>729</v>
      </c>
      <c r="F487" s="0" t="s">
        <v>391</v>
      </c>
      <c r="G487" s="0" t="n">
        <f aca="false">HYPERLINK("http://clipc-services.ceda.ac.uk/dreq/u/5913d602-9e49-11e5-803c-0d0b866b59f3.html","web")</f>
        <v>0</v>
      </c>
      <c r="H487" s="0" t="s">
        <v>266</v>
      </c>
      <c r="I487" s="0" t="s">
        <v>239</v>
      </c>
      <c r="J487" s="0" t="s">
        <v>730</v>
      </c>
      <c r="K487" s="0" t="s">
        <v>877</v>
      </c>
    </row>
    <row r="488" customFormat="false" ht="15" hidden="false" customHeight="false" outlineLevel="0" collapsed="false">
      <c r="A488" s="0" t="s">
        <v>1052</v>
      </c>
      <c r="B488" s="0" t="s">
        <v>1331</v>
      </c>
      <c r="C488" s="0" t="s">
        <v>13</v>
      </c>
      <c r="D488" s="0" t="s">
        <v>1165</v>
      </c>
      <c r="E488" s="0" t="s">
        <v>1332</v>
      </c>
      <c r="F488" s="0" t="s">
        <v>852</v>
      </c>
      <c r="G488" s="0" t="n">
        <f aca="false">HYPERLINK("http://clipc-services.ceda.ac.uk/dreq/u/590e417e-9e49-11e5-803c-0d0b866b59f3.html","web")</f>
        <v>0</v>
      </c>
      <c r="H488" s="0" t="s">
        <v>1167</v>
      </c>
      <c r="I488" s="0" t="s">
        <v>1168</v>
      </c>
      <c r="J488" s="0" t="s">
        <v>1333</v>
      </c>
      <c r="K488" s="0" t="s">
        <v>1170</v>
      </c>
    </row>
    <row r="489" customFormat="false" ht="15" hidden="false" customHeight="false" outlineLevel="0" collapsed="false">
      <c r="A489" s="0" t="s">
        <v>1052</v>
      </c>
      <c r="B489" s="0" t="s">
        <v>280</v>
      </c>
      <c r="C489" s="0" t="s">
        <v>13</v>
      </c>
      <c r="D489" s="0" t="s">
        <v>757</v>
      </c>
      <c r="E489" s="0" t="s">
        <v>281</v>
      </c>
      <c r="F489" s="0" t="s">
        <v>278</v>
      </c>
      <c r="G489" s="0" t="n">
        <f aca="false">HYPERLINK("http://clipc-services.ceda.ac.uk/dreq/u/590e85a8-9e49-11e5-803c-0d0b866b59f3.html","web")</f>
        <v>0</v>
      </c>
      <c r="H489" s="0" t="s">
        <v>282</v>
      </c>
      <c r="I489" s="0" t="s">
        <v>56</v>
      </c>
      <c r="J489" s="0" t="s">
        <v>283</v>
      </c>
      <c r="K489" s="0" t="s">
        <v>1334</v>
      </c>
    </row>
    <row r="490" customFormat="false" ht="15" hidden="false" customHeight="false" outlineLevel="0" collapsed="false">
      <c r="A490" s="0" t="s">
        <v>1052</v>
      </c>
      <c r="B490" s="0" t="s">
        <v>284</v>
      </c>
      <c r="C490" s="0" t="s">
        <v>13</v>
      </c>
      <c r="D490" s="0" t="s">
        <v>757</v>
      </c>
      <c r="E490" s="0" t="s">
        <v>285</v>
      </c>
      <c r="F490" s="0" t="s">
        <v>278</v>
      </c>
      <c r="G490" s="0" t="n">
        <f aca="false">HYPERLINK("http://clipc-services.ceda.ac.uk/dreq/u/590ed5a8-9e49-11e5-803c-0d0b866b59f3.html","web")</f>
        <v>0</v>
      </c>
      <c r="H490" s="0" t="s">
        <v>282</v>
      </c>
      <c r="I490" s="0" t="s">
        <v>56</v>
      </c>
      <c r="J490" s="0" t="s">
        <v>286</v>
      </c>
      <c r="K490" s="0" t="s">
        <v>1334</v>
      </c>
    </row>
    <row r="491" customFormat="false" ht="15" hidden="false" customHeight="false" outlineLevel="0" collapsed="false">
      <c r="A491" s="0" t="s">
        <v>1052</v>
      </c>
      <c r="B491" s="0" t="s">
        <v>39</v>
      </c>
      <c r="C491" s="0" t="s">
        <v>32</v>
      </c>
      <c r="D491" s="0" t="s">
        <v>151</v>
      </c>
      <c r="E491" s="0" t="s">
        <v>40</v>
      </c>
      <c r="F491" s="0" t="s">
        <v>41</v>
      </c>
      <c r="G491" s="0" t="n">
        <f aca="false">HYPERLINK("http://clipc-services.ceda.ac.uk/dreq/u/59170cbe-9e49-11e5-803c-0d0b866b59f3.html","web")</f>
        <v>0</v>
      </c>
      <c r="H491" s="0" t="s">
        <v>42</v>
      </c>
      <c r="I491" s="0" t="s">
        <v>43</v>
      </c>
      <c r="J491" s="0" t="s">
        <v>44</v>
      </c>
      <c r="K491" s="0" t="s">
        <v>1335</v>
      </c>
    </row>
    <row r="492" customFormat="false" ht="15" hidden="false" customHeight="false" outlineLevel="0" collapsed="false">
      <c r="A492" s="0" t="s">
        <v>1052</v>
      </c>
      <c r="B492" s="0" t="s">
        <v>1336</v>
      </c>
      <c r="C492" s="0" t="s">
        <v>32</v>
      </c>
      <c r="D492" s="0" t="s">
        <v>151</v>
      </c>
      <c r="E492" s="0" t="s">
        <v>1337</v>
      </c>
      <c r="F492" s="0" t="s">
        <v>41</v>
      </c>
      <c r="G492" s="0" t="n">
        <f aca="false">HYPERLINK("http://clipc-services.ceda.ac.uk/dreq/u/5917d9fa-9e49-11e5-803c-0d0b866b59f3.html","web")</f>
        <v>0</v>
      </c>
      <c r="H492" s="0" t="s">
        <v>1338</v>
      </c>
      <c r="I492" s="0" t="s">
        <v>43</v>
      </c>
      <c r="J492" s="0" t="s">
        <v>1339</v>
      </c>
      <c r="K492" s="0" t="s">
        <v>1057</v>
      </c>
    </row>
    <row r="493" customFormat="false" ht="15" hidden="false" customHeight="false" outlineLevel="0" collapsed="false">
      <c r="A493" s="0" t="s">
        <v>1052</v>
      </c>
      <c r="B493" s="0" t="s">
        <v>1340</v>
      </c>
      <c r="C493" s="0" t="s">
        <v>32</v>
      </c>
      <c r="D493" s="0" t="s">
        <v>151</v>
      </c>
      <c r="E493" s="0" t="s">
        <v>1341</v>
      </c>
      <c r="F493" s="0" t="s">
        <v>41</v>
      </c>
      <c r="G493" s="0" t="n">
        <f aca="false">HYPERLINK("http://clipc-services.ceda.ac.uk/dreq/u/591384a4-9e49-11e5-803c-0d0b866b59f3.html","web")</f>
        <v>0</v>
      </c>
      <c r="H493" s="0" t="s">
        <v>1342</v>
      </c>
      <c r="I493" s="0" t="s">
        <v>43</v>
      </c>
      <c r="J493" s="0" t="s">
        <v>1343</v>
      </c>
      <c r="K493" s="0" t="s">
        <v>1057</v>
      </c>
    </row>
    <row r="494" customFormat="false" ht="15" hidden="false" customHeight="false" outlineLevel="0" collapsed="false">
      <c r="A494" s="0" t="s">
        <v>1052</v>
      </c>
      <c r="B494" s="0" t="s">
        <v>1344</v>
      </c>
      <c r="C494" s="0" t="s">
        <v>32</v>
      </c>
      <c r="D494" s="0" t="s">
        <v>151</v>
      </c>
      <c r="E494" s="0" t="s">
        <v>1345</v>
      </c>
      <c r="F494" s="0" t="s">
        <v>41</v>
      </c>
      <c r="G494" s="0" t="n">
        <f aca="false">HYPERLINK("http://clipc-services.ceda.ac.uk/dreq/u/84f0430a-acb7-11e6-b5ee-ac72891c3257.html","web")</f>
        <v>0</v>
      </c>
      <c r="H494" s="0" t="s">
        <v>1342</v>
      </c>
      <c r="I494" s="0" t="s">
        <v>43</v>
      </c>
      <c r="J494" s="0" t="s">
        <v>1346</v>
      </c>
      <c r="K494" s="0" t="s">
        <v>1083</v>
      </c>
    </row>
    <row r="495" customFormat="false" ht="15" hidden="false" customHeight="false" outlineLevel="0" collapsed="false">
      <c r="A495" s="0" t="s">
        <v>1052</v>
      </c>
      <c r="B495" s="0" t="s">
        <v>1347</v>
      </c>
      <c r="C495" s="0" t="s">
        <v>32</v>
      </c>
      <c r="D495" s="0" t="s">
        <v>151</v>
      </c>
      <c r="E495" s="0" t="s">
        <v>1348</v>
      </c>
      <c r="F495" s="0" t="s">
        <v>41</v>
      </c>
      <c r="G495" s="0" t="n">
        <f aca="false">HYPERLINK("http://clipc-services.ceda.ac.uk/dreq/u/59174aa8-9e49-11e5-803c-0d0b866b59f3.html","web")</f>
        <v>0</v>
      </c>
      <c r="H495" s="0" t="s">
        <v>1176</v>
      </c>
      <c r="I495" s="0" t="s">
        <v>43</v>
      </c>
      <c r="J495" s="0" t="s">
        <v>1349</v>
      </c>
      <c r="K495" s="0" t="s">
        <v>1057</v>
      </c>
    </row>
    <row r="496" customFormat="false" ht="15" hidden="false" customHeight="false" outlineLevel="0" collapsed="false">
      <c r="A496" s="0" t="s">
        <v>1052</v>
      </c>
      <c r="B496" s="0" t="s">
        <v>1350</v>
      </c>
      <c r="C496" s="0" t="s">
        <v>32</v>
      </c>
      <c r="D496" s="0" t="s">
        <v>151</v>
      </c>
      <c r="E496" s="0" t="s">
        <v>1351</v>
      </c>
      <c r="F496" s="0" t="s">
        <v>153</v>
      </c>
      <c r="G496" s="0" t="n">
        <f aca="false">HYPERLINK("http://clipc-services.ceda.ac.uk/dreq/u/5917a070-9e49-11e5-803c-0d0b866b59f3.html","web")</f>
        <v>0</v>
      </c>
      <c r="H496" s="0" t="s">
        <v>1055</v>
      </c>
      <c r="I496" s="0" t="s">
        <v>43</v>
      </c>
      <c r="J496" s="0" t="s">
        <v>1352</v>
      </c>
      <c r="K496" s="0" t="s">
        <v>1057</v>
      </c>
    </row>
    <row r="497" customFormat="false" ht="15" hidden="false" customHeight="false" outlineLevel="0" collapsed="false">
      <c r="A497" s="0" t="s">
        <v>1052</v>
      </c>
      <c r="B497" s="0" t="s">
        <v>1353</v>
      </c>
      <c r="C497" s="0" t="s">
        <v>32</v>
      </c>
      <c r="D497" s="0" t="s">
        <v>151</v>
      </c>
      <c r="E497" s="0" t="s">
        <v>1354</v>
      </c>
      <c r="F497" s="0" t="s">
        <v>153</v>
      </c>
      <c r="G497" s="0" t="n">
        <f aca="false">HYPERLINK("http://clipc-services.ceda.ac.uk/dreq/u/590ec93c-9e49-11e5-803c-0d0b866b59f3.html","web")</f>
        <v>0</v>
      </c>
      <c r="H497" s="0" t="s">
        <v>1146</v>
      </c>
      <c r="I497" s="0" t="s">
        <v>43</v>
      </c>
      <c r="J497" s="0" t="s">
        <v>1355</v>
      </c>
      <c r="K497" s="0" t="s">
        <v>1083</v>
      </c>
    </row>
    <row r="498" customFormat="false" ht="15" hidden="false" customHeight="false" outlineLevel="0" collapsed="false">
      <c r="A498" s="0" t="s">
        <v>1052</v>
      </c>
      <c r="B498" s="0" t="s">
        <v>1356</v>
      </c>
      <c r="C498" s="0" t="s">
        <v>32</v>
      </c>
      <c r="D498" s="0" t="s">
        <v>151</v>
      </c>
      <c r="E498" s="0" t="s">
        <v>1357</v>
      </c>
      <c r="F498" s="0" t="s">
        <v>153</v>
      </c>
      <c r="G498" s="0" t="n">
        <f aca="false">HYPERLINK("http://clipc-services.ceda.ac.uk/dreq/u/590f8fca-9e49-11e5-803c-0d0b866b59f3.html","web")</f>
        <v>0</v>
      </c>
      <c r="H498" s="0" t="s">
        <v>1146</v>
      </c>
      <c r="I498" s="0" t="s">
        <v>43</v>
      </c>
      <c r="J498" s="0" t="s">
        <v>1358</v>
      </c>
      <c r="K498" s="0" t="s">
        <v>1083</v>
      </c>
    </row>
    <row r="499" customFormat="false" ht="15" hidden="false" customHeight="false" outlineLevel="0" collapsed="false">
      <c r="A499" s="0" t="s">
        <v>1052</v>
      </c>
      <c r="B499" s="0" t="s">
        <v>1359</v>
      </c>
      <c r="C499" s="0" t="s">
        <v>32</v>
      </c>
      <c r="D499" s="0" t="s">
        <v>1360</v>
      </c>
      <c r="E499" s="0" t="s">
        <v>1361</v>
      </c>
      <c r="F499" s="0" t="s">
        <v>16</v>
      </c>
      <c r="G499" s="0" t="n">
        <f aca="false">HYPERLINK("http://clipc-services.ceda.ac.uk/dreq/u/59147ddc-9e49-11e5-803c-0d0b866b59f3.html","web")</f>
        <v>0</v>
      </c>
      <c r="H499" s="0" t="s">
        <v>1146</v>
      </c>
      <c r="I499" s="0" t="s">
        <v>43</v>
      </c>
      <c r="J499" s="0" t="s">
        <v>1362</v>
      </c>
      <c r="K499" s="0" t="s">
        <v>1363</v>
      </c>
    </row>
    <row r="500" customFormat="false" ht="15" hidden="false" customHeight="false" outlineLevel="0" collapsed="false">
      <c r="A500" s="0" t="s">
        <v>1052</v>
      </c>
      <c r="B500" s="0" t="s">
        <v>1364</v>
      </c>
      <c r="C500" s="0" t="s">
        <v>32</v>
      </c>
      <c r="D500" s="0" t="s">
        <v>151</v>
      </c>
      <c r="E500" s="0" t="s">
        <v>1365</v>
      </c>
      <c r="F500" s="0" t="s">
        <v>41</v>
      </c>
      <c r="G500" s="0" t="n">
        <f aca="false">HYPERLINK("http://clipc-services.ceda.ac.uk/dreq/u/5913c4dc-9e49-11e5-803c-0d0b866b59f3.html","web")</f>
        <v>0</v>
      </c>
      <c r="H500" s="0" t="s">
        <v>1366</v>
      </c>
      <c r="I500" s="0" t="s">
        <v>43</v>
      </c>
      <c r="J500" s="0" t="s">
        <v>1367</v>
      </c>
      <c r="K500" s="0" t="s">
        <v>1083</v>
      </c>
    </row>
    <row r="502" customFormat="false" ht="15" hidden="false" customHeight="false" outlineLevel="0" collapsed="false">
      <c r="A502" s="0" t="s">
        <v>1368</v>
      </c>
      <c r="B502" s="0" t="s">
        <v>223</v>
      </c>
      <c r="C502" s="0" t="s">
        <v>13</v>
      </c>
      <c r="D502" s="0" t="s">
        <v>1369</v>
      </c>
      <c r="E502" s="0" t="s">
        <v>225</v>
      </c>
      <c r="F502" s="0" t="s">
        <v>41</v>
      </c>
      <c r="G502" s="0" t="n">
        <f aca="false">HYPERLINK("http://clipc-services.ceda.ac.uk/dreq/u/00e77372e8b909d9a827a0790e991fd9.html","web")</f>
        <v>0</v>
      </c>
      <c r="H502" s="0" t="s">
        <v>226</v>
      </c>
      <c r="I502" s="0" t="s">
        <v>43</v>
      </c>
      <c r="J502" s="0" t="s">
        <v>227</v>
      </c>
      <c r="K502" s="0" t="s">
        <v>228</v>
      </c>
    </row>
    <row r="504" customFormat="false" ht="15" hidden="false" customHeight="false" outlineLevel="0" collapsed="false">
      <c r="A504" s="0" t="s">
        <v>1370</v>
      </c>
      <c r="B504" s="0" t="s">
        <v>1371</v>
      </c>
      <c r="C504" s="0" t="s">
        <v>32</v>
      </c>
      <c r="D504" s="0" t="s">
        <v>1372</v>
      </c>
      <c r="E504" s="0" t="s">
        <v>1373</v>
      </c>
      <c r="F504" s="0" t="s">
        <v>16</v>
      </c>
      <c r="G504" s="0" t="n">
        <f aca="false">HYPERLINK("http://clipc-services.ceda.ac.uk/dreq/u/2ca96cd5a4e83feb0d493bf9aa1a5b59.html","web")</f>
        <v>0</v>
      </c>
      <c r="H504" s="0" t="s">
        <v>1107</v>
      </c>
      <c r="I504" s="0" t="s">
        <v>43</v>
      </c>
      <c r="J504" s="0" t="s">
        <v>1374</v>
      </c>
      <c r="K504" s="0" t="s">
        <v>1375</v>
      </c>
    </row>
    <row r="505" customFormat="false" ht="15" hidden="false" customHeight="false" outlineLevel="0" collapsed="false">
      <c r="A505" s="0" t="s">
        <v>1370</v>
      </c>
      <c r="B505" s="0" t="s">
        <v>1376</v>
      </c>
      <c r="C505" s="0" t="s">
        <v>32</v>
      </c>
      <c r="D505" s="0" t="s">
        <v>1377</v>
      </c>
      <c r="E505" s="0" t="s">
        <v>1378</v>
      </c>
      <c r="F505" s="0" t="s">
        <v>16</v>
      </c>
      <c r="G505" s="0" t="n">
        <f aca="false">HYPERLINK("http://clipc-services.ceda.ac.uk/dreq/u/351c26a0f5a0cefa8f1183f2f12e1aa3.html","web")</f>
        <v>0</v>
      </c>
      <c r="H505" s="0" t="s">
        <v>1107</v>
      </c>
      <c r="I505" s="0" t="s">
        <v>43</v>
      </c>
      <c r="J505" s="0" t="s">
        <v>1379</v>
      </c>
      <c r="K505" s="0" t="s">
        <v>1375</v>
      </c>
    </row>
    <row r="506" customFormat="false" ht="15" hidden="false" customHeight="false" outlineLevel="0" collapsed="false">
      <c r="A506" s="0" t="s">
        <v>1370</v>
      </c>
      <c r="B506" s="0" t="s">
        <v>1380</v>
      </c>
      <c r="C506" s="0" t="s">
        <v>13</v>
      </c>
      <c r="D506" s="0" t="s">
        <v>151</v>
      </c>
      <c r="E506" s="0" t="s">
        <v>1381</v>
      </c>
      <c r="F506" s="0" t="s">
        <v>153</v>
      </c>
      <c r="G506" s="0" t="n">
        <f aca="false">HYPERLINK("http://clipc-services.ceda.ac.uk/dreq/u/15fea217c64dbec48b115765548b89ae.html","web")</f>
        <v>0</v>
      </c>
      <c r="H506" s="0" t="s">
        <v>1382</v>
      </c>
      <c r="I506" s="0" t="s">
        <v>43</v>
      </c>
      <c r="J506" s="0" t="s">
        <v>1383</v>
      </c>
      <c r="K506" s="0" t="s">
        <v>1384</v>
      </c>
    </row>
    <row r="507" customFormat="false" ht="15" hidden="false" customHeight="false" outlineLevel="0" collapsed="false">
      <c r="A507" s="0" t="s">
        <v>1370</v>
      </c>
      <c r="B507" s="0" t="s">
        <v>1385</v>
      </c>
      <c r="C507" s="0" t="s">
        <v>32</v>
      </c>
      <c r="D507" s="0" t="s">
        <v>151</v>
      </c>
      <c r="E507" s="0" t="s">
        <v>1386</v>
      </c>
      <c r="F507" s="0" t="s">
        <v>153</v>
      </c>
      <c r="G507" s="0" t="n">
        <f aca="false">HYPERLINK("http://clipc-services.ceda.ac.uk/dreq/u/df06d844bd95ddd2f0f62f54941c4b88.html","web")</f>
        <v>0</v>
      </c>
      <c r="H507" s="0" t="s">
        <v>1107</v>
      </c>
      <c r="I507" s="0" t="s">
        <v>43</v>
      </c>
      <c r="J507" s="0" t="s">
        <v>1387</v>
      </c>
      <c r="K507" s="0" t="s">
        <v>1388</v>
      </c>
    </row>
    <row r="508" customFormat="false" ht="15" hidden="false" customHeight="false" outlineLevel="0" collapsed="false">
      <c r="A508" s="0" t="s">
        <v>1370</v>
      </c>
      <c r="B508" s="0" t="s">
        <v>1389</v>
      </c>
      <c r="C508" s="0" t="s">
        <v>32</v>
      </c>
      <c r="D508" s="0" t="s">
        <v>151</v>
      </c>
      <c r="E508" s="0" t="s">
        <v>1390</v>
      </c>
      <c r="F508" s="0" t="s">
        <v>153</v>
      </c>
      <c r="G508" s="0" t="n">
        <f aca="false">HYPERLINK("http://clipc-services.ceda.ac.uk/dreq/u/091b217c2450d012fb2e192dee04053f.html","web")</f>
        <v>0</v>
      </c>
      <c r="H508" s="0" t="s">
        <v>1107</v>
      </c>
      <c r="I508" s="0" t="s">
        <v>43</v>
      </c>
      <c r="J508" s="0" t="s">
        <v>1391</v>
      </c>
      <c r="K508" s="0" t="s">
        <v>1388</v>
      </c>
    </row>
    <row r="509" customFormat="false" ht="15" hidden="false" customHeight="false" outlineLevel="0" collapsed="false">
      <c r="A509" s="0" t="s">
        <v>1370</v>
      </c>
      <c r="B509" s="0" t="s">
        <v>1392</v>
      </c>
      <c r="C509" s="0" t="s">
        <v>32</v>
      </c>
      <c r="D509" s="0" t="s">
        <v>151</v>
      </c>
      <c r="E509" s="0" t="s">
        <v>1393</v>
      </c>
      <c r="F509" s="0" t="s">
        <v>153</v>
      </c>
      <c r="G509" s="0" t="n">
        <f aca="false">HYPERLINK("http://clipc-services.ceda.ac.uk/dreq/u/fb5bd0286cdca991d0f67c498513f602.html","web")</f>
        <v>0</v>
      </c>
      <c r="H509" s="0" t="s">
        <v>1107</v>
      </c>
      <c r="I509" s="0" t="s">
        <v>43</v>
      </c>
      <c r="J509" s="0" t="s">
        <v>1394</v>
      </c>
      <c r="K509" s="0" t="s">
        <v>1092</v>
      </c>
    </row>
    <row r="510" customFormat="false" ht="15" hidden="false" customHeight="false" outlineLevel="0" collapsed="false">
      <c r="A510" s="0" t="s">
        <v>1370</v>
      </c>
      <c r="B510" s="0" t="s">
        <v>1395</v>
      </c>
      <c r="C510" s="0" t="s">
        <v>32</v>
      </c>
      <c r="D510" s="0" t="s">
        <v>1396</v>
      </c>
      <c r="E510" s="0" t="s">
        <v>1397</v>
      </c>
      <c r="F510" s="0" t="s">
        <v>16</v>
      </c>
      <c r="G510" s="0" t="n">
        <f aca="false">HYPERLINK("http://clipc-services.ceda.ac.uk/dreq/u/374e24b1cf7c24eb75126ea6e39ac478.html","web")</f>
        <v>0</v>
      </c>
      <c r="H510" s="0" t="s">
        <v>1107</v>
      </c>
      <c r="I510" s="0" t="s">
        <v>43</v>
      </c>
      <c r="J510" s="0" t="s">
        <v>1398</v>
      </c>
      <c r="K510" s="0" t="s">
        <v>1092</v>
      </c>
    </row>
    <row r="511" customFormat="false" ht="15" hidden="false" customHeight="false" outlineLevel="0" collapsed="false">
      <c r="A511" s="0" t="s">
        <v>1370</v>
      </c>
      <c r="B511" s="0" t="s">
        <v>1399</v>
      </c>
      <c r="C511" s="0" t="s">
        <v>32</v>
      </c>
      <c r="D511" s="0" t="s">
        <v>1400</v>
      </c>
      <c r="E511" s="0" t="s">
        <v>1401</v>
      </c>
      <c r="F511" s="0" t="s">
        <v>16</v>
      </c>
      <c r="G511" s="0" t="n">
        <f aca="false">HYPERLINK("http://clipc-services.ceda.ac.uk/dreq/u/1e93ae651487e683206b923c11fd6db1.html","web")</f>
        <v>0</v>
      </c>
      <c r="H511" s="0" t="s">
        <v>1107</v>
      </c>
      <c r="I511" s="0" t="s">
        <v>43</v>
      </c>
      <c r="J511" s="0" t="s">
        <v>1402</v>
      </c>
      <c r="K511" s="0" t="s">
        <v>1092</v>
      </c>
    </row>
    <row r="512" customFormat="false" ht="15" hidden="false" customHeight="false" outlineLevel="0" collapsed="false">
      <c r="A512" s="0" t="s">
        <v>1370</v>
      </c>
      <c r="B512" s="0" t="s">
        <v>1403</v>
      </c>
      <c r="C512" s="0" t="s">
        <v>32</v>
      </c>
      <c r="D512" s="0" t="s">
        <v>1404</v>
      </c>
      <c r="E512" s="0" t="s">
        <v>1405</v>
      </c>
      <c r="F512" s="0" t="s">
        <v>16</v>
      </c>
      <c r="G512" s="0" t="n">
        <f aca="false">HYPERLINK("http://clipc-services.ceda.ac.uk/dreq/u/e9289080901a39eba6ade178d596795a.html","web")</f>
        <v>0</v>
      </c>
      <c r="H512" s="0" t="s">
        <v>1107</v>
      </c>
      <c r="I512" s="0" t="s">
        <v>43</v>
      </c>
      <c r="J512" s="0" t="s">
        <v>1406</v>
      </c>
      <c r="K512" s="0" t="s">
        <v>1092</v>
      </c>
    </row>
    <row r="513" customFormat="false" ht="15" hidden="false" customHeight="false" outlineLevel="0" collapsed="false">
      <c r="A513" s="0" t="s">
        <v>1370</v>
      </c>
      <c r="B513" s="0" t="s">
        <v>1407</v>
      </c>
      <c r="C513" s="0" t="s">
        <v>32</v>
      </c>
      <c r="D513" s="0" t="s">
        <v>1408</v>
      </c>
      <c r="E513" s="0" t="s">
        <v>1409</v>
      </c>
      <c r="F513" s="0" t="s">
        <v>16</v>
      </c>
      <c r="G513" s="0" t="n">
        <f aca="false">HYPERLINK("http://clipc-services.ceda.ac.uk/dreq/u/b28e47214f0b71847c966828df0837ff.html","web")</f>
        <v>0</v>
      </c>
      <c r="H513" s="0" t="s">
        <v>1107</v>
      </c>
      <c r="I513" s="0" t="s">
        <v>43</v>
      </c>
      <c r="J513" s="0" t="s">
        <v>1410</v>
      </c>
      <c r="K513" s="0" t="s">
        <v>1092</v>
      </c>
    </row>
    <row r="514" customFormat="false" ht="13.8" hidden="false" customHeight="false" outlineLevel="0" collapsed="false"/>
    <row r="515" customFormat="false" ht="13.8" hidden="false" customHeight="false" outlineLevel="0" collapsed="false"/>
    <row r="516" customFormat="false" ht="13.8" hidden="false" customHeight="false" outlineLevel="0" collapsed="false"/>
    <row r="517" customFormat="false" ht="13.8" hidden="false" customHeight="false" outlineLevel="0" collapsed="false"/>
    <row r="518" customFormat="false" ht="13.8" hidden="false" customHeight="false" outlineLevel="0" collapsed="false"/>
    <row r="519" customFormat="false" ht="13.8" hidden="false" customHeight="false" outlineLevel="0" collapsed="false"/>
    <row r="520" customFormat="false" ht="13.8" hidden="false" customHeight="false" outlineLevel="0" collapsed="false"/>
    <row r="521" customFormat="false" ht="13.8" hidden="false" customHeight="false" outlineLevel="0" collapsed="false"/>
    <row r="522" customFormat="false" ht="13.8" hidden="false" customHeight="false" outlineLevel="0" collapsed="false">
      <c r="A522" s="0" t="s">
        <v>1411</v>
      </c>
      <c r="B522" s="0" t="s">
        <v>1412</v>
      </c>
      <c r="C522" s="0" t="s">
        <v>13</v>
      </c>
      <c r="D522" s="0" t="s">
        <v>33</v>
      </c>
      <c r="E522" s="0" t="s">
        <v>1413</v>
      </c>
      <c r="F522" s="0" t="s">
        <v>1414</v>
      </c>
      <c r="G522" s="0" t="n">
        <v>0</v>
      </c>
      <c r="H522" s="0" t="s">
        <v>1415</v>
      </c>
      <c r="I522" s="0" t="s">
        <v>330</v>
      </c>
      <c r="J522" s="0" t="s">
        <v>1416</v>
      </c>
      <c r="K522" s="0" t="s">
        <v>228</v>
      </c>
    </row>
    <row r="523" customFormat="false" ht="13.8" hidden="false" customHeight="false" outlineLevel="0" collapsed="false"/>
    <row r="524" customFormat="false" ht="13.8" hidden="false" customHeight="false" outlineLevel="0" collapsed="false">
      <c r="A524" s="0" t="s">
        <v>1368</v>
      </c>
      <c r="B524" s="0" t="s">
        <v>1417</v>
      </c>
      <c r="C524" s="0" t="s">
        <v>13</v>
      </c>
      <c r="D524" s="0" t="s">
        <v>1369</v>
      </c>
      <c r="E524" s="0" t="s">
        <v>1418</v>
      </c>
      <c r="F524" s="0" t="s">
        <v>153</v>
      </c>
      <c r="G524" s="0" t="n">
        <v>0</v>
      </c>
      <c r="H524" s="0" t="s">
        <v>1415</v>
      </c>
      <c r="I524" s="0" t="s">
        <v>330</v>
      </c>
      <c r="J524" s="0" t="s">
        <v>1419</v>
      </c>
      <c r="K524" s="0" t="s">
        <v>228</v>
      </c>
    </row>
    <row r="525" customFormat="false" ht="13.8" hidden="false" customHeight="false" outlineLevel="0" collapsed="false"/>
    <row r="526" customFormat="false" ht="13.8" hidden="false" customHeight="false" outlineLevel="0" collapsed="false"/>
    <row r="527" customFormat="false" ht="13.8" hidden="false" customHeight="false" outlineLevel="0" collapsed="false">
      <c r="A527" s="0" t="s">
        <v>1420</v>
      </c>
      <c r="B527" s="0" t="s">
        <v>1421</v>
      </c>
      <c r="C527" s="0" t="s">
        <v>13</v>
      </c>
      <c r="D527" s="0" t="s">
        <v>1369</v>
      </c>
      <c r="E527" s="0" t="s">
        <v>1422</v>
      </c>
      <c r="F527" s="0" t="s">
        <v>1414</v>
      </c>
      <c r="G527" s="0" t="s">
        <v>1423</v>
      </c>
      <c r="H527" s="0" t="s">
        <v>1415</v>
      </c>
      <c r="I527" s="0" t="s">
        <v>330</v>
      </c>
      <c r="J527" s="0" t="s">
        <v>1424</v>
      </c>
      <c r="K527" s="0" t="s">
        <v>228</v>
      </c>
    </row>
    <row r="528" customFormat="false" ht="13.8" hidden="false" customHeight="false" outlineLevel="0" collapsed="false">
      <c r="A528" s="0" t="s">
        <v>1420</v>
      </c>
      <c r="B528" s="0" t="s">
        <v>1425</v>
      </c>
      <c r="C528" s="0" t="s">
        <v>13</v>
      </c>
      <c r="D528" s="0" t="s">
        <v>1426</v>
      </c>
      <c r="E528" s="0" t="s">
        <v>1427</v>
      </c>
      <c r="F528" s="0" t="s">
        <v>16</v>
      </c>
      <c r="G528" s="0" t="s">
        <v>1423</v>
      </c>
      <c r="H528" s="0" t="s">
        <v>1415</v>
      </c>
      <c r="I528" s="0" t="s">
        <v>330</v>
      </c>
      <c r="J528" s="0" t="s">
        <v>1428</v>
      </c>
      <c r="K528" s="0" t="s">
        <v>228</v>
      </c>
    </row>
    <row r="529" customFormat="false" ht="13.8" hidden="false" customHeight="false" outlineLevel="0" collapsed="false">
      <c r="A529" s="0" t="s">
        <v>1420</v>
      </c>
      <c r="B529" s="0" t="s">
        <v>1429</v>
      </c>
      <c r="C529" s="0" t="s">
        <v>13</v>
      </c>
      <c r="D529" s="0" t="s">
        <v>1430</v>
      </c>
      <c r="E529" s="0" t="s">
        <v>1431</v>
      </c>
      <c r="F529" s="0" t="s">
        <v>16</v>
      </c>
      <c r="G529" s="0" t="s">
        <v>1423</v>
      </c>
      <c r="H529" s="0" t="s">
        <v>1415</v>
      </c>
      <c r="I529" s="0" t="s">
        <v>330</v>
      </c>
      <c r="J529" s="0" t="s">
        <v>1432</v>
      </c>
      <c r="K529" s="0" t="s">
        <v>228</v>
      </c>
    </row>
    <row r="530" customFormat="false" ht="13.8" hidden="false" customHeight="false" outlineLevel="0" collapsed="false"/>
    <row r="531" customFormat="false" ht="13.8" hidden="false" customHeight="false" outlineLevel="0" collapsed="false"/>
    <row r="532" customFormat="false" ht="13.8" hidden="false" customHeight="false" outlineLevel="0" collapsed="false">
      <c r="A532" s="0" t="s">
        <v>11</v>
      </c>
      <c r="B532" s="0" t="s">
        <v>354</v>
      </c>
      <c r="C532" s="0" t="s">
        <v>13</v>
      </c>
      <c r="D532" s="0" t="s">
        <v>1433</v>
      </c>
      <c r="E532" s="0" t="s">
        <v>355</v>
      </c>
      <c r="F532" s="0" t="s">
        <v>348</v>
      </c>
      <c r="G532" s="0" t="n">
        <v>0</v>
      </c>
      <c r="H532" s="0" t="s">
        <v>1434</v>
      </c>
      <c r="I532" s="0" t="s">
        <v>56</v>
      </c>
      <c r="J532" s="0" t="s">
        <v>356</v>
      </c>
      <c r="K532" s="0" t="s">
        <v>862</v>
      </c>
    </row>
    <row r="533" customFormat="false" ht="13.8" hidden="false" customHeight="false" outlineLevel="0" collapsed="false">
      <c r="A533" s="0" t="s">
        <v>11</v>
      </c>
      <c r="B533" s="0" t="s">
        <v>367</v>
      </c>
      <c r="C533" s="0" t="s">
        <v>13</v>
      </c>
      <c r="D533" s="0" t="s">
        <v>1433</v>
      </c>
      <c r="E533" s="0" t="s">
        <v>368</v>
      </c>
      <c r="F533" s="0" t="s">
        <v>348</v>
      </c>
      <c r="G533" s="0" t="n">
        <v>0</v>
      </c>
      <c r="H533" s="0" t="s">
        <v>1434</v>
      </c>
      <c r="I533" s="0" t="s">
        <v>56</v>
      </c>
      <c r="J533" s="0" t="s">
        <v>369</v>
      </c>
      <c r="K533" s="0" t="s">
        <v>862</v>
      </c>
    </row>
    <row r="534" customFormat="false" ht="13.8" hidden="false" customHeight="false" outlineLevel="0" collapsed="false">
      <c r="A534" s="0" t="s">
        <v>11</v>
      </c>
      <c r="B534" s="0" t="s">
        <v>346</v>
      </c>
      <c r="C534" s="0" t="s">
        <v>13</v>
      </c>
      <c r="D534" s="0" t="s">
        <v>1433</v>
      </c>
      <c r="E534" s="0" t="s">
        <v>347</v>
      </c>
      <c r="F534" s="0" t="s">
        <v>348</v>
      </c>
      <c r="G534" s="0" t="n">
        <v>0</v>
      </c>
      <c r="H534" s="0" t="s">
        <v>1434</v>
      </c>
      <c r="I534" s="0" t="s">
        <v>56</v>
      </c>
      <c r="J534" s="0" t="s">
        <v>350</v>
      </c>
      <c r="K534" s="0" t="s">
        <v>862</v>
      </c>
    </row>
    <row r="535" customFormat="false" ht="13.8" hidden="false" customHeight="false" outlineLevel="0" collapsed="false">
      <c r="A535" s="0" t="s">
        <v>11</v>
      </c>
      <c r="B535" s="0" t="s">
        <v>360</v>
      </c>
      <c r="C535" s="0" t="s">
        <v>13</v>
      </c>
      <c r="D535" s="0" t="s">
        <v>1433</v>
      </c>
      <c r="E535" s="0" t="s">
        <v>361</v>
      </c>
      <c r="F535" s="0" t="s">
        <v>348</v>
      </c>
      <c r="G535" s="0" t="n">
        <v>0</v>
      </c>
      <c r="H535" s="0" t="s">
        <v>1434</v>
      </c>
      <c r="I535" s="0" t="s">
        <v>56</v>
      </c>
      <c r="J535" s="0" t="s">
        <v>362</v>
      </c>
      <c r="K535" s="0" t="s">
        <v>862</v>
      </c>
    </row>
    <row r="536" customFormat="false" ht="13.8" hidden="false" customHeight="false" outlineLevel="0" collapsed="false"/>
    <row r="537" customFormat="false" ht="13.8" hidden="false" customHeight="false" outlineLevel="0" collapsed="false"/>
    <row r="538" customFormat="false" ht="13.8" hidden="false" customHeight="false" outlineLevel="0" collapsed="false">
      <c r="A538" s="0" t="s">
        <v>968</v>
      </c>
      <c r="B538" s="0" t="s">
        <v>1435</v>
      </c>
      <c r="C538" s="0" t="s">
        <v>13</v>
      </c>
      <c r="D538" s="0" t="s">
        <v>896</v>
      </c>
      <c r="E538" s="0" t="s">
        <v>1436</v>
      </c>
      <c r="F538" s="0" t="s">
        <v>348</v>
      </c>
      <c r="G538" s="0" t="s">
        <v>1423</v>
      </c>
      <c r="H538" s="0" t="s">
        <v>1437</v>
      </c>
      <c r="I538" s="0" t="s">
        <v>760</v>
      </c>
      <c r="J538" s="0" t="s">
        <v>1438</v>
      </c>
      <c r="K538" s="0" t="s">
        <v>1439</v>
      </c>
    </row>
    <row r="539" customFormat="false" ht="13.8" hidden="false" customHeight="false" outlineLevel="0" collapsed="false">
      <c r="A539" s="0" t="s">
        <v>968</v>
      </c>
      <c r="B539" s="0" t="s">
        <v>1440</v>
      </c>
      <c r="C539" s="0" t="s">
        <v>13</v>
      </c>
      <c r="D539" s="0" t="s">
        <v>896</v>
      </c>
      <c r="E539" s="0" t="s">
        <v>1441</v>
      </c>
      <c r="F539" s="0" t="s">
        <v>348</v>
      </c>
      <c r="G539" s="0" t="s">
        <v>1423</v>
      </c>
      <c r="H539" s="0" t="s">
        <v>1437</v>
      </c>
      <c r="I539" s="0" t="s">
        <v>760</v>
      </c>
      <c r="J539" s="0" t="s">
        <v>1442</v>
      </c>
      <c r="K539" s="0" t="s">
        <v>1439</v>
      </c>
    </row>
    <row r="540" customFormat="false" ht="13.8" hidden="false" customHeight="false" outlineLevel="0" collapsed="false"/>
    <row r="541" customFormat="false" ht="13.8" hidden="false" customHeight="false" outlineLevel="0" collapsed="false">
      <c r="A541" s="0" t="s">
        <v>974</v>
      </c>
      <c r="B541" s="0" t="s">
        <v>1443</v>
      </c>
      <c r="C541" s="0" t="s">
        <v>13</v>
      </c>
      <c r="D541" s="0" t="s">
        <v>828</v>
      </c>
      <c r="E541" s="0" t="s">
        <v>1444</v>
      </c>
      <c r="F541" s="0" t="s">
        <v>768</v>
      </c>
      <c r="G541" s="0" t="s">
        <v>1423</v>
      </c>
      <c r="H541" s="0" t="s">
        <v>1437</v>
      </c>
      <c r="I541" s="0" t="s">
        <v>760</v>
      </c>
      <c r="J541" s="0" t="s">
        <v>1445</v>
      </c>
      <c r="K541" s="0" t="s">
        <v>1439</v>
      </c>
    </row>
    <row r="542" customFormat="false" ht="13.8" hidden="false" customHeight="false" outlineLevel="0" collapsed="false"/>
    <row r="543" customFormat="false" ht="13.8" hidden="false" customHeight="false" outlineLevel="0" collapsed="false">
      <c r="A543" s="0" t="s">
        <v>1052</v>
      </c>
      <c r="B543" s="0" t="s">
        <v>1446</v>
      </c>
      <c r="C543" s="0" t="s">
        <v>13</v>
      </c>
      <c r="D543" s="0" t="s">
        <v>1447</v>
      </c>
      <c r="E543" s="0" t="s">
        <v>1448</v>
      </c>
      <c r="F543" s="0" t="s">
        <v>1449</v>
      </c>
      <c r="G543" s="0" t="s">
        <v>1423</v>
      </c>
      <c r="H543" s="0" t="s">
        <v>1450</v>
      </c>
      <c r="I543" s="0" t="s">
        <v>760</v>
      </c>
      <c r="J543" s="0" t="s">
        <v>1451</v>
      </c>
      <c r="K543" s="0" t="s">
        <v>1124</v>
      </c>
    </row>
    <row r="544" customFormat="false" ht="13.8" hidden="false" customHeight="false" outlineLevel="0" collapsed="false"/>
    <row r="545" customFormat="false" ht="13.8" hidden="false" customHeight="false" outlineLevel="0" collapsed="false">
      <c r="A545" s="0" t="s">
        <v>1452</v>
      </c>
      <c r="B545" s="0" t="s">
        <v>1453</v>
      </c>
      <c r="C545" s="0" t="s">
        <v>13</v>
      </c>
      <c r="D545" s="0" t="s">
        <v>1454</v>
      </c>
      <c r="E545" s="0" t="s">
        <v>1455</v>
      </c>
      <c r="F545" s="0" t="s">
        <v>391</v>
      </c>
      <c r="G545" s="0" t="s">
        <v>1423</v>
      </c>
      <c r="H545" s="0" t="s">
        <v>1437</v>
      </c>
      <c r="I545" s="0" t="s">
        <v>760</v>
      </c>
      <c r="J545" s="0" t="s">
        <v>1456</v>
      </c>
      <c r="K545" s="0" t="s">
        <v>1439</v>
      </c>
    </row>
    <row r="546" customFormat="false" ht="13.8" hidden="false" customHeight="false" outlineLevel="0" collapsed="false">
      <c r="A546" s="0" t="s">
        <v>1452</v>
      </c>
      <c r="B546" s="0" t="s">
        <v>1457</v>
      </c>
      <c r="C546" s="0" t="s">
        <v>13</v>
      </c>
      <c r="D546" s="0" t="s">
        <v>1454</v>
      </c>
      <c r="E546" s="0" t="s">
        <v>1458</v>
      </c>
      <c r="F546" s="0" t="s">
        <v>391</v>
      </c>
      <c r="G546" s="0" t="s">
        <v>1423</v>
      </c>
      <c r="H546" s="0" t="s">
        <v>1437</v>
      </c>
      <c r="I546" s="0" t="s">
        <v>760</v>
      </c>
      <c r="J546" s="0" t="s">
        <v>1459</v>
      </c>
      <c r="K546" s="0" t="s">
        <v>1439</v>
      </c>
    </row>
    <row r="547" customFormat="false" ht="13.8" hidden="false" customHeight="false" outlineLevel="0" collapsed="false"/>
    <row r="548" customFormat="false" ht="13.8" hidden="false" customHeight="false" outlineLevel="0" collapsed="false"/>
    <row r="549" customFormat="false" ht="13.8" hidden="false" customHeight="false" outlineLevel="0" collapsed="false">
      <c r="A549" s="0" t="s">
        <v>974</v>
      </c>
      <c r="B549" s="0" t="s">
        <v>302</v>
      </c>
      <c r="C549" s="0" t="s">
        <v>13</v>
      </c>
      <c r="D549" s="0" t="s">
        <v>151</v>
      </c>
      <c r="E549" s="0" t="s">
        <v>303</v>
      </c>
      <c r="F549" s="0" t="s">
        <v>304</v>
      </c>
      <c r="G549" s="0" t="n">
        <v>0</v>
      </c>
      <c r="H549" s="0" t="s">
        <v>1460</v>
      </c>
      <c r="I549" s="0" t="s">
        <v>1215</v>
      </c>
      <c r="J549" s="0" t="s">
        <v>307</v>
      </c>
      <c r="K549" s="0" t="s">
        <v>20</v>
      </c>
    </row>
    <row r="550" customFormat="false" ht="13.8" hidden="false" customHeight="false" outlineLevel="0" collapsed="false">
      <c r="A550" s="0" t="s">
        <v>974</v>
      </c>
      <c r="B550" s="0" t="s">
        <v>1461</v>
      </c>
      <c r="C550" s="0" t="s">
        <v>13</v>
      </c>
      <c r="D550" s="0" t="s">
        <v>151</v>
      </c>
      <c r="E550" s="0" t="s">
        <v>1462</v>
      </c>
      <c r="F550" s="0" t="s">
        <v>13</v>
      </c>
      <c r="G550" s="0" t="n">
        <v>0</v>
      </c>
      <c r="H550" s="0" t="s">
        <v>1463</v>
      </c>
      <c r="I550" s="0" t="s">
        <v>1464</v>
      </c>
      <c r="J550" s="0" t="s">
        <v>1465</v>
      </c>
      <c r="K550" s="0" t="s">
        <v>20</v>
      </c>
    </row>
    <row r="551" customFormat="false" ht="13.8" hidden="false" customHeight="false" outlineLevel="0" collapsed="false">
      <c r="A551" s="0" t="s">
        <v>974</v>
      </c>
      <c r="B551" s="0" t="s">
        <v>1466</v>
      </c>
      <c r="C551" s="0" t="s">
        <v>13</v>
      </c>
      <c r="D551" s="0" t="s">
        <v>151</v>
      </c>
      <c r="E551" s="0" t="s">
        <v>1467</v>
      </c>
      <c r="F551" s="0" t="s">
        <v>1468</v>
      </c>
      <c r="G551" s="0" t="n">
        <v>0</v>
      </c>
      <c r="H551" s="0" t="s">
        <v>1463</v>
      </c>
      <c r="I551" s="0" t="s">
        <v>1464</v>
      </c>
      <c r="J551" s="0" t="s">
        <v>1469</v>
      </c>
      <c r="K551" s="0" t="s">
        <v>20</v>
      </c>
    </row>
    <row r="552" customFormat="false" ht="13.8" hidden="false" customHeight="false" outlineLevel="0" collapsed="false">
      <c r="A552" s="0" t="s">
        <v>974</v>
      </c>
      <c r="B552" s="0" t="s">
        <v>1470</v>
      </c>
      <c r="C552" s="0" t="s">
        <v>13</v>
      </c>
      <c r="D552" s="0" t="s">
        <v>151</v>
      </c>
      <c r="E552" s="0" t="s">
        <v>1471</v>
      </c>
      <c r="F552" s="0" t="s">
        <v>16</v>
      </c>
      <c r="G552" s="0" t="n">
        <v>0</v>
      </c>
      <c r="H552" s="0" t="s">
        <v>1463</v>
      </c>
      <c r="I552" s="0" t="s">
        <v>1464</v>
      </c>
      <c r="J552" s="0" t="s">
        <v>1472</v>
      </c>
      <c r="K552" s="0" t="s">
        <v>20</v>
      </c>
    </row>
    <row r="553" customFormat="false" ht="13.8" hidden="false" customHeight="false" outlineLevel="0" collapsed="false">
      <c r="A553" s="0" t="s">
        <v>974</v>
      </c>
      <c r="B553" s="0" t="s">
        <v>1473</v>
      </c>
      <c r="C553" s="0" t="s">
        <v>13</v>
      </c>
      <c r="D553" s="0" t="s">
        <v>151</v>
      </c>
      <c r="E553" s="0" t="s">
        <v>1474</v>
      </c>
      <c r="F553" s="0" t="s">
        <v>28</v>
      </c>
      <c r="G553" s="0" t="n">
        <v>0</v>
      </c>
      <c r="H553" s="0" t="s">
        <v>1463</v>
      </c>
      <c r="I553" s="0" t="s">
        <v>1464</v>
      </c>
      <c r="J553" s="0" t="s">
        <v>1475</v>
      </c>
      <c r="K553" s="0" t="s">
        <v>20</v>
      </c>
    </row>
    <row r="554" customFormat="false" ht="13.8" hidden="false" customHeight="false" outlineLevel="0" collapsed="false">
      <c r="A554" s="0" t="s">
        <v>974</v>
      </c>
      <c r="B554" s="0" t="s">
        <v>1476</v>
      </c>
      <c r="C554" s="0" t="s">
        <v>13</v>
      </c>
      <c r="D554" s="0" t="s">
        <v>151</v>
      </c>
      <c r="E554" s="0" t="s">
        <v>1477</v>
      </c>
      <c r="F554" s="0" t="s">
        <v>28</v>
      </c>
      <c r="G554" s="0" t="n">
        <v>0</v>
      </c>
      <c r="H554" s="0" t="s">
        <v>1478</v>
      </c>
      <c r="I554" s="0" t="s">
        <v>1215</v>
      </c>
      <c r="J554" s="0" t="s">
        <v>1479</v>
      </c>
      <c r="K554" s="0" t="s">
        <v>20</v>
      </c>
    </row>
    <row r="555" customFormat="false" ht="13.8" hidden="false" customHeight="false" outlineLevel="0" collapsed="false">
      <c r="A555" s="0" t="s">
        <v>974</v>
      </c>
      <c r="B555" s="0" t="s">
        <v>1480</v>
      </c>
      <c r="C555" s="0" t="s">
        <v>13</v>
      </c>
      <c r="D555" s="0" t="s">
        <v>1481</v>
      </c>
      <c r="E555" s="0" t="s">
        <v>1482</v>
      </c>
      <c r="F555" s="0" t="s">
        <v>41</v>
      </c>
      <c r="G555" s="0" t="n">
        <v>0</v>
      </c>
      <c r="H555" s="0" t="s">
        <v>1463</v>
      </c>
      <c r="I555" s="0" t="s">
        <v>1464</v>
      </c>
      <c r="J555" s="0" t="s">
        <v>1483</v>
      </c>
      <c r="K555" s="0" t="s">
        <v>20</v>
      </c>
    </row>
    <row r="556" customFormat="false" ht="13.8" hidden="false" customHeight="false" outlineLevel="0" collapsed="false">
      <c r="A556" s="0" t="s">
        <v>974</v>
      </c>
      <c r="B556" s="0" t="s">
        <v>1484</v>
      </c>
      <c r="C556" s="0" t="s">
        <v>13</v>
      </c>
      <c r="D556" s="0" t="s">
        <v>151</v>
      </c>
      <c r="E556" s="0" t="s">
        <v>1485</v>
      </c>
      <c r="F556" s="0" t="s">
        <v>28</v>
      </c>
      <c r="G556" s="0" t="n">
        <v>0</v>
      </c>
      <c r="H556" s="0" t="s">
        <v>1478</v>
      </c>
      <c r="I556" s="0" t="s">
        <v>1215</v>
      </c>
      <c r="J556" s="0" t="s">
        <v>1486</v>
      </c>
      <c r="K556" s="0" t="s">
        <v>20</v>
      </c>
    </row>
    <row r="557" customFormat="false" ht="13.8" hidden="false" customHeight="false" outlineLevel="0" collapsed="false">
      <c r="A557" s="0" t="s">
        <v>974</v>
      </c>
      <c r="B557" s="0" t="s">
        <v>1487</v>
      </c>
      <c r="C557" s="0" t="s">
        <v>13</v>
      </c>
      <c r="D557" s="0" t="s">
        <v>151</v>
      </c>
      <c r="E557" s="0" t="s">
        <v>1488</v>
      </c>
      <c r="F557" s="0" t="s">
        <v>28</v>
      </c>
      <c r="G557" s="0" t="n">
        <v>0</v>
      </c>
      <c r="H557" s="0" t="s">
        <v>1463</v>
      </c>
      <c r="I557" s="0" t="s">
        <v>1464</v>
      </c>
      <c r="J557" s="0" t="s">
        <v>1489</v>
      </c>
      <c r="K557" s="0" t="s">
        <v>20</v>
      </c>
    </row>
    <row r="558" customFormat="false" ht="13.8" hidden="false" customHeight="false" outlineLevel="0" collapsed="false">
      <c r="A558" s="0" t="s">
        <v>974</v>
      </c>
      <c r="B558" s="0" t="s">
        <v>1490</v>
      </c>
      <c r="C558" s="0" t="s">
        <v>13</v>
      </c>
      <c r="D558" s="0" t="s">
        <v>151</v>
      </c>
      <c r="E558" s="0" t="s">
        <v>1491</v>
      </c>
      <c r="F558" s="0" t="s">
        <v>28</v>
      </c>
      <c r="G558" s="0" t="n">
        <v>0</v>
      </c>
      <c r="H558" s="0" t="s">
        <v>1463</v>
      </c>
      <c r="I558" s="0" t="s">
        <v>1464</v>
      </c>
      <c r="J558" s="0" t="s">
        <v>1492</v>
      </c>
      <c r="K558" s="0" t="s">
        <v>20</v>
      </c>
    </row>
    <row r="559" customFormat="false" ht="13.8" hidden="false" customHeight="false" outlineLevel="0" collapsed="false">
      <c r="A559" s="0" t="s">
        <v>974</v>
      </c>
      <c r="B559" s="0" t="s">
        <v>1493</v>
      </c>
      <c r="C559" s="0" t="s">
        <v>13</v>
      </c>
      <c r="D559" s="0" t="s">
        <v>151</v>
      </c>
      <c r="E559" s="0" t="s">
        <v>1494</v>
      </c>
      <c r="F559" s="0" t="s">
        <v>28</v>
      </c>
      <c r="G559" s="0" t="n">
        <v>0</v>
      </c>
      <c r="H559" s="0" t="s">
        <v>1463</v>
      </c>
      <c r="I559" s="0" t="s">
        <v>1464</v>
      </c>
      <c r="J559" s="0" t="s">
        <v>1495</v>
      </c>
      <c r="K559" s="0" t="s">
        <v>20</v>
      </c>
    </row>
    <row r="560" customFormat="false" ht="13.8" hidden="false" customHeight="false" outlineLevel="0" collapsed="false">
      <c r="A560" s="0" t="s">
        <v>974</v>
      </c>
      <c r="B560" s="0" t="s">
        <v>1496</v>
      </c>
      <c r="C560" s="0" t="s">
        <v>13</v>
      </c>
      <c r="D560" s="0" t="s">
        <v>151</v>
      </c>
      <c r="E560" s="0" t="s">
        <v>1497</v>
      </c>
      <c r="F560" s="0" t="s">
        <v>1498</v>
      </c>
      <c r="G560" s="0" t="n">
        <v>0</v>
      </c>
      <c r="H560" s="0" t="s">
        <v>1463</v>
      </c>
      <c r="I560" s="0" t="s">
        <v>1464</v>
      </c>
      <c r="J560" s="0" t="s">
        <v>1499</v>
      </c>
      <c r="K560" s="0" t="s">
        <v>20</v>
      </c>
    </row>
    <row r="561" customFormat="false" ht="13.8" hidden="false" customHeight="false" outlineLevel="0" collapsed="false">
      <c r="A561" s="0" t="s">
        <v>974</v>
      </c>
      <c r="B561" s="0" t="s">
        <v>1500</v>
      </c>
      <c r="C561" s="0" t="s">
        <v>13</v>
      </c>
      <c r="D561" s="0" t="s">
        <v>151</v>
      </c>
      <c r="E561" s="0" t="s">
        <v>1501</v>
      </c>
      <c r="F561" s="0" t="s">
        <v>1498</v>
      </c>
      <c r="G561" s="0" t="n">
        <v>0</v>
      </c>
      <c r="H561" s="0" t="s">
        <v>1463</v>
      </c>
      <c r="I561" s="0" t="s">
        <v>1464</v>
      </c>
      <c r="J561" s="0" t="s">
        <v>1502</v>
      </c>
      <c r="K561" s="0" t="s">
        <v>20</v>
      </c>
    </row>
    <row r="562" customFormat="false" ht="13.8" hidden="false" customHeight="false" outlineLevel="0" collapsed="false">
      <c r="A562" s="0" t="s">
        <v>974</v>
      </c>
      <c r="B562" s="0" t="s">
        <v>1503</v>
      </c>
      <c r="C562" s="0" t="s">
        <v>13</v>
      </c>
      <c r="D562" s="0" t="s">
        <v>151</v>
      </c>
      <c r="E562" s="0" t="s">
        <v>1504</v>
      </c>
      <c r="F562" s="0" t="s">
        <v>153</v>
      </c>
      <c r="G562" s="0" t="n">
        <v>0</v>
      </c>
      <c r="H562" s="0" t="s">
        <v>1505</v>
      </c>
      <c r="I562" s="0" t="s">
        <v>1215</v>
      </c>
      <c r="J562" s="0" t="s">
        <v>1506</v>
      </c>
      <c r="K562" s="0" t="s">
        <v>20</v>
      </c>
    </row>
    <row r="563" customFormat="false" ht="13.8" hidden="false" customHeight="false" outlineLevel="0" collapsed="false">
      <c r="A563" s="0" t="s">
        <v>974</v>
      </c>
      <c r="B563" s="0" t="s">
        <v>1507</v>
      </c>
      <c r="C563" s="0" t="s">
        <v>13</v>
      </c>
      <c r="D563" s="0" t="s">
        <v>151</v>
      </c>
      <c r="E563" s="0" t="s">
        <v>1508</v>
      </c>
      <c r="F563" s="0" t="s">
        <v>153</v>
      </c>
      <c r="G563" s="0" t="n">
        <v>0</v>
      </c>
      <c r="H563" s="0" t="s">
        <v>1463</v>
      </c>
      <c r="I563" s="0" t="s">
        <v>1464</v>
      </c>
      <c r="J563" s="0" t="s">
        <v>1509</v>
      </c>
      <c r="K563" s="0" t="s">
        <v>20</v>
      </c>
    </row>
    <row r="564" customFormat="false" ht="13.8" hidden="false" customHeight="false" outlineLevel="0" collapsed="false">
      <c r="A564" s="0" t="s">
        <v>974</v>
      </c>
      <c r="B564" s="0" t="s">
        <v>1510</v>
      </c>
      <c r="C564" s="0" t="s">
        <v>13</v>
      </c>
      <c r="D564" s="0" t="s">
        <v>151</v>
      </c>
      <c r="E564" s="0" t="s">
        <v>1511</v>
      </c>
      <c r="F564" s="0" t="s">
        <v>348</v>
      </c>
      <c r="G564" s="0" t="n">
        <v>0</v>
      </c>
      <c r="H564" s="0" t="s">
        <v>1512</v>
      </c>
      <c r="I564" s="0" t="s">
        <v>1513</v>
      </c>
      <c r="J564" s="0" t="s">
        <v>1514</v>
      </c>
      <c r="K564" s="0" t="s">
        <v>20</v>
      </c>
    </row>
    <row r="565" customFormat="false" ht="13.8" hidden="false" customHeight="false" outlineLevel="0" collapsed="false">
      <c r="A565" s="0" t="s">
        <v>974</v>
      </c>
      <c r="B565" s="0" t="s">
        <v>1515</v>
      </c>
      <c r="C565" s="0" t="s">
        <v>13</v>
      </c>
      <c r="D565" s="0" t="s">
        <v>151</v>
      </c>
      <c r="E565" s="0" t="s">
        <v>1516</v>
      </c>
      <c r="F565" s="0" t="s">
        <v>348</v>
      </c>
      <c r="G565" s="0" t="n">
        <v>0</v>
      </c>
      <c r="H565" s="0" t="s">
        <v>1517</v>
      </c>
      <c r="I565" s="0" t="s">
        <v>1215</v>
      </c>
      <c r="J565" s="0" t="s">
        <v>1518</v>
      </c>
      <c r="K565" s="0" t="s">
        <v>20</v>
      </c>
    </row>
    <row r="566" customFormat="false" ht="13.8" hidden="false" customHeight="false" outlineLevel="0" collapsed="false">
      <c r="A566" s="0" t="s">
        <v>974</v>
      </c>
      <c r="B566" s="0" t="s">
        <v>1519</v>
      </c>
      <c r="C566" s="0" t="s">
        <v>13</v>
      </c>
      <c r="D566" s="0" t="s">
        <v>1001</v>
      </c>
      <c r="E566" s="0" t="s">
        <v>1520</v>
      </c>
      <c r="F566" s="0" t="s">
        <v>13</v>
      </c>
      <c r="G566" s="0" t="n">
        <v>0</v>
      </c>
      <c r="H566" s="0" t="s">
        <v>1463</v>
      </c>
      <c r="I566" s="0" t="s">
        <v>1464</v>
      </c>
      <c r="J566" s="0" t="s">
        <v>1521</v>
      </c>
      <c r="K566" s="0" t="s">
        <v>20</v>
      </c>
    </row>
    <row r="567" customFormat="false" ht="13.8" hidden="false" customHeight="false" outlineLevel="0" collapsed="false">
      <c r="A567" s="0" t="s">
        <v>974</v>
      </c>
      <c r="B567" s="0" t="s">
        <v>1522</v>
      </c>
      <c r="C567" s="0" t="s">
        <v>13</v>
      </c>
      <c r="D567" s="0" t="s">
        <v>1001</v>
      </c>
      <c r="E567" s="0" t="s">
        <v>1523</v>
      </c>
      <c r="F567" s="0" t="s">
        <v>13</v>
      </c>
      <c r="G567" s="0" t="n">
        <v>0</v>
      </c>
      <c r="H567" s="0" t="s">
        <v>1463</v>
      </c>
      <c r="I567" s="0" t="s">
        <v>1464</v>
      </c>
      <c r="J567" s="0" t="s">
        <v>1524</v>
      </c>
      <c r="K567" s="0" t="s">
        <v>20</v>
      </c>
    </row>
    <row r="568" customFormat="false" ht="13.8" hidden="false" customHeight="false" outlineLevel="0" collapsed="false">
      <c r="A568" s="0" t="s">
        <v>974</v>
      </c>
      <c r="B568" s="0" t="s">
        <v>1212</v>
      </c>
      <c r="C568" s="0" t="s">
        <v>13</v>
      </c>
      <c r="D568" s="0" t="s">
        <v>151</v>
      </c>
      <c r="E568" s="0" t="s">
        <v>1213</v>
      </c>
      <c r="F568" s="0" t="s">
        <v>28</v>
      </c>
      <c r="G568" s="0" t="n">
        <v>0</v>
      </c>
      <c r="H568" s="0" t="s">
        <v>1463</v>
      </c>
      <c r="I568" s="0" t="s">
        <v>1464</v>
      </c>
      <c r="J568" s="0" t="s">
        <v>1216</v>
      </c>
      <c r="K568" s="0" t="s">
        <v>20</v>
      </c>
    </row>
    <row r="569" customFormat="false" ht="13.8" hidden="false" customHeight="false" outlineLevel="0" collapsed="false">
      <c r="A569" s="0" t="s">
        <v>974</v>
      </c>
      <c r="B569" s="0" t="s">
        <v>1525</v>
      </c>
      <c r="C569" s="0" t="s">
        <v>13</v>
      </c>
      <c r="D569" s="0" t="s">
        <v>151</v>
      </c>
      <c r="E569" s="0" t="s">
        <v>1526</v>
      </c>
      <c r="F569" s="0" t="s">
        <v>28</v>
      </c>
      <c r="G569" s="0" t="n">
        <v>0</v>
      </c>
      <c r="H569" s="0" t="s">
        <v>1463</v>
      </c>
      <c r="I569" s="0" t="s">
        <v>1464</v>
      </c>
      <c r="J569" s="0" t="s">
        <v>1527</v>
      </c>
      <c r="K569" s="0" t="s">
        <v>20</v>
      </c>
    </row>
    <row r="570" customFormat="false" ht="13.8" hidden="false" customHeight="false" outlineLevel="0" collapsed="false">
      <c r="A570" s="0" t="s">
        <v>974</v>
      </c>
      <c r="B570" s="0" t="s">
        <v>1528</v>
      </c>
      <c r="C570" s="0" t="s">
        <v>13</v>
      </c>
      <c r="D570" s="0" t="s">
        <v>151</v>
      </c>
      <c r="E570" s="0" t="s">
        <v>1529</v>
      </c>
      <c r="F570" s="0" t="s">
        <v>28</v>
      </c>
      <c r="G570" s="0" t="n">
        <v>0</v>
      </c>
      <c r="H570" s="0" t="s">
        <v>1463</v>
      </c>
      <c r="I570" s="0" t="s">
        <v>1464</v>
      </c>
      <c r="J570" s="0" t="s">
        <v>1530</v>
      </c>
      <c r="K570" s="0" t="s">
        <v>20</v>
      </c>
    </row>
    <row r="571" customFormat="false" ht="13.8" hidden="false" customHeight="false" outlineLevel="0" collapsed="false">
      <c r="A571" s="0" t="s">
        <v>974</v>
      </c>
      <c r="B571" s="0" t="s">
        <v>1049</v>
      </c>
      <c r="C571" s="0" t="s">
        <v>13</v>
      </c>
      <c r="D571" s="0" t="s">
        <v>151</v>
      </c>
      <c r="E571" s="0" t="s">
        <v>1050</v>
      </c>
      <c r="F571" s="0" t="s">
        <v>153</v>
      </c>
      <c r="G571" s="0" t="n">
        <v>0</v>
      </c>
      <c r="H571" s="0" t="s">
        <v>1051</v>
      </c>
      <c r="I571" s="0" t="s">
        <v>56</v>
      </c>
      <c r="J571" s="0" t="s">
        <v>775</v>
      </c>
      <c r="K571" s="0" t="s">
        <v>20</v>
      </c>
    </row>
    <row r="572" customFormat="false" ht="13.8" hidden="false" customHeight="false" outlineLevel="0" collapsed="false">
      <c r="A572" s="0" t="s">
        <v>974</v>
      </c>
      <c r="B572" s="0" t="s">
        <v>1531</v>
      </c>
      <c r="C572" s="0" t="s">
        <v>13</v>
      </c>
      <c r="D572" s="0" t="s">
        <v>151</v>
      </c>
      <c r="E572" s="0" t="s">
        <v>1532</v>
      </c>
      <c r="F572" s="0" t="s">
        <v>13</v>
      </c>
      <c r="G572" s="0" t="n">
        <v>0</v>
      </c>
      <c r="H572" s="0" t="s">
        <v>1460</v>
      </c>
      <c r="I572" s="0" t="s">
        <v>1215</v>
      </c>
      <c r="J572" s="0" t="s">
        <v>1533</v>
      </c>
      <c r="K572" s="0" t="s">
        <v>20</v>
      </c>
    </row>
    <row r="573" customFormat="false" ht="13.8" hidden="false" customHeight="false" outlineLevel="0" collapsed="false">
      <c r="A573" s="0" t="s">
        <v>974</v>
      </c>
      <c r="B573" s="0" t="s">
        <v>1534</v>
      </c>
      <c r="C573" s="0" t="s">
        <v>13</v>
      </c>
      <c r="D573" s="0" t="s">
        <v>151</v>
      </c>
      <c r="E573" s="0" t="s">
        <v>1535</v>
      </c>
      <c r="F573" s="0" t="s">
        <v>13</v>
      </c>
      <c r="G573" s="0" t="n">
        <v>0</v>
      </c>
      <c r="H573" s="0" t="s">
        <v>1460</v>
      </c>
      <c r="I573" s="0" t="s">
        <v>1215</v>
      </c>
      <c r="J573" s="0" t="s">
        <v>1536</v>
      </c>
      <c r="K573" s="0" t="s">
        <v>20</v>
      </c>
    </row>
    <row r="574" customFormat="false" ht="13.8" hidden="false" customHeight="false" outlineLevel="0" collapsed="false">
      <c r="A574" s="0" t="s">
        <v>974</v>
      </c>
      <c r="B574" s="0" t="s">
        <v>1537</v>
      </c>
      <c r="C574" s="0" t="s">
        <v>13</v>
      </c>
      <c r="D574" s="0" t="s">
        <v>151</v>
      </c>
      <c r="E574" s="0" t="s">
        <v>1538</v>
      </c>
      <c r="F574" s="0" t="s">
        <v>153</v>
      </c>
      <c r="G574" s="0" t="n">
        <v>0</v>
      </c>
      <c r="H574" s="0" t="s">
        <v>1478</v>
      </c>
      <c r="I574" s="0" t="s">
        <v>1215</v>
      </c>
      <c r="J574" s="0" t="s">
        <v>1539</v>
      </c>
      <c r="K574" s="0" t="s">
        <v>20</v>
      </c>
    </row>
    <row r="575" customFormat="false" ht="13.8" hidden="false" customHeight="false" outlineLevel="0" collapsed="false">
      <c r="A575" s="0" t="s">
        <v>974</v>
      </c>
      <c r="B575" s="0" t="s">
        <v>1540</v>
      </c>
      <c r="C575" s="0" t="s">
        <v>13</v>
      </c>
      <c r="D575" s="0" t="s">
        <v>151</v>
      </c>
      <c r="E575" s="0" t="s">
        <v>1541</v>
      </c>
      <c r="F575" s="0" t="s">
        <v>1542</v>
      </c>
      <c r="G575" s="0" t="n">
        <v>0</v>
      </c>
      <c r="H575" s="0" t="s">
        <v>1478</v>
      </c>
      <c r="I575" s="0" t="s">
        <v>1215</v>
      </c>
      <c r="J575" s="0" t="s">
        <v>1543</v>
      </c>
      <c r="K575" s="0" t="s">
        <v>20</v>
      </c>
    </row>
    <row r="576" customFormat="false" ht="13.8" hidden="false" customHeight="false" outlineLevel="0" collapsed="false">
      <c r="A576" s="0" t="s">
        <v>974</v>
      </c>
      <c r="B576" s="0" t="s">
        <v>1544</v>
      </c>
      <c r="C576" s="0" t="s">
        <v>13</v>
      </c>
      <c r="D576" s="0" t="s">
        <v>151</v>
      </c>
      <c r="E576" s="0" t="s">
        <v>1545</v>
      </c>
      <c r="F576" s="0" t="s">
        <v>1542</v>
      </c>
      <c r="G576" s="0" t="n">
        <v>0</v>
      </c>
      <c r="H576" s="0" t="s">
        <v>1478</v>
      </c>
      <c r="I576" s="0" t="s">
        <v>1215</v>
      </c>
      <c r="J576" s="0" t="s">
        <v>1546</v>
      </c>
      <c r="K576" s="0" t="s">
        <v>20</v>
      </c>
    </row>
    <row r="577" customFormat="false" ht="13.8" hidden="false" customHeight="false" outlineLevel="0" collapsed="false">
      <c r="A577" s="0" t="s">
        <v>974</v>
      </c>
      <c r="B577" s="0" t="s">
        <v>1547</v>
      </c>
      <c r="C577" s="0" t="s">
        <v>13</v>
      </c>
      <c r="D577" s="0" t="s">
        <v>151</v>
      </c>
      <c r="E577" s="0" t="s">
        <v>1548</v>
      </c>
      <c r="F577" s="0" t="s">
        <v>28</v>
      </c>
      <c r="G577" s="0" t="n">
        <v>0</v>
      </c>
      <c r="H577" s="0" t="s">
        <v>1463</v>
      </c>
      <c r="I577" s="0" t="s">
        <v>1464</v>
      </c>
      <c r="J577" s="0" t="s">
        <v>1549</v>
      </c>
      <c r="K577" s="0" t="s">
        <v>20</v>
      </c>
    </row>
    <row r="578" customFormat="false" ht="13.8" hidden="false" customHeight="false" outlineLevel="0" collapsed="false">
      <c r="A578" s="0" t="s">
        <v>974</v>
      </c>
      <c r="B578" s="0" t="s">
        <v>1550</v>
      </c>
      <c r="C578" s="0" t="s">
        <v>13</v>
      </c>
      <c r="D578" s="0" t="s">
        <v>151</v>
      </c>
      <c r="E578" s="0" t="s">
        <v>1551</v>
      </c>
      <c r="F578" s="0" t="s">
        <v>153</v>
      </c>
      <c r="G578" s="0" t="n">
        <v>0</v>
      </c>
      <c r="H578" s="0" t="s">
        <v>1505</v>
      </c>
      <c r="I578" s="0" t="s">
        <v>1215</v>
      </c>
      <c r="J578" s="0" t="s">
        <v>1552</v>
      </c>
      <c r="K578" s="0" t="s">
        <v>20</v>
      </c>
    </row>
    <row r="579" customFormat="false" ht="13.8" hidden="false" customHeight="false" outlineLevel="0" collapsed="false">
      <c r="A579" s="0" t="s">
        <v>974</v>
      </c>
      <c r="B579" s="0" t="s">
        <v>1553</v>
      </c>
      <c r="C579" s="0" t="s">
        <v>13</v>
      </c>
      <c r="D579" s="0" t="s">
        <v>151</v>
      </c>
      <c r="E579" s="0" t="s">
        <v>1554</v>
      </c>
      <c r="F579" s="0" t="s">
        <v>153</v>
      </c>
      <c r="G579" s="0" t="n">
        <v>0</v>
      </c>
      <c r="H579" s="0" t="s">
        <v>1463</v>
      </c>
      <c r="I579" s="0" t="s">
        <v>1464</v>
      </c>
      <c r="J579" s="0" t="s">
        <v>1555</v>
      </c>
      <c r="K579" s="0" t="s">
        <v>20</v>
      </c>
    </row>
    <row r="580" customFormat="false" ht="13.8" hidden="false" customHeight="false" outlineLevel="0" collapsed="false">
      <c r="A580" s="0" t="s">
        <v>974</v>
      </c>
      <c r="B580" s="0" t="s">
        <v>1556</v>
      </c>
      <c r="C580" s="0" t="s">
        <v>13</v>
      </c>
      <c r="D580" s="0" t="s">
        <v>151</v>
      </c>
      <c r="E580" s="0" t="s">
        <v>1557</v>
      </c>
      <c r="F580" s="0" t="s">
        <v>153</v>
      </c>
      <c r="G580" s="0" t="n">
        <v>0</v>
      </c>
      <c r="H580" s="0" t="s">
        <v>1505</v>
      </c>
      <c r="I580" s="0" t="s">
        <v>1215</v>
      </c>
      <c r="J580" s="0" t="s">
        <v>1558</v>
      </c>
      <c r="K580" s="0" t="s">
        <v>20</v>
      </c>
    </row>
    <row r="581" customFormat="false" ht="13.8" hidden="false" customHeight="false" outlineLevel="0" collapsed="false">
      <c r="A581" s="0" t="s">
        <v>974</v>
      </c>
      <c r="B581" s="0" t="s">
        <v>1559</v>
      </c>
      <c r="C581" s="0" t="s">
        <v>13</v>
      </c>
      <c r="D581" s="0" t="s">
        <v>151</v>
      </c>
      <c r="E581" s="0" t="s">
        <v>1560</v>
      </c>
      <c r="F581" s="0" t="s">
        <v>28</v>
      </c>
      <c r="G581" s="0" t="n">
        <v>0</v>
      </c>
      <c r="H581" s="0" t="s">
        <v>1561</v>
      </c>
      <c r="I581" s="0" t="s">
        <v>1215</v>
      </c>
      <c r="J581" s="0" t="s">
        <v>1562</v>
      </c>
      <c r="K581" s="0" t="s">
        <v>20</v>
      </c>
    </row>
    <row r="582" customFormat="false" ht="13.8" hidden="false" customHeight="false" outlineLevel="0" collapsed="false">
      <c r="A582" s="0" t="s">
        <v>974</v>
      </c>
      <c r="B582" s="0" t="s">
        <v>1563</v>
      </c>
      <c r="C582" s="0" t="s">
        <v>13</v>
      </c>
      <c r="D582" s="0" t="s">
        <v>151</v>
      </c>
      <c r="E582" s="0" t="s">
        <v>1564</v>
      </c>
      <c r="F582" s="0" t="s">
        <v>28</v>
      </c>
      <c r="G582" s="0" t="n">
        <v>0</v>
      </c>
      <c r="H582" s="0" t="s">
        <v>1565</v>
      </c>
      <c r="I582" s="0" t="s">
        <v>1215</v>
      </c>
      <c r="J582" s="0" t="s">
        <v>1566</v>
      </c>
      <c r="K582" s="0" t="s">
        <v>20</v>
      </c>
    </row>
    <row r="583" customFormat="false" ht="13.8" hidden="false" customHeight="false" outlineLevel="0" collapsed="false">
      <c r="A583" s="0" t="s">
        <v>974</v>
      </c>
      <c r="B583" s="0" t="s">
        <v>1567</v>
      </c>
      <c r="C583" s="0" t="s">
        <v>13</v>
      </c>
      <c r="D583" s="0" t="s">
        <v>151</v>
      </c>
      <c r="E583" s="0" t="s">
        <v>1568</v>
      </c>
      <c r="F583" s="0" t="s">
        <v>852</v>
      </c>
      <c r="G583" s="0" t="n">
        <v>0</v>
      </c>
      <c r="H583" s="0" t="s">
        <v>1463</v>
      </c>
      <c r="I583" s="0" t="s">
        <v>1464</v>
      </c>
      <c r="J583" s="0" t="s">
        <v>1569</v>
      </c>
      <c r="K583" s="0" t="s">
        <v>20</v>
      </c>
    </row>
    <row r="584" customFormat="false" ht="13.8" hidden="false" customHeight="false" outlineLevel="0" collapsed="false">
      <c r="A584" s="0" t="s">
        <v>974</v>
      </c>
      <c r="B584" s="0" t="s">
        <v>1570</v>
      </c>
      <c r="C584" s="0" t="s">
        <v>13</v>
      </c>
      <c r="D584" s="0" t="s">
        <v>151</v>
      </c>
      <c r="E584" s="0" t="s">
        <v>1571</v>
      </c>
      <c r="F584" s="0" t="s">
        <v>852</v>
      </c>
      <c r="G584" s="0" t="n">
        <v>0</v>
      </c>
      <c r="H584" s="0" t="s">
        <v>1463</v>
      </c>
      <c r="I584" s="0" t="s">
        <v>1464</v>
      </c>
      <c r="J584" s="0" t="s">
        <v>1572</v>
      </c>
      <c r="K584" s="0" t="s">
        <v>20</v>
      </c>
    </row>
    <row r="585" customFormat="false" ht="13.8" hidden="false" customHeight="false" outlineLevel="0" collapsed="false">
      <c r="A585" s="0" t="s">
        <v>974</v>
      </c>
      <c r="B585" s="0" t="s">
        <v>1364</v>
      </c>
      <c r="C585" s="0" t="s">
        <v>13</v>
      </c>
      <c r="D585" s="0" t="s">
        <v>151</v>
      </c>
      <c r="E585" s="0" t="s">
        <v>1365</v>
      </c>
      <c r="F585" s="0" t="s">
        <v>41</v>
      </c>
      <c r="G585" s="0" t="n">
        <v>0</v>
      </c>
      <c r="H585" s="0" t="s">
        <v>1478</v>
      </c>
      <c r="I585" s="0" t="s">
        <v>1215</v>
      </c>
      <c r="J585" s="0" t="s">
        <v>1367</v>
      </c>
      <c r="K585" s="0" t="s">
        <v>20</v>
      </c>
    </row>
    <row r="586" customFormat="false" ht="13.8" hidden="false" customHeight="false" outlineLevel="0" collapsed="false"/>
    <row r="587" customFormat="false" ht="13.8" hidden="false" customHeight="false" outlineLevel="0" collapsed="false"/>
    <row r="588" customFormat="false" ht="13.8" hidden="false" customHeight="false" outlineLevel="0" collapsed="false">
      <c r="A588" s="0" t="s">
        <v>740</v>
      </c>
      <c r="B588" s="0" t="s">
        <v>1573</v>
      </c>
      <c r="C588" s="0" t="s">
        <v>13</v>
      </c>
      <c r="D588" s="0" t="s">
        <v>1574</v>
      </c>
      <c r="E588" s="0" t="s">
        <v>1575</v>
      </c>
      <c r="F588" s="0" t="s">
        <v>232</v>
      </c>
      <c r="G588" s="0" t="s">
        <v>1423</v>
      </c>
      <c r="H588" s="0" t="s">
        <v>1576</v>
      </c>
      <c r="I588" s="0" t="s">
        <v>1577</v>
      </c>
      <c r="J588" s="0" t="s">
        <v>1578</v>
      </c>
      <c r="K588" s="0" t="s">
        <v>755</v>
      </c>
    </row>
    <row r="589" customFormat="false" ht="13.8" hidden="false" customHeight="false" outlineLevel="0" collapsed="false">
      <c r="A589" s="0" t="s">
        <v>1043</v>
      </c>
      <c r="B589" s="0" t="s">
        <v>1573</v>
      </c>
      <c r="C589" s="0" t="s">
        <v>13</v>
      </c>
      <c r="D589" s="0" t="s">
        <v>1574</v>
      </c>
      <c r="E589" s="0" t="s">
        <v>1575</v>
      </c>
      <c r="F589" s="0" t="s">
        <v>232</v>
      </c>
      <c r="G589" s="0" t="s">
        <v>1423</v>
      </c>
      <c r="H589" s="0" t="s">
        <v>1576</v>
      </c>
      <c r="I589" s="0" t="s">
        <v>1577</v>
      </c>
      <c r="J589" s="0" t="s">
        <v>1578</v>
      </c>
      <c r="K589" s="0" t="s">
        <v>755</v>
      </c>
    </row>
    <row r="590" customFormat="false" ht="13.8" hidden="false" customHeight="false" outlineLevel="0" collapsed="false"/>
    <row r="591" customFormat="false" ht="13.8" hidden="false" customHeight="false" outlineLevel="0" collapsed="false"/>
    <row r="592" customFormat="false" ht="13.8" hidden="false" customHeight="false" outlineLevel="0" collapsed="false">
      <c r="A592" s="0" t="s">
        <v>324</v>
      </c>
      <c r="B592" s="0" t="s">
        <v>1579</v>
      </c>
      <c r="C592" s="0" t="s">
        <v>13</v>
      </c>
      <c r="D592" s="0" t="s">
        <v>333</v>
      </c>
      <c r="E592" s="0" t="s">
        <v>1580</v>
      </c>
      <c r="F592" s="0" t="s">
        <v>16</v>
      </c>
      <c r="G592" s="0" t="s">
        <v>1423</v>
      </c>
      <c r="H592" s="0" t="s">
        <v>1581</v>
      </c>
      <c r="I592" s="0" t="s">
        <v>1577</v>
      </c>
      <c r="J592" s="0" t="s">
        <v>1582</v>
      </c>
      <c r="K592" s="0" t="s">
        <v>326</v>
      </c>
    </row>
    <row r="593" customFormat="false" ht="13.8" hidden="false" customHeight="false" outlineLevel="0" collapsed="false">
      <c r="A593" s="0" t="s">
        <v>324</v>
      </c>
      <c r="B593" s="0" t="s">
        <v>1583</v>
      </c>
      <c r="C593" s="0" t="s">
        <v>13</v>
      </c>
      <c r="D593" s="0" t="s">
        <v>333</v>
      </c>
      <c r="E593" s="0" t="s">
        <v>1584</v>
      </c>
      <c r="F593" s="0" t="s">
        <v>1127</v>
      </c>
      <c r="G593" s="0" t="s">
        <v>1423</v>
      </c>
      <c r="H593" s="0" t="s">
        <v>1585</v>
      </c>
      <c r="I593" s="0" t="s">
        <v>1577</v>
      </c>
      <c r="J593" s="0" t="s">
        <v>1586</v>
      </c>
      <c r="K593" s="0" t="s">
        <v>326</v>
      </c>
    </row>
    <row r="594" customFormat="false" ht="13.8" hidden="false" customHeight="false" outlineLevel="0" collapsed="false">
      <c r="A594" s="0" t="s">
        <v>324</v>
      </c>
      <c r="B594" s="0" t="s">
        <v>1587</v>
      </c>
      <c r="C594" s="0" t="s">
        <v>13</v>
      </c>
      <c r="D594" s="0" t="s">
        <v>333</v>
      </c>
      <c r="E594" s="0" t="s">
        <v>1588</v>
      </c>
      <c r="F594" s="0" t="s">
        <v>1127</v>
      </c>
      <c r="G594" s="0" t="s">
        <v>1423</v>
      </c>
      <c r="H594" s="0" t="s">
        <v>1589</v>
      </c>
      <c r="I594" s="0" t="s">
        <v>1577</v>
      </c>
      <c r="J594" s="0" t="s">
        <v>1590</v>
      </c>
      <c r="K594" s="0" t="s">
        <v>326</v>
      </c>
    </row>
    <row r="595" customFormat="false" ht="13.8" hidden="false" customHeight="false" outlineLevel="0" collapsed="false">
      <c r="A595" s="0" t="s">
        <v>324</v>
      </c>
      <c r="B595" s="0" t="s">
        <v>1591</v>
      </c>
      <c r="C595" s="0" t="s">
        <v>13</v>
      </c>
      <c r="D595" s="0" t="s">
        <v>333</v>
      </c>
      <c r="E595" s="0" t="s">
        <v>1592</v>
      </c>
      <c r="F595" s="0" t="s">
        <v>852</v>
      </c>
      <c r="G595" s="0" t="s">
        <v>1423</v>
      </c>
      <c r="H595" s="0" t="s">
        <v>1593</v>
      </c>
      <c r="I595" s="0" t="s">
        <v>1577</v>
      </c>
      <c r="J595" s="0" t="s">
        <v>1592</v>
      </c>
      <c r="K595" s="0" t="s">
        <v>326</v>
      </c>
    </row>
    <row r="596" customFormat="false" ht="13.8" hidden="false" customHeight="false" outlineLevel="0" collapsed="false">
      <c r="A596" s="0" t="s">
        <v>324</v>
      </c>
      <c r="B596" s="0" t="s">
        <v>1594</v>
      </c>
      <c r="C596" s="0" t="s">
        <v>13</v>
      </c>
      <c r="D596" s="0" t="s">
        <v>333</v>
      </c>
      <c r="E596" s="0" t="s">
        <v>1595</v>
      </c>
      <c r="F596" s="0" t="s">
        <v>296</v>
      </c>
      <c r="G596" s="0" t="s">
        <v>1423</v>
      </c>
      <c r="H596" s="0" t="s">
        <v>1596</v>
      </c>
      <c r="I596" s="0" t="s">
        <v>1577</v>
      </c>
      <c r="J596" s="0" t="s">
        <v>1597</v>
      </c>
      <c r="K596" s="0" t="s">
        <v>326</v>
      </c>
    </row>
    <row r="597" customFormat="false" ht="13.8" hidden="false" customHeight="false" outlineLevel="0" collapsed="false">
      <c r="A597" s="0" t="s">
        <v>324</v>
      </c>
      <c r="B597" s="0" t="s">
        <v>1598</v>
      </c>
      <c r="C597" s="0" t="s">
        <v>13</v>
      </c>
      <c r="D597" s="0" t="s">
        <v>333</v>
      </c>
      <c r="E597" s="0" t="s">
        <v>1599</v>
      </c>
      <c r="F597" s="0" t="s">
        <v>296</v>
      </c>
      <c r="G597" s="0" t="s">
        <v>1423</v>
      </c>
      <c r="H597" s="0" t="s">
        <v>1600</v>
      </c>
      <c r="I597" s="0" t="s">
        <v>1577</v>
      </c>
      <c r="J597" s="0" t="s">
        <v>1601</v>
      </c>
      <c r="K597" s="0" t="s">
        <v>326</v>
      </c>
    </row>
    <row r="598" customFormat="false" ht="13.8" hidden="false" customHeight="false" outlineLevel="0" collapsed="false">
      <c r="A598" s="0" t="s">
        <v>324</v>
      </c>
      <c r="B598" s="0" t="s">
        <v>1602</v>
      </c>
      <c r="C598" s="0" t="s">
        <v>13</v>
      </c>
      <c r="D598" s="0" t="s">
        <v>333</v>
      </c>
      <c r="E598" s="0" t="s">
        <v>1603</v>
      </c>
      <c r="F598" s="0" t="s">
        <v>13</v>
      </c>
      <c r="G598" s="0" t="s">
        <v>1423</v>
      </c>
      <c r="H598" s="0" t="s">
        <v>1604</v>
      </c>
      <c r="I598" s="0" t="s">
        <v>1577</v>
      </c>
      <c r="J598" s="0" t="s">
        <v>1605</v>
      </c>
      <c r="K598" s="0" t="s">
        <v>326</v>
      </c>
    </row>
    <row r="599" customFormat="false" ht="13.8" hidden="false" customHeight="false" outlineLevel="0" collapsed="false">
      <c r="A599" s="0" t="s">
        <v>324</v>
      </c>
      <c r="B599" s="0" t="s">
        <v>1606</v>
      </c>
      <c r="C599" s="0" t="s">
        <v>13</v>
      </c>
      <c r="D599" s="0" t="s">
        <v>333</v>
      </c>
      <c r="E599" s="0" t="s">
        <v>1607</v>
      </c>
      <c r="F599" s="0" t="s">
        <v>16</v>
      </c>
      <c r="G599" s="0" t="s">
        <v>1423</v>
      </c>
      <c r="H599" s="0" t="s">
        <v>1608</v>
      </c>
      <c r="I599" s="0" t="s">
        <v>1577</v>
      </c>
      <c r="J599" s="0" t="s">
        <v>990</v>
      </c>
      <c r="K599" s="0" t="s">
        <v>326</v>
      </c>
    </row>
    <row r="600" customFormat="false" ht="13.8" hidden="false" customHeight="false" outlineLevel="0" collapsed="false">
      <c r="A600" s="0" t="s">
        <v>324</v>
      </c>
      <c r="B600" s="0" t="s">
        <v>1609</v>
      </c>
      <c r="C600" s="0" t="s">
        <v>13</v>
      </c>
      <c r="D600" s="0" t="s">
        <v>333</v>
      </c>
      <c r="E600" s="0" t="s">
        <v>1610</v>
      </c>
      <c r="F600" s="0" t="s">
        <v>1611</v>
      </c>
      <c r="G600" s="0" t="s">
        <v>1423</v>
      </c>
      <c r="H600" s="0" t="s">
        <v>1612</v>
      </c>
      <c r="I600" s="0" t="s">
        <v>1577</v>
      </c>
      <c r="J600" s="0" t="s">
        <v>1613</v>
      </c>
      <c r="K600" s="0" t="s">
        <v>326</v>
      </c>
    </row>
    <row r="601" customFormat="false" ht="13.8" hidden="false" customHeight="false" outlineLevel="0" collapsed="false">
      <c r="A601" s="0" t="s">
        <v>324</v>
      </c>
      <c r="B601" s="0" t="s">
        <v>1614</v>
      </c>
      <c r="C601" s="0" t="s">
        <v>13</v>
      </c>
      <c r="D601" s="0" t="s">
        <v>333</v>
      </c>
      <c r="E601" s="0" t="s">
        <v>1615</v>
      </c>
      <c r="F601" s="0" t="s">
        <v>41</v>
      </c>
      <c r="G601" s="0" t="s">
        <v>1423</v>
      </c>
      <c r="H601" s="0" t="s">
        <v>1616</v>
      </c>
      <c r="I601" s="0" t="s">
        <v>1577</v>
      </c>
      <c r="J601" s="0" t="s">
        <v>1617</v>
      </c>
      <c r="K601" s="0" t="s">
        <v>326</v>
      </c>
    </row>
    <row r="602" customFormat="false" ht="13.8" hidden="false" customHeight="false" outlineLevel="0" collapsed="false">
      <c r="A602" s="0" t="s">
        <v>324</v>
      </c>
      <c r="B602" s="0" t="s">
        <v>1618</v>
      </c>
      <c r="C602" s="0" t="s">
        <v>13</v>
      </c>
      <c r="D602" s="0" t="s">
        <v>333</v>
      </c>
      <c r="E602" s="0" t="s">
        <v>1619</v>
      </c>
      <c r="F602" s="0" t="s">
        <v>232</v>
      </c>
      <c r="G602" s="0" t="s">
        <v>1423</v>
      </c>
      <c r="H602" s="0" t="s">
        <v>1620</v>
      </c>
      <c r="I602" s="0" t="s">
        <v>1577</v>
      </c>
      <c r="J602" s="0" t="s">
        <v>1621</v>
      </c>
      <c r="K602" s="0" t="s">
        <v>326</v>
      </c>
    </row>
    <row r="603" customFormat="false" ht="13.8" hidden="false" customHeight="false" outlineLevel="0" collapsed="false">
      <c r="A603" s="0" t="s">
        <v>324</v>
      </c>
      <c r="B603" s="0" t="s">
        <v>1573</v>
      </c>
      <c r="C603" s="0" t="s">
        <v>13</v>
      </c>
      <c r="D603" s="0" t="s">
        <v>345</v>
      </c>
      <c r="E603" s="0" t="s">
        <v>1575</v>
      </c>
      <c r="F603" s="0" t="s">
        <v>232</v>
      </c>
      <c r="G603" s="0" t="s">
        <v>1423</v>
      </c>
      <c r="H603" s="0" t="s">
        <v>1622</v>
      </c>
      <c r="I603" s="0" t="s">
        <v>1577</v>
      </c>
      <c r="J603" s="0" t="s">
        <v>1578</v>
      </c>
      <c r="K603" s="0" t="s">
        <v>326</v>
      </c>
    </row>
    <row r="604" customFormat="false" ht="13.8" hidden="false" customHeight="false" outlineLevel="0" collapsed="false">
      <c r="A604" s="0" t="s">
        <v>324</v>
      </c>
      <c r="B604" s="0" t="s">
        <v>1623</v>
      </c>
      <c r="C604" s="0" t="s">
        <v>13</v>
      </c>
      <c r="D604" s="0" t="s">
        <v>1624</v>
      </c>
      <c r="E604" s="0" t="s">
        <v>1625</v>
      </c>
      <c r="F604" s="0" t="s">
        <v>852</v>
      </c>
      <c r="G604" s="0" t="s">
        <v>1423</v>
      </c>
      <c r="H604" s="0" t="s">
        <v>1626</v>
      </c>
      <c r="I604" s="0" t="s">
        <v>1577</v>
      </c>
      <c r="J604" s="0" t="s">
        <v>1627</v>
      </c>
      <c r="K604" s="0" t="s">
        <v>326</v>
      </c>
    </row>
    <row r="605" customFormat="false" ht="13.8" hidden="false" customHeight="false" outlineLevel="0" collapsed="false">
      <c r="A605" s="0" t="s">
        <v>324</v>
      </c>
      <c r="B605" s="0" t="s">
        <v>1628</v>
      </c>
      <c r="C605" s="0" t="s">
        <v>13</v>
      </c>
      <c r="D605" s="0" t="s">
        <v>325</v>
      </c>
      <c r="E605" s="0" t="s">
        <v>1629</v>
      </c>
      <c r="F605" s="0" t="s">
        <v>852</v>
      </c>
      <c r="G605" s="0" t="s">
        <v>1423</v>
      </c>
      <c r="H605" s="0" t="s">
        <v>1630</v>
      </c>
      <c r="I605" s="0" t="s">
        <v>1577</v>
      </c>
      <c r="J605" s="0" t="s">
        <v>1631</v>
      </c>
      <c r="K605" s="0" t="s">
        <v>326</v>
      </c>
    </row>
    <row r="606" customFormat="false" ht="13.8" hidden="false" customHeight="false" outlineLevel="0" collapsed="false">
      <c r="A606" s="0" t="s">
        <v>324</v>
      </c>
      <c r="B606" s="0" t="s">
        <v>1632</v>
      </c>
      <c r="C606" s="0" t="s">
        <v>13</v>
      </c>
      <c r="D606" s="0" t="s">
        <v>325</v>
      </c>
      <c r="E606" s="0" t="s">
        <v>1633</v>
      </c>
      <c r="F606" s="0" t="s">
        <v>232</v>
      </c>
      <c r="G606" s="0" t="s">
        <v>1423</v>
      </c>
      <c r="H606" s="0" t="s">
        <v>1634</v>
      </c>
      <c r="I606" s="0" t="s">
        <v>1577</v>
      </c>
      <c r="J606" s="0" t="s">
        <v>1633</v>
      </c>
      <c r="K606" s="0" t="s">
        <v>326</v>
      </c>
    </row>
    <row r="607" customFormat="false" ht="13.8" hidden="false" customHeight="false" outlineLevel="0" collapsed="false">
      <c r="A607" s="0" t="s">
        <v>324</v>
      </c>
      <c r="B607" s="0" t="s">
        <v>1635</v>
      </c>
      <c r="C607" s="0" t="s">
        <v>13</v>
      </c>
      <c r="D607" s="0" t="s">
        <v>325</v>
      </c>
      <c r="E607" s="0" t="s">
        <v>1636</v>
      </c>
      <c r="F607" s="0" t="s">
        <v>232</v>
      </c>
      <c r="G607" s="0" t="s">
        <v>1423</v>
      </c>
      <c r="H607" s="0" t="s">
        <v>1637</v>
      </c>
      <c r="I607" s="0" t="s">
        <v>1577</v>
      </c>
      <c r="J607" s="0" t="s">
        <v>1638</v>
      </c>
      <c r="K607" s="0" t="s">
        <v>326</v>
      </c>
    </row>
    <row r="608" customFormat="false" ht="13.8" hidden="false" customHeight="false" outlineLevel="0" collapsed="false">
      <c r="A608" s="0" t="s">
        <v>324</v>
      </c>
      <c r="B608" s="0" t="s">
        <v>1639</v>
      </c>
      <c r="C608" s="0" t="s">
        <v>13</v>
      </c>
      <c r="D608" s="0" t="s">
        <v>1640</v>
      </c>
      <c r="E608" s="0" t="s">
        <v>1641</v>
      </c>
      <c r="F608" s="0" t="s">
        <v>296</v>
      </c>
      <c r="G608" s="0" t="s">
        <v>1423</v>
      </c>
      <c r="H608" s="0" t="s">
        <v>1642</v>
      </c>
      <c r="I608" s="0" t="s">
        <v>1577</v>
      </c>
      <c r="J608" s="0" t="s">
        <v>1643</v>
      </c>
      <c r="K608" s="0" t="s">
        <v>326</v>
      </c>
    </row>
    <row r="609" customFormat="false" ht="13.8" hidden="false" customHeight="false" outlineLevel="0" collapsed="false">
      <c r="A609" s="0" t="s">
        <v>324</v>
      </c>
      <c r="B609" s="0" t="s">
        <v>1644</v>
      </c>
      <c r="C609" s="0" t="s">
        <v>13</v>
      </c>
      <c r="D609" s="0" t="s">
        <v>1640</v>
      </c>
      <c r="E609" s="0" t="s">
        <v>1645</v>
      </c>
      <c r="F609" s="0" t="s">
        <v>296</v>
      </c>
      <c r="G609" s="0" t="s">
        <v>1423</v>
      </c>
      <c r="H609" s="0" t="s">
        <v>1646</v>
      </c>
      <c r="I609" s="0" t="s">
        <v>1577</v>
      </c>
      <c r="J609" s="0" t="s">
        <v>1647</v>
      </c>
      <c r="K609" s="0" t="s">
        <v>326</v>
      </c>
    </row>
    <row r="610" customFormat="false" ht="13.8" hidden="false" customHeight="false" outlineLevel="0" collapsed="false">
      <c r="A610" s="0" t="s">
        <v>324</v>
      </c>
      <c r="B610" s="0" t="s">
        <v>1648</v>
      </c>
      <c r="C610" s="0" t="s">
        <v>13</v>
      </c>
      <c r="D610" s="0" t="s">
        <v>1640</v>
      </c>
      <c r="E610" s="0" t="s">
        <v>1649</v>
      </c>
      <c r="F610" s="0" t="s">
        <v>296</v>
      </c>
      <c r="G610" s="0" t="s">
        <v>1423</v>
      </c>
      <c r="H610" s="0" t="s">
        <v>1650</v>
      </c>
      <c r="I610" s="0" t="s">
        <v>1577</v>
      </c>
      <c r="J610" s="0" t="s">
        <v>1651</v>
      </c>
      <c r="K610" s="0" t="s">
        <v>326</v>
      </c>
    </row>
    <row r="611" customFormat="false" ht="13.8" hidden="false" customHeight="false" outlineLevel="0" collapsed="false">
      <c r="A611" s="0" t="s">
        <v>324</v>
      </c>
      <c r="B611" s="0" t="s">
        <v>1652</v>
      </c>
      <c r="C611" s="0" t="s">
        <v>13</v>
      </c>
      <c r="D611" s="0" t="s">
        <v>1624</v>
      </c>
      <c r="E611" s="0" t="s">
        <v>1653</v>
      </c>
      <c r="F611" s="0" t="s">
        <v>16</v>
      </c>
      <c r="G611" s="0" t="s">
        <v>1423</v>
      </c>
      <c r="H611" s="0" t="s">
        <v>1654</v>
      </c>
      <c r="I611" s="0" t="s">
        <v>1577</v>
      </c>
      <c r="J611" s="0" t="s">
        <v>990</v>
      </c>
      <c r="K611" s="0" t="s">
        <v>326</v>
      </c>
    </row>
    <row r="612" customFormat="false" ht="13.8" hidden="false" customHeight="false" outlineLevel="0" collapsed="false">
      <c r="A612" s="0" t="s">
        <v>324</v>
      </c>
      <c r="B612" s="0" t="s">
        <v>1655</v>
      </c>
      <c r="C612" s="0" t="s">
        <v>13</v>
      </c>
      <c r="D612" s="0" t="s">
        <v>1624</v>
      </c>
      <c r="E612" s="0" t="s">
        <v>1656</v>
      </c>
      <c r="F612" s="0" t="s">
        <v>13</v>
      </c>
      <c r="G612" s="0" t="s">
        <v>1423</v>
      </c>
      <c r="H612" s="0" t="s">
        <v>1657</v>
      </c>
      <c r="I612" s="0" t="s">
        <v>1577</v>
      </c>
      <c r="J612" s="0" t="s">
        <v>1658</v>
      </c>
      <c r="K612" s="0" t="s">
        <v>326</v>
      </c>
    </row>
    <row r="613" customFormat="false" ht="13.8" hidden="false" customHeight="false" outlineLevel="0" collapsed="false">
      <c r="A613" s="0" t="s">
        <v>324</v>
      </c>
      <c r="B613" s="0" t="s">
        <v>1659</v>
      </c>
      <c r="C613" s="0" t="s">
        <v>13</v>
      </c>
      <c r="D613" s="0" t="s">
        <v>325</v>
      </c>
      <c r="E613" s="0" t="s">
        <v>1660</v>
      </c>
      <c r="F613" s="0" t="s">
        <v>153</v>
      </c>
      <c r="G613" s="0" t="s">
        <v>1423</v>
      </c>
      <c r="H613" s="0" t="s">
        <v>1661</v>
      </c>
      <c r="I613" s="0" t="s">
        <v>1577</v>
      </c>
      <c r="J613" s="0" t="s">
        <v>1662</v>
      </c>
      <c r="K613" s="0" t="s">
        <v>326</v>
      </c>
    </row>
    <row r="614" customFormat="false" ht="13.8" hidden="false" customHeight="false" outlineLevel="0" collapsed="false">
      <c r="A614" s="0" t="s">
        <v>324</v>
      </c>
      <c r="B614" s="0" t="s">
        <v>1663</v>
      </c>
      <c r="C614" s="0" t="s">
        <v>13</v>
      </c>
      <c r="D614" s="0" t="s">
        <v>325</v>
      </c>
      <c r="E614" s="0" t="s">
        <v>1664</v>
      </c>
      <c r="F614" s="0" t="s">
        <v>153</v>
      </c>
      <c r="G614" s="0" t="s">
        <v>1423</v>
      </c>
      <c r="H614" s="0" t="s">
        <v>1665</v>
      </c>
      <c r="I614" s="0" t="s">
        <v>1577</v>
      </c>
      <c r="J614" s="0" t="s">
        <v>1666</v>
      </c>
      <c r="K614" s="0" t="s">
        <v>326</v>
      </c>
    </row>
    <row r="615" customFormat="false" ht="13.8" hidden="false" customHeight="false" outlineLevel="0" collapsed="false">
      <c r="A615" s="0" t="s">
        <v>324</v>
      </c>
      <c r="B615" s="0" t="s">
        <v>1667</v>
      </c>
      <c r="C615" s="0" t="s">
        <v>13</v>
      </c>
      <c r="D615" s="0" t="s">
        <v>325</v>
      </c>
      <c r="E615" s="0" t="s">
        <v>1668</v>
      </c>
      <c r="F615" s="0" t="s">
        <v>153</v>
      </c>
      <c r="G615" s="0" t="s">
        <v>1423</v>
      </c>
      <c r="H615" s="0" t="s">
        <v>1669</v>
      </c>
      <c r="I615" s="0" t="s">
        <v>1577</v>
      </c>
      <c r="J615" s="0" t="s">
        <v>1670</v>
      </c>
      <c r="K615" s="0" t="s">
        <v>326</v>
      </c>
    </row>
    <row r="616" customFormat="false" ht="13.8" hidden="false" customHeight="false" outlineLevel="0" collapsed="false">
      <c r="A616" s="0" t="s">
        <v>324</v>
      </c>
      <c r="B616" s="0" t="s">
        <v>1671</v>
      </c>
      <c r="C616" s="0" t="s">
        <v>13</v>
      </c>
      <c r="D616" s="0" t="s">
        <v>325</v>
      </c>
      <c r="E616" s="0" t="s">
        <v>1672</v>
      </c>
      <c r="F616" s="0" t="s">
        <v>153</v>
      </c>
      <c r="G616" s="0" t="s">
        <v>1423</v>
      </c>
      <c r="H616" s="0" t="s">
        <v>1673</v>
      </c>
      <c r="I616" s="0" t="s">
        <v>1577</v>
      </c>
      <c r="J616" s="0" t="s">
        <v>1674</v>
      </c>
      <c r="K616" s="0" t="s">
        <v>326</v>
      </c>
    </row>
    <row r="617" customFormat="false" ht="13.8" hidden="false" customHeight="false" outlineLevel="0" collapsed="false">
      <c r="A617" s="0" t="s">
        <v>324</v>
      </c>
      <c r="B617" s="0" t="s">
        <v>1675</v>
      </c>
      <c r="C617" s="0" t="s">
        <v>13</v>
      </c>
      <c r="D617" s="0" t="s">
        <v>325</v>
      </c>
      <c r="E617" s="0" t="s">
        <v>1676</v>
      </c>
      <c r="F617" s="0" t="s">
        <v>153</v>
      </c>
      <c r="G617" s="0" t="s">
        <v>1423</v>
      </c>
      <c r="H617" s="0" t="s">
        <v>1677</v>
      </c>
      <c r="I617" s="0" t="s">
        <v>1577</v>
      </c>
      <c r="J617" s="0" t="s">
        <v>1678</v>
      </c>
      <c r="K617" s="0" t="s">
        <v>326</v>
      </c>
    </row>
    <row r="618" customFormat="false" ht="13.8" hidden="false" customHeight="false" outlineLevel="0" collapsed="false">
      <c r="A618" s="0" t="s">
        <v>324</v>
      </c>
      <c r="B618" s="0" t="s">
        <v>1679</v>
      </c>
      <c r="C618" s="0" t="s">
        <v>13</v>
      </c>
      <c r="D618" s="0" t="s">
        <v>325</v>
      </c>
      <c r="E618" s="0" t="s">
        <v>1680</v>
      </c>
      <c r="F618" s="0" t="s">
        <v>232</v>
      </c>
      <c r="G618" s="0" t="s">
        <v>1423</v>
      </c>
      <c r="H618" s="0" t="s">
        <v>1681</v>
      </c>
      <c r="I618" s="0" t="s">
        <v>1577</v>
      </c>
      <c r="J618" s="0" t="s">
        <v>1682</v>
      </c>
      <c r="K618" s="0" t="s">
        <v>326</v>
      </c>
    </row>
    <row r="619" customFormat="false" ht="13.8" hidden="false" customHeight="false" outlineLevel="0" collapsed="false">
      <c r="A619" s="0" t="s">
        <v>324</v>
      </c>
      <c r="B619" s="0" t="s">
        <v>1683</v>
      </c>
      <c r="C619" s="0" t="s">
        <v>13</v>
      </c>
      <c r="D619" s="0" t="s">
        <v>325</v>
      </c>
      <c r="E619" s="0" t="s">
        <v>1684</v>
      </c>
      <c r="F619" s="0" t="s">
        <v>232</v>
      </c>
      <c r="G619" s="0" t="s">
        <v>1423</v>
      </c>
      <c r="H619" s="0" t="s">
        <v>1685</v>
      </c>
      <c r="I619" s="0" t="s">
        <v>1577</v>
      </c>
      <c r="J619" s="0" t="s">
        <v>1686</v>
      </c>
      <c r="K619" s="0" t="s">
        <v>326</v>
      </c>
    </row>
    <row r="620" customFormat="false" ht="13.8" hidden="false" customHeight="false" outlineLevel="0" collapsed="false">
      <c r="A620" s="0" t="s">
        <v>324</v>
      </c>
      <c r="B620" s="0" t="s">
        <v>1687</v>
      </c>
      <c r="C620" s="0" t="s">
        <v>13</v>
      </c>
      <c r="D620" s="0" t="s">
        <v>325</v>
      </c>
      <c r="E620" s="0" t="s">
        <v>1688</v>
      </c>
      <c r="F620" s="0" t="s">
        <v>348</v>
      </c>
      <c r="G620" s="0" t="s">
        <v>1423</v>
      </c>
      <c r="H620" s="0" t="s">
        <v>1689</v>
      </c>
      <c r="I620" s="0" t="s">
        <v>1577</v>
      </c>
      <c r="J620" s="0" t="s">
        <v>1186</v>
      </c>
      <c r="K620" s="0" t="s">
        <v>326</v>
      </c>
    </row>
    <row r="621" customFormat="false" ht="13.8" hidden="false" customHeight="false" outlineLevel="0" collapsed="false">
      <c r="A621" s="0" t="s">
        <v>324</v>
      </c>
      <c r="B621" s="0" t="s">
        <v>1690</v>
      </c>
      <c r="C621" s="0" t="s">
        <v>13</v>
      </c>
      <c r="D621" s="0" t="s">
        <v>325</v>
      </c>
      <c r="E621" s="0" t="s">
        <v>1691</v>
      </c>
      <c r="F621" s="0" t="s">
        <v>348</v>
      </c>
      <c r="G621" s="0" t="s">
        <v>1423</v>
      </c>
      <c r="H621" s="0" t="s">
        <v>1692</v>
      </c>
      <c r="I621" s="0" t="s">
        <v>1577</v>
      </c>
      <c r="J621" s="0" t="s">
        <v>1693</v>
      </c>
      <c r="K621" s="0" t="s">
        <v>326</v>
      </c>
    </row>
    <row r="622" customFormat="false" ht="13.8" hidden="false" customHeight="false" outlineLevel="0" collapsed="false">
      <c r="A622" s="0" t="s">
        <v>324</v>
      </c>
      <c r="B622" s="0" t="s">
        <v>1694</v>
      </c>
      <c r="C622" s="0" t="s">
        <v>13</v>
      </c>
      <c r="D622" s="0" t="s">
        <v>325</v>
      </c>
      <c r="E622" s="0" t="s">
        <v>1695</v>
      </c>
      <c r="F622" s="0" t="s">
        <v>348</v>
      </c>
      <c r="G622" s="0" t="s">
        <v>1423</v>
      </c>
      <c r="H622" s="0" t="s">
        <v>1696</v>
      </c>
      <c r="I622" s="0" t="s">
        <v>1577</v>
      </c>
      <c r="J622" s="0" t="s">
        <v>1697</v>
      </c>
      <c r="K622" s="0" t="s">
        <v>326</v>
      </c>
    </row>
    <row r="623" customFormat="false" ht="13.8" hidden="false" customHeight="false" outlineLevel="0" collapsed="false">
      <c r="A623" s="0" t="s">
        <v>324</v>
      </c>
      <c r="B623" s="0" t="s">
        <v>1698</v>
      </c>
      <c r="C623" s="0" t="s">
        <v>13</v>
      </c>
      <c r="D623" s="0" t="s">
        <v>325</v>
      </c>
      <c r="E623" s="0" t="s">
        <v>1699</v>
      </c>
      <c r="F623" s="0" t="s">
        <v>348</v>
      </c>
      <c r="G623" s="0" t="s">
        <v>1423</v>
      </c>
      <c r="H623" s="0" t="s">
        <v>1700</v>
      </c>
      <c r="I623" s="0" t="s">
        <v>1577</v>
      </c>
      <c r="J623" s="0" t="s">
        <v>1296</v>
      </c>
      <c r="K623" s="0" t="s">
        <v>326</v>
      </c>
    </row>
    <row r="624" customFormat="false" ht="13.8" hidden="false" customHeight="false" outlineLevel="0" collapsed="false">
      <c r="A624" s="0" t="s">
        <v>324</v>
      </c>
      <c r="B624" s="0" t="s">
        <v>1701</v>
      </c>
      <c r="C624" s="0" t="s">
        <v>13</v>
      </c>
      <c r="D624" s="0" t="s">
        <v>325</v>
      </c>
      <c r="E624" s="0" t="s">
        <v>1702</v>
      </c>
      <c r="F624" s="0" t="s">
        <v>348</v>
      </c>
      <c r="G624" s="0" t="s">
        <v>1423</v>
      </c>
      <c r="H624" s="0" t="s">
        <v>1703</v>
      </c>
      <c r="I624" s="0" t="s">
        <v>1577</v>
      </c>
      <c r="J624" s="0" t="s">
        <v>1704</v>
      </c>
      <c r="K624" s="0" t="s">
        <v>326</v>
      </c>
    </row>
    <row r="625" customFormat="false" ht="13.8" hidden="false" customHeight="false" outlineLevel="0" collapsed="false">
      <c r="A625" s="0" t="s">
        <v>324</v>
      </c>
      <c r="B625" s="0" t="s">
        <v>1705</v>
      </c>
      <c r="C625" s="0" t="s">
        <v>13</v>
      </c>
      <c r="D625" s="0" t="s">
        <v>325</v>
      </c>
      <c r="E625" s="0" t="s">
        <v>1706</v>
      </c>
      <c r="F625" s="0" t="s">
        <v>348</v>
      </c>
      <c r="G625" s="0" t="s">
        <v>1423</v>
      </c>
      <c r="H625" s="0" t="s">
        <v>1707</v>
      </c>
      <c r="I625" s="0" t="s">
        <v>1577</v>
      </c>
      <c r="J625" s="0" t="s">
        <v>1299</v>
      </c>
      <c r="K625" s="0" t="s">
        <v>326</v>
      </c>
    </row>
    <row r="626" customFormat="false" ht="13.8" hidden="false" customHeight="false" outlineLevel="0" collapsed="false">
      <c r="A626" s="0" t="s">
        <v>324</v>
      </c>
      <c r="B626" s="0" t="s">
        <v>1708</v>
      </c>
      <c r="C626" s="0" t="s">
        <v>13</v>
      </c>
      <c r="D626" s="0" t="s">
        <v>325</v>
      </c>
      <c r="E626" s="0" t="s">
        <v>1709</v>
      </c>
      <c r="F626" s="0" t="s">
        <v>348</v>
      </c>
      <c r="G626" s="0" t="s">
        <v>1423</v>
      </c>
      <c r="H626" s="0" t="s">
        <v>1710</v>
      </c>
      <c r="I626" s="0" t="s">
        <v>1577</v>
      </c>
      <c r="J626" s="0" t="s">
        <v>1711</v>
      </c>
      <c r="K626" s="0" t="s">
        <v>326</v>
      </c>
    </row>
    <row r="627" customFormat="false" ht="13.8" hidden="false" customHeight="false" outlineLevel="0" collapsed="false">
      <c r="A627" s="0" t="s">
        <v>324</v>
      </c>
      <c r="B627" s="0" t="s">
        <v>1712</v>
      </c>
      <c r="C627" s="0" t="s">
        <v>13</v>
      </c>
      <c r="D627" s="0" t="s">
        <v>325</v>
      </c>
      <c r="E627" s="0" t="s">
        <v>1713</v>
      </c>
      <c r="F627" s="0" t="s">
        <v>348</v>
      </c>
      <c r="G627" s="0" t="s">
        <v>1423</v>
      </c>
      <c r="H627" s="0" t="s">
        <v>1707</v>
      </c>
      <c r="I627" s="0" t="s">
        <v>1577</v>
      </c>
      <c r="J627" s="0" t="s">
        <v>1714</v>
      </c>
      <c r="K627" s="0" t="s">
        <v>326</v>
      </c>
    </row>
    <row r="628" customFormat="false" ht="13.8" hidden="false" customHeight="false" outlineLevel="0" collapsed="false">
      <c r="A628" s="0" t="s">
        <v>324</v>
      </c>
      <c r="B628" s="0" t="s">
        <v>1715</v>
      </c>
      <c r="C628" s="0" t="s">
        <v>13</v>
      </c>
      <c r="D628" s="0" t="s">
        <v>325</v>
      </c>
      <c r="E628" s="0" t="s">
        <v>1716</v>
      </c>
      <c r="F628" s="0" t="s">
        <v>348</v>
      </c>
      <c r="G628" s="0" t="s">
        <v>1423</v>
      </c>
      <c r="H628" s="0" t="s">
        <v>1717</v>
      </c>
      <c r="I628" s="0" t="s">
        <v>1577</v>
      </c>
      <c r="J628" s="0" t="s">
        <v>1718</v>
      </c>
      <c r="K628" s="0" t="s">
        <v>326</v>
      </c>
    </row>
    <row r="629" customFormat="false" ht="13.8" hidden="false" customHeight="false" outlineLevel="0" collapsed="false">
      <c r="A629" s="0" t="s">
        <v>324</v>
      </c>
      <c r="B629" s="0" t="s">
        <v>1719</v>
      </c>
      <c r="C629" s="0" t="s">
        <v>13</v>
      </c>
      <c r="D629" s="0" t="s">
        <v>325</v>
      </c>
      <c r="E629" s="0" t="s">
        <v>1720</v>
      </c>
      <c r="F629" s="0" t="s">
        <v>348</v>
      </c>
      <c r="G629" s="0" t="s">
        <v>1423</v>
      </c>
      <c r="H629" s="0" t="s">
        <v>1721</v>
      </c>
      <c r="I629" s="0" t="s">
        <v>1577</v>
      </c>
      <c r="J629" s="0" t="s">
        <v>1722</v>
      </c>
      <c r="K629" s="0" t="s">
        <v>326</v>
      </c>
    </row>
    <row r="630" customFormat="false" ht="13.8" hidden="false" customHeight="false" outlineLevel="0" collapsed="false">
      <c r="A630" s="0" t="s">
        <v>324</v>
      </c>
      <c r="B630" s="0" t="s">
        <v>1723</v>
      </c>
      <c r="C630" s="0" t="s">
        <v>13</v>
      </c>
      <c r="D630" s="0" t="s">
        <v>325</v>
      </c>
      <c r="E630" s="0" t="s">
        <v>1724</v>
      </c>
      <c r="F630" s="0" t="s">
        <v>348</v>
      </c>
      <c r="G630" s="0" t="s">
        <v>1423</v>
      </c>
      <c r="H630" s="0" t="s">
        <v>1725</v>
      </c>
      <c r="I630" s="0" t="s">
        <v>1577</v>
      </c>
      <c r="J630" s="0" t="s">
        <v>1726</v>
      </c>
      <c r="K630" s="0" t="s">
        <v>326</v>
      </c>
    </row>
    <row r="631" customFormat="false" ht="13.8" hidden="false" customHeight="false" outlineLevel="0" collapsed="false">
      <c r="A631" s="0" t="s">
        <v>324</v>
      </c>
      <c r="B631" s="0" t="s">
        <v>1727</v>
      </c>
      <c r="C631" s="0" t="s">
        <v>13</v>
      </c>
      <c r="D631" s="0" t="s">
        <v>325</v>
      </c>
      <c r="E631" s="0" t="s">
        <v>1728</v>
      </c>
      <c r="F631" s="0" t="s">
        <v>348</v>
      </c>
      <c r="G631" s="0" t="s">
        <v>1423</v>
      </c>
      <c r="H631" s="0" t="s">
        <v>1729</v>
      </c>
      <c r="I631" s="0" t="s">
        <v>1577</v>
      </c>
      <c r="J631" s="0" t="s">
        <v>1730</v>
      </c>
      <c r="K631" s="0" t="s">
        <v>326</v>
      </c>
    </row>
    <row r="632" customFormat="false" ht="13.8" hidden="false" customHeight="false" outlineLevel="0" collapsed="false">
      <c r="A632" s="0" t="s">
        <v>324</v>
      </c>
      <c r="B632" s="0" t="s">
        <v>1731</v>
      </c>
      <c r="C632" s="0" t="s">
        <v>13</v>
      </c>
      <c r="D632" s="0" t="s">
        <v>325</v>
      </c>
      <c r="E632" s="0" t="s">
        <v>1732</v>
      </c>
      <c r="F632" s="0" t="s">
        <v>348</v>
      </c>
      <c r="G632" s="0" t="s">
        <v>1423</v>
      </c>
      <c r="H632" s="0" t="s">
        <v>1733</v>
      </c>
      <c r="I632" s="0" t="s">
        <v>1577</v>
      </c>
      <c r="J632" s="0" t="s">
        <v>1734</v>
      </c>
      <c r="K632" s="0" t="s">
        <v>326</v>
      </c>
    </row>
    <row r="633" customFormat="false" ht="13.8" hidden="false" customHeight="false" outlineLevel="0" collapsed="false">
      <c r="A633" s="0" t="s">
        <v>324</v>
      </c>
      <c r="B633" s="0" t="s">
        <v>1735</v>
      </c>
      <c r="C633" s="0" t="s">
        <v>13</v>
      </c>
      <c r="D633" s="0" t="s">
        <v>325</v>
      </c>
      <c r="E633" s="0" t="s">
        <v>1736</v>
      </c>
      <c r="F633" s="0" t="s">
        <v>348</v>
      </c>
      <c r="G633" s="0" t="s">
        <v>1423</v>
      </c>
      <c r="H633" s="0" t="s">
        <v>1737</v>
      </c>
      <c r="I633" s="0" t="s">
        <v>1577</v>
      </c>
      <c r="J633" s="0" t="s">
        <v>1738</v>
      </c>
      <c r="K633" s="0" t="s">
        <v>326</v>
      </c>
    </row>
    <row r="634" customFormat="false" ht="13.8" hidden="false" customHeight="false" outlineLevel="0" collapsed="false">
      <c r="A634" s="0" t="s">
        <v>324</v>
      </c>
      <c r="B634" s="0" t="s">
        <v>1739</v>
      </c>
      <c r="C634" s="0" t="s">
        <v>13</v>
      </c>
      <c r="D634" s="0" t="s">
        <v>325</v>
      </c>
      <c r="E634" s="0" t="s">
        <v>1740</v>
      </c>
      <c r="F634" s="0" t="s">
        <v>28</v>
      </c>
      <c r="G634" s="0" t="s">
        <v>1423</v>
      </c>
      <c r="H634" s="0" t="s">
        <v>1741</v>
      </c>
      <c r="I634" s="0" t="s">
        <v>1577</v>
      </c>
      <c r="J634" s="0" t="s">
        <v>1742</v>
      </c>
      <c r="K634" s="0" t="s">
        <v>326</v>
      </c>
    </row>
    <row r="635" customFormat="false" ht="13.8" hidden="false" customHeight="false" outlineLevel="0" collapsed="false">
      <c r="A635" s="0" t="s">
        <v>324</v>
      </c>
      <c r="B635" s="0" t="s">
        <v>1743</v>
      </c>
      <c r="C635" s="0" t="s">
        <v>13</v>
      </c>
      <c r="D635" s="0" t="s">
        <v>325</v>
      </c>
      <c r="E635" s="0" t="s">
        <v>1744</v>
      </c>
      <c r="F635" s="0" t="s">
        <v>16</v>
      </c>
      <c r="G635" s="0" t="s">
        <v>1423</v>
      </c>
      <c r="H635" s="0" t="s">
        <v>1745</v>
      </c>
      <c r="I635" s="0" t="s">
        <v>1577</v>
      </c>
      <c r="J635" s="0" t="s">
        <v>1746</v>
      </c>
      <c r="K635" s="0" t="s">
        <v>326</v>
      </c>
    </row>
    <row r="636" customFormat="false" ht="13.8" hidden="false" customHeight="false" outlineLevel="0" collapsed="false">
      <c r="A636" s="0" t="s">
        <v>324</v>
      </c>
      <c r="B636" s="0" t="s">
        <v>1747</v>
      </c>
      <c r="C636" s="0" t="s">
        <v>13</v>
      </c>
      <c r="D636" s="0" t="s">
        <v>325</v>
      </c>
      <c r="E636" s="0" t="s">
        <v>1748</v>
      </c>
      <c r="F636" s="0" t="s">
        <v>28</v>
      </c>
      <c r="G636" s="0" t="s">
        <v>1423</v>
      </c>
      <c r="H636" s="0" t="s">
        <v>1749</v>
      </c>
      <c r="I636" s="0" t="s">
        <v>1577</v>
      </c>
      <c r="J636" s="0" t="s">
        <v>1750</v>
      </c>
      <c r="K636" s="0" t="s">
        <v>326</v>
      </c>
    </row>
    <row r="637" customFormat="false" ht="13.8" hidden="false" customHeight="false" outlineLevel="0" collapsed="false">
      <c r="A637" s="0" t="s">
        <v>324</v>
      </c>
      <c r="B637" s="0" t="s">
        <v>1751</v>
      </c>
      <c r="C637" s="0" t="s">
        <v>13</v>
      </c>
      <c r="D637" s="0" t="s">
        <v>325</v>
      </c>
      <c r="E637" s="0" t="s">
        <v>1752</v>
      </c>
      <c r="F637" s="0" t="s">
        <v>28</v>
      </c>
      <c r="G637" s="0" t="s">
        <v>1423</v>
      </c>
      <c r="H637" s="0" t="s">
        <v>1753</v>
      </c>
      <c r="I637" s="0" t="s">
        <v>1577</v>
      </c>
      <c r="J637" s="0" t="s">
        <v>1754</v>
      </c>
      <c r="K637" s="0" t="s">
        <v>326</v>
      </c>
    </row>
    <row r="638" customFormat="false" ht="13.8" hidden="false" customHeight="false" outlineLevel="0" collapsed="false">
      <c r="A638" s="0" t="s">
        <v>324</v>
      </c>
      <c r="B638" s="0" t="s">
        <v>1755</v>
      </c>
      <c r="C638" s="0" t="s">
        <v>13</v>
      </c>
      <c r="D638" s="0" t="s">
        <v>325</v>
      </c>
      <c r="E638" s="0" t="s">
        <v>1756</v>
      </c>
      <c r="F638" s="0" t="s">
        <v>348</v>
      </c>
      <c r="G638" s="0" t="s">
        <v>1423</v>
      </c>
      <c r="H638" s="0" t="s">
        <v>1757</v>
      </c>
      <c r="I638" s="0" t="s">
        <v>1577</v>
      </c>
      <c r="J638" s="0" t="s">
        <v>1758</v>
      </c>
      <c r="K638" s="0" t="s">
        <v>326</v>
      </c>
    </row>
    <row r="639" customFormat="false" ht="13.8" hidden="false" customHeight="false" outlineLevel="0" collapsed="false">
      <c r="A639" s="0" t="s">
        <v>324</v>
      </c>
      <c r="B639" s="0" t="s">
        <v>1759</v>
      </c>
      <c r="C639" s="0" t="s">
        <v>13</v>
      </c>
      <c r="D639" s="0" t="s">
        <v>325</v>
      </c>
      <c r="E639" s="0" t="s">
        <v>1760</v>
      </c>
      <c r="F639" s="0" t="s">
        <v>153</v>
      </c>
      <c r="G639" s="0" t="s">
        <v>1423</v>
      </c>
      <c r="H639" s="0" t="s">
        <v>1761</v>
      </c>
      <c r="I639" s="0" t="s">
        <v>1577</v>
      </c>
      <c r="J639" s="0" t="s">
        <v>1762</v>
      </c>
      <c r="K639" s="0" t="s">
        <v>326</v>
      </c>
    </row>
    <row r="640" customFormat="false" ht="13.8" hidden="false" customHeight="false" outlineLevel="0" collapsed="false">
      <c r="A640" s="0" t="s">
        <v>324</v>
      </c>
      <c r="B640" s="0" t="s">
        <v>1763</v>
      </c>
      <c r="C640" s="0" t="s">
        <v>13</v>
      </c>
      <c r="D640" s="0" t="s">
        <v>325</v>
      </c>
      <c r="E640" s="0" t="s">
        <v>1764</v>
      </c>
      <c r="F640" s="0" t="s">
        <v>153</v>
      </c>
      <c r="G640" s="0" t="s">
        <v>1423</v>
      </c>
      <c r="H640" s="0" t="s">
        <v>1765</v>
      </c>
      <c r="I640" s="0" t="s">
        <v>1577</v>
      </c>
      <c r="J640" s="0" t="s">
        <v>1766</v>
      </c>
      <c r="K640" s="0" t="s">
        <v>326</v>
      </c>
    </row>
    <row r="641" customFormat="false" ht="13.8" hidden="false" customHeight="false" outlineLevel="0" collapsed="false">
      <c r="A641" s="0" t="s">
        <v>324</v>
      </c>
      <c r="B641" s="0" t="s">
        <v>1767</v>
      </c>
      <c r="C641" s="0" t="s">
        <v>13</v>
      </c>
      <c r="D641" s="0" t="s">
        <v>333</v>
      </c>
      <c r="E641" s="0" t="s">
        <v>1768</v>
      </c>
      <c r="F641" s="0" t="s">
        <v>378</v>
      </c>
      <c r="G641" s="0" t="n">
        <v>0</v>
      </c>
      <c r="H641" s="0" t="s">
        <v>1769</v>
      </c>
      <c r="I641" s="0" t="s">
        <v>380</v>
      </c>
      <c r="J641" s="0" t="s">
        <v>1768</v>
      </c>
      <c r="K641" s="0" t="s">
        <v>326</v>
      </c>
    </row>
    <row r="642" customFormat="false" ht="13.8" hidden="false" customHeight="false" outlineLevel="0" collapsed="false">
      <c r="A642" s="0" t="s">
        <v>324</v>
      </c>
      <c r="B642" s="0" t="s">
        <v>1770</v>
      </c>
      <c r="C642" s="0" t="s">
        <v>13</v>
      </c>
      <c r="D642" s="0" t="s">
        <v>333</v>
      </c>
      <c r="E642" s="0" t="s">
        <v>1771</v>
      </c>
      <c r="F642" s="0" t="s">
        <v>378</v>
      </c>
      <c r="G642" s="0" t="n">
        <v>0</v>
      </c>
      <c r="H642" s="0" t="s">
        <v>1772</v>
      </c>
      <c r="I642" s="0" t="s">
        <v>380</v>
      </c>
      <c r="J642" s="0" t="s">
        <v>1773</v>
      </c>
      <c r="K642" s="0" t="s">
        <v>326</v>
      </c>
    </row>
    <row r="643" customFormat="false" ht="13.8" hidden="false" customHeight="false" outlineLevel="0" collapsed="false">
      <c r="A643" s="0" t="s">
        <v>324</v>
      </c>
      <c r="B643" s="0" t="s">
        <v>1774</v>
      </c>
      <c r="C643" s="0" t="s">
        <v>13</v>
      </c>
      <c r="D643" s="0" t="s">
        <v>333</v>
      </c>
      <c r="E643" s="0" t="s">
        <v>1775</v>
      </c>
      <c r="F643" s="0" t="s">
        <v>378</v>
      </c>
      <c r="G643" s="0" t="n">
        <v>0</v>
      </c>
      <c r="H643" s="0" t="s">
        <v>1776</v>
      </c>
      <c r="I643" s="0" t="s">
        <v>380</v>
      </c>
      <c r="J643" s="0" t="s">
        <v>1777</v>
      </c>
      <c r="K643" s="0" t="s">
        <v>326</v>
      </c>
    </row>
    <row r="644" customFormat="false" ht="13.8" hidden="false" customHeight="false" outlineLevel="0" collapsed="false">
      <c r="A644" s="0" t="s">
        <v>324</v>
      </c>
      <c r="B644" s="0" t="s">
        <v>1778</v>
      </c>
      <c r="C644" s="0" t="s">
        <v>13</v>
      </c>
      <c r="D644" s="0" t="s">
        <v>333</v>
      </c>
      <c r="E644" s="0" t="s">
        <v>1779</v>
      </c>
      <c r="F644" s="0" t="s">
        <v>391</v>
      </c>
      <c r="G644" s="0" t="n">
        <v>0</v>
      </c>
      <c r="H644" s="0" t="s">
        <v>1780</v>
      </c>
      <c r="I644" s="0" t="s">
        <v>380</v>
      </c>
      <c r="J644" s="0" t="s">
        <v>1773</v>
      </c>
      <c r="K644" s="0" t="s">
        <v>326</v>
      </c>
    </row>
    <row r="645" customFormat="false" ht="13.8" hidden="false" customHeight="false" outlineLevel="0" collapsed="false">
      <c r="A645" s="0" t="s">
        <v>324</v>
      </c>
      <c r="B645" s="0" t="s">
        <v>1781</v>
      </c>
      <c r="C645" s="0" t="s">
        <v>13</v>
      </c>
      <c r="D645" s="0" t="s">
        <v>333</v>
      </c>
      <c r="E645" s="0" t="s">
        <v>1782</v>
      </c>
      <c r="F645" s="0" t="s">
        <v>391</v>
      </c>
      <c r="G645" s="0" t="n">
        <v>0</v>
      </c>
      <c r="H645" s="0" t="s">
        <v>1783</v>
      </c>
      <c r="I645" s="0" t="s">
        <v>380</v>
      </c>
      <c r="J645" s="0" t="s">
        <v>1784</v>
      </c>
      <c r="K645" s="0" t="s">
        <v>326</v>
      </c>
    </row>
    <row r="646" customFormat="false" ht="13.8" hidden="false" customHeight="false" outlineLevel="0" collapsed="false">
      <c r="A646" s="0" t="s">
        <v>324</v>
      </c>
      <c r="B646" s="0" t="s">
        <v>389</v>
      </c>
      <c r="C646" s="0" t="s">
        <v>13</v>
      </c>
      <c r="D646" s="0" t="s">
        <v>333</v>
      </c>
      <c r="E646" s="0" t="s">
        <v>390</v>
      </c>
      <c r="F646" s="0" t="s">
        <v>391</v>
      </c>
      <c r="G646" s="0" t="s">
        <v>1423</v>
      </c>
      <c r="H646" s="0" t="s">
        <v>1785</v>
      </c>
      <c r="I646" s="0" t="s">
        <v>380</v>
      </c>
      <c r="J646" s="0" t="s">
        <v>390</v>
      </c>
      <c r="K646" s="0" t="s">
        <v>326</v>
      </c>
    </row>
    <row r="647" customFormat="false" ht="13.8" hidden="false" customHeight="false" outlineLevel="0" collapsed="false">
      <c r="A647" s="0" t="s">
        <v>324</v>
      </c>
      <c r="B647" s="0" t="s">
        <v>1786</v>
      </c>
      <c r="C647" s="0" t="s">
        <v>13</v>
      </c>
      <c r="D647" s="0" t="s">
        <v>1787</v>
      </c>
      <c r="E647" s="0" t="s">
        <v>1788</v>
      </c>
      <c r="F647" s="0" t="s">
        <v>1789</v>
      </c>
      <c r="G647" s="0" t="s">
        <v>1423</v>
      </c>
      <c r="H647" s="0" t="s">
        <v>1790</v>
      </c>
      <c r="I647" s="0" t="s">
        <v>239</v>
      </c>
      <c r="J647" s="0" t="s">
        <v>1791</v>
      </c>
      <c r="K647" s="0" t="s">
        <v>326</v>
      </c>
    </row>
    <row r="648" customFormat="false" ht="13.8" hidden="false" customHeight="false" outlineLevel="0" collapsed="false">
      <c r="A648" s="0" t="s">
        <v>324</v>
      </c>
      <c r="B648" s="0" t="s">
        <v>1792</v>
      </c>
      <c r="C648" s="0" t="s">
        <v>13</v>
      </c>
      <c r="D648" s="0" t="s">
        <v>1787</v>
      </c>
      <c r="E648" s="0" t="s">
        <v>1793</v>
      </c>
      <c r="F648" s="0" t="s">
        <v>1794</v>
      </c>
      <c r="G648" s="0" t="s">
        <v>1423</v>
      </c>
      <c r="H648" s="0" t="s">
        <v>1790</v>
      </c>
      <c r="I648" s="0" t="s">
        <v>239</v>
      </c>
      <c r="J648" s="0" t="s">
        <v>1795</v>
      </c>
      <c r="K648" s="0" t="s">
        <v>326</v>
      </c>
    </row>
    <row r="649" customFormat="false" ht="13.8" hidden="false" customHeight="false" outlineLevel="0" collapsed="false"/>
    <row r="650" customFormat="false" ht="13.8" hidden="false" customHeight="false" outlineLevel="0" collapsed="false">
      <c r="A650" s="0" t="s">
        <v>926</v>
      </c>
      <c r="B650" s="0" t="s">
        <v>1767</v>
      </c>
      <c r="C650" s="0" t="s">
        <v>69</v>
      </c>
      <c r="D650" s="0" t="s">
        <v>879</v>
      </c>
      <c r="E650" s="0" t="s">
        <v>1768</v>
      </c>
      <c r="F650" s="0" t="s">
        <v>378</v>
      </c>
      <c r="G650" s="0" t="n">
        <v>0</v>
      </c>
      <c r="H650" s="2" t="s">
        <v>1796</v>
      </c>
      <c r="I650" s="2" t="s">
        <v>380</v>
      </c>
      <c r="J650" s="0" t="s">
        <v>1768</v>
      </c>
      <c r="K650" s="0" t="s">
        <v>731</v>
      </c>
    </row>
    <row r="651" customFormat="false" ht="13.8" hidden="false" customHeight="false" outlineLevel="0" collapsed="false">
      <c r="A651" s="0" t="s">
        <v>926</v>
      </c>
      <c r="B651" s="3" t="s">
        <v>1797</v>
      </c>
      <c r="H651" s="0" t="s">
        <v>1798</v>
      </c>
      <c r="I651" s="0" t="s">
        <v>330</v>
      </c>
    </row>
    <row r="652" customFormat="false" ht="13.8" hidden="false" customHeight="false" outlineLevel="0" collapsed="false"/>
    <row r="653" customFormat="false" ht="13.8" hidden="false" customHeight="false" outlineLevel="0" collapsed="false">
      <c r="A653" s="0" t="s">
        <v>1044</v>
      </c>
      <c r="B653" s="0" t="s">
        <v>1799</v>
      </c>
      <c r="C653" s="0" t="s">
        <v>13</v>
      </c>
      <c r="D653" s="0" t="s">
        <v>151</v>
      </c>
      <c r="E653" s="0" t="s">
        <v>1800</v>
      </c>
      <c r="F653" s="0" t="s">
        <v>153</v>
      </c>
      <c r="G653" s="0" t="s">
        <v>1423</v>
      </c>
      <c r="H653" s="0" t="s">
        <v>1801</v>
      </c>
      <c r="I653" s="0" t="s">
        <v>1802</v>
      </c>
      <c r="J653" s="0" t="s">
        <v>1803</v>
      </c>
      <c r="K653" s="0" t="s">
        <v>1005</v>
      </c>
    </row>
    <row r="654" customFormat="false" ht="13.8" hidden="false" customHeight="false" outlineLevel="0" collapsed="false">
      <c r="A654" s="0" t="s">
        <v>1044</v>
      </c>
      <c r="B654" s="0" t="s">
        <v>1804</v>
      </c>
      <c r="C654" s="0" t="s">
        <v>13</v>
      </c>
      <c r="D654" s="0" t="s">
        <v>151</v>
      </c>
      <c r="E654" s="0" t="s">
        <v>1805</v>
      </c>
      <c r="F654" s="0" t="s">
        <v>153</v>
      </c>
      <c r="G654" s="0" t="s">
        <v>1423</v>
      </c>
      <c r="H654" s="0" t="s">
        <v>1801</v>
      </c>
      <c r="I654" s="0" t="s">
        <v>1802</v>
      </c>
      <c r="J654" s="0" t="s">
        <v>1806</v>
      </c>
      <c r="K654" s="0" t="s">
        <v>1005</v>
      </c>
    </row>
    <row r="655" customFormat="false" ht="13.8" hidden="false" customHeight="false" outlineLevel="0" collapsed="false">
      <c r="A655" s="0" t="s">
        <v>1044</v>
      </c>
      <c r="B655" s="0" t="s">
        <v>1807</v>
      </c>
      <c r="C655" s="0" t="s">
        <v>13</v>
      </c>
      <c r="D655" s="0" t="s">
        <v>151</v>
      </c>
      <c r="E655" s="0" t="s">
        <v>1808</v>
      </c>
      <c r="F655" s="0" t="s">
        <v>153</v>
      </c>
      <c r="G655" s="0" t="s">
        <v>1423</v>
      </c>
      <c r="H655" s="0" t="s">
        <v>1801</v>
      </c>
      <c r="I655" s="0" t="s">
        <v>1802</v>
      </c>
      <c r="J655" s="0" t="s">
        <v>1809</v>
      </c>
      <c r="K655" s="0" t="s">
        <v>1005</v>
      </c>
    </row>
    <row r="656" customFormat="false" ht="13.8" hidden="false" customHeight="false" outlineLevel="0" collapsed="false"/>
    <row r="657" customFormat="false" ht="13.8" hidden="false" customHeight="false" outlineLevel="0" collapsed="false">
      <c r="A657" s="0" t="s">
        <v>960</v>
      </c>
      <c r="B657" s="0" t="s">
        <v>1810</v>
      </c>
      <c r="C657" s="0" t="s">
        <v>32</v>
      </c>
      <c r="D657" s="0" t="s">
        <v>966</v>
      </c>
      <c r="E657" s="0" t="s">
        <v>1811</v>
      </c>
      <c r="F657" s="0" t="s">
        <v>41</v>
      </c>
      <c r="G657" s="0" t="s">
        <v>1423</v>
      </c>
      <c r="H657" s="0" t="s">
        <v>1812</v>
      </c>
      <c r="I657" s="0" t="s">
        <v>1813</v>
      </c>
      <c r="J657" s="0" t="s">
        <v>1814</v>
      </c>
      <c r="K657" s="0" t="s">
        <v>1815</v>
      </c>
    </row>
    <row r="658" customFormat="false" ht="13.8" hidden="false" customHeight="false" outlineLevel="0" collapsed="false">
      <c r="A658" s="0" t="s">
        <v>960</v>
      </c>
      <c r="B658" s="0" t="s">
        <v>1816</v>
      </c>
      <c r="C658" s="0" t="s">
        <v>13</v>
      </c>
      <c r="D658" s="0" t="s">
        <v>966</v>
      </c>
      <c r="E658" s="0" t="s">
        <v>1817</v>
      </c>
      <c r="F658" s="0" t="s">
        <v>28</v>
      </c>
      <c r="G658" s="0" t="s">
        <v>1423</v>
      </c>
      <c r="H658" s="0" t="s">
        <v>1818</v>
      </c>
      <c r="I658" s="0" t="s">
        <v>1813</v>
      </c>
      <c r="J658" s="0" t="s">
        <v>1819</v>
      </c>
      <c r="K658" s="0" t="s">
        <v>1820</v>
      </c>
    </row>
    <row r="659" customFormat="false" ht="13.8" hidden="false" customHeight="false" outlineLevel="0" collapsed="false"/>
    <row r="660" customFormat="false" ht="13.8" hidden="false" customHeight="false" outlineLevel="0" collapsed="false">
      <c r="A660" s="0" t="s">
        <v>856</v>
      </c>
      <c r="B660" s="0" t="s">
        <v>1821</v>
      </c>
      <c r="C660" s="0" t="s">
        <v>13</v>
      </c>
      <c r="D660" s="0" t="s">
        <v>879</v>
      </c>
      <c r="E660" s="0" t="s">
        <v>1822</v>
      </c>
      <c r="F660" s="0" t="s">
        <v>734</v>
      </c>
      <c r="G660" s="0" t="s">
        <v>1423</v>
      </c>
      <c r="H660" s="0" t="s">
        <v>1823</v>
      </c>
      <c r="I660" s="0" t="s">
        <v>994</v>
      </c>
      <c r="J660" s="0" t="s">
        <v>747</v>
      </c>
      <c r="K660" s="0" t="s">
        <v>862</v>
      </c>
    </row>
    <row r="661" customFormat="false" ht="13.8" hidden="false" customHeight="false" outlineLevel="0" collapsed="false"/>
    <row r="662" customFormat="false" ht="13.8" hidden="false" customHeight="false" outlineLevel="0" collapsed="false">
      <c r="A662" s="0" t="s">
        <v>740</v>
      </c>
      <c r="B662" s="0" t="s">
        <v>1824</v>
      </c>
      <c r="C662" s="0" t="s">
        <v>13</v>
      </c>
      <c r="D662" s="0" t="s">
        <v>744</v>
      </c>
      <c r="E662" s="0" t="s">
        <v>1822</v>
      </c>
      <c r="F662" s="0" t="s">
        <v>734</v>
      </c>
      <c r="G662" s="0" t="s">
        <v>1423</v>
      </c>
      <c r="H662" s="0" t="s">
        <v>1825</v>
      </c>
      <c r="I662" s="0" t="s">
        <v>994</v>
      </c>
      <c r="J662" s="0" t="s">
        <v>747</v>
      </c>
      <c r="K662" s="0" t="s">
        <v>741</v>
      </c>
    </row>
    <row r="663" customFormat="false" ht="13.8" hidden="false" customHeight="false" outlineLevel="0" collapsed="false">
      <c r="A663" s="0" t="s">
        <v>740</v>
      </c>
      <c r="B663" s="0" t="s">
        <v>1826</v>
      </c>
      <c r="C663" s="0" t="s">
        <v>13</v>
      </c>
      <c r="D663" s="0" t="s">
        <v>744</v>
      </c>
      <c r="E663" s="0" t="s">
        <v>1827</v>
      </c>
      <c r="F663" s="0" t="s">
        <v>734</v>
      </c>
      <c r="G663" s="0" t="n">
        <v>0</v>
      </c>
      <c r="H663" s="0" t="s">
        <v>1828</v>
      </c>
      <c r="I663" s="0" t="s">
        <v>1577</v>
      </c>
      <c r="J663" s="0" t="s">
        <v>747</v>
      </c>
      <c r="K663" s="0" t="s">
        <v>748</v>
      </c>
    </row>
    <row r="664" customFormat="false" ht="13.8" hidden="false" customHeight="false" outlineLevel="0" collapsed="false">
      <c r="A664" s="0" t="s">
        <v>740</v>
      </c>
      <c r="B664" s="0" t="s">
        <v>1829</v>
      </c>
      <c r="C664" s="0" t="s">
        <v>13</v>
      </c>
      <c r="D664" s="0" t="s">
        <v>750</v>
      </c>
      <c r="E664" s="0" t="s">
        <v>1830</v>
      </c>
      <c r="F664" s="0" t="s">
        <v>768</v>
      </c>
      <c r="G664" s="0" t="n">
        <v>0</v>
      </c>
      <c r="H664" s="0" t="s">
        <v>1828</v>
      </c>
      <c r="I664" s="0" t="s">
        <v>1577</v>
      </c>
      <c r="J664" s="0" t="s">
        <v>1830</v>
      </c>
      <c r="K664" s="0" t="s">
        <v>748</v>
      </c>
    </row>
    <row r="665" customFormat="false" ht="13.8" hidden="false" customHeight="false" outlineLevel="0" collapsed="false"/>
    <row r="666" customFormat="false" ht="13.8" hidden="false" customHeight="false" outlineLevel="0" collapsed="false"/>
    <row r="667" customFormat="false" ht="13.8" hidden="false" customHeight="false" outlineLevel="0" collapsed="false">
      <c r="A667" s="0" t="s">
        <v>457</v>
      </c>
      <c r="B667" s="0" t="s">
        <v>389</v>
      </c>
      <c r="C667" s="0" t="s">
        <v>13</v>
      </c>
      <c r="D667" s="0" t="s">
        <v>459</v>
      </c>
      <c r="E667" s="0" t="s">
        <v>390</v>
      </c>
      <c r="F667" s="0" t="s">
        <v>391</v>
      </c>
      <c r="G667" s="0" t="s">
        <v>1423</v>
      </c>
      <c r="H667" s="0" t="s">
        <v>392</v>
      </c>
      <c r="I667" s="0" t="s">
        <v>380</v>
      </c>
      <c r="J667" s="0" t="s">
        <v>390</v>
      </c>
      <c r="K667" s="0" t="s">
        <v>462</v>
      </c>
    </row>
    <row r="668" customFormat="false" ht="13.8" hidden="false" customHeight="false" outlineLevel="0" collapsed="false">
      <c r="A668" s="0" t="s">
        <v>926</v>
      </c>
      <c r="B668" s="0" t="s">
        <v>389</v>
      </c>
      <c r="C668" s="0" t="s">
        <v>69</v>
      </c>
      <c r="D668" s="0" t="s">
        <v>879</v>
      </c>
      <c r="E668" s="0" t="s">
        <v>390</v>
      </c>
      <c r="F668" s="0" t="s">
        <v>391</v>
      </c>
      <c r="G668" s="0" t="s">
        <v>1423</v>
      </c>
      <c r="H668" s="0" t="s">
        <v>392</v>
      </c>
      <c r="I668" s="0" t="s">
        <v>380</v>
      </c>
      <c r="J668" s="0" t="s">
        <v>390</v>
      </c>
      <c r="K668" s="0" t="s">
        <v>731</v>
      </c>
    </row>
    <row r="669" customFormat="false" ht="13.8" hidden="false" customHeight="false" outlineLevel="0" collapsed="false">
      <c r="A669" s="0" t="s">
        <v>926</v>
      </c>
      <c r="B669" s="0" t="s">
        <v>1767</v>
      </c>
      <c r="C669" s="0" t="s">
        <v>69</v>
      </c>
      <c r="D669" s="0" t="s">
        <v>879</v>
      </c>
      <c r="E669" s="0" t="s">
        <v>1768</v>
      </c>
      <c r="F669" s="0" t="s">
        <v>378</v>
      </c>
      <c r="G669" s="0" t="s">
        <v>1423</v>
      </c>
      <c r="H669" s="0" t="s">
        <v>1831</v>
      </c>
      <c r="I669" s="0" t="s">
        <v>380</v>
      </c>
      <c r="J669" s="0" t="s">
        <v>1768</v>
      </c>
      <c r="K669" s="0" t="s">
        <v>731</v>
      </c>
    </row>
    <row r="670" customFormat="false" ht="13.8" hidden="false" customHeight="false" outlineLevel="0" collapsed="false"/>
    <row r="671" customFormat="false" ht="13.8" hidden="false" customHeight="false" outlineLevel="0" collapsed="false">
      <c r="A671" s="0" t="s">
        <v>1052</v>
      </c>
      <c r="B671" s="0" t="s">
        <v>1139</v>
      </c>
      <c r="C671" s="0" t="s">
        <v>13</v>
      </c>
      <c r="D671" s="0" t="s">
        <v>151</v>
      </c>
      <c r="E671" s="0" t="s">
        <v>1140</v>
      </c>
      <c r="F671" s="0" t="s">
        <v>153</v>
      </c>
      <c r="G671" s="0" t="s">
        <v>1423</v>
      </c>
      <c r="H671" s="0" t="s">
        <v>1141</v>
      </c>
      <c r="I671" s="0" t="s">
        <v>1142</v>
      </c>
      <c r="J671" s="0" t="s">
        <v>1143</v>
      </c>
      <c r="K671" s="0" t="s">
        <v>1083</v>
      </c>
    </row>
    <row r="672" customFormat="false" ht="13.8" hidden="false" customHeight="false" outlineLevel="0" collapsed="false"/>
    <row r="673" customFormat="false" ht="13.8" hidden="false" customHeight="false" outlineLevel="0" collapsed="false">
      <c r="A673" s="0" t="s">
        <v>1044</v>
      </c>
      <c r="B673" s="0" t="s">
        <v>1049</v>
      </c>
      <c r="C673" s="0" t="s">
        <v>13</v>
      </c>
      <c r="D673" s="0" t="s">
        <v>151</v>
      </c>
      <c r="E673" s="0" t="s">
        <v>1050</v>
      </c>
      <c r="F673" s="0" t="s">
        <v>153</v>
      </c>
      <c r="G673" s="0" t="s">
        <v>1423</v>
      </c>
      <c r="H673" s="0" t="s">
        <v>1051</v>
      </c>
      <c r="I673" s="0" t="s">
        <v>56</v>
      </c>
      <c r="J673" s="0" t="s">
        <v>775</v>
      </c>
      <c r="K673" s="0" t="s">
        <v>20</v>
      </c>
    </row>
    <row r="674" customFormat="false" ht="13.8" hidden="false" customHeight="false" outlineLevel="0" collapsed="false">
      <c r="A674" s="0" t="s">
        <v>974</v>
      </c>
      <c r="B674" s="0" t="s">
        <v>1049</v>
      </c>
      <c r="C674" s="0" t="s">
        <v>13</v>
      </c>
      <c r="D674" s="0" t="s">
        <v>151</v>
      </c>
      <c r="E674" s="0" t="s">
        <v>1832</v>
      </c>
      <c r="F674" s="0" t="s">
        <v>153</v>
      </c>
      <c r="G674" s="0" t="s">
        <v>1423</v>
      </c>
      <c r="H674" s="0" t="s">
        <v>1051</v>
      </c>
      <c r="I674" s="0" t="s">
        <v>56</v>
      </c>
      <c r="J674" s="0" t="s">
        <v>775</v>
      </c>
      <c r="K674" s="0" t="s">
        <v>20</v>
      </c>
    </row>
    <row r="675" customFormat="false" ht="13.8" hidden="false" customHeight="false" outlineLevel="0" collapsed="false"/>
    <row r="676" customFormat="false" ht="13.8" hidden="false" customHeight="false" outlineLevel="0" collapsed="false"/>
    <row r="677" customFormat="false" ht="13.8" hidden="false" customHeight="false" outlineLevel="0" collapsed="false">
      <c r="A677" s="0" t="s">
        <v>515</v>
      </c>
      <c r="B677" s="0" t="s">
        <v>1833</v>
      </c>
      <c r="C677" s="0" t="s">
        <v>32</v>
      </c>
      <c r="D677" s="0" t="s">
        <v>151</v>
      </c>
      <c r="E677" s="0" t="s">
        <v>1834</v>
      </c>
      <c r="F677" s="0" t="s">
        <v>153</v>
      </c>
      <c r="G677" s="0" t="s">
        <v>1423</v>
      </c>
      <c r="H677" s="0" t="s">
        <v>1835</v>
      </c>
      <c r="I677" s="0" t="s">
        <v>1836</v>
      </c>
      <c r="J677" s="0" t="s">
        <v>775</v>
      </c>
      <c r="K677" s="0" t="s">
        <v>624</v>
      </c>
    </row>
    <row r="678" customFormat="false" ht="13.8" hidden="false" customHeight="false" outlineLevel="0" collapsed="false"/>
    <row r="679" customFormat="false" ht="13.8" hidden="false" customHeight="false" outlineLevel="0" collapsed="false"/>
    <row r="680" customFormat="false" ht="13.8" hidden="false" customHeight="false" outlineLevel="0" collapsed="false">
      <c r="A680" s="0" t="s">
        <v>974</v>
      </c>
      <c r="B680" s="0" t="s">
        <v>1496</v>
      </c>
      <c r="C680" s="0" t="n">
        <v>1</v>
      </c>
      <c r="D680" s="0" t="s">
        <v>151</v>
      </c>
      <c r="E680" s="0" t="s">
        <v>1837</v>
      </c>
      <c r="F680" s="0" t="s">
        <v>1498</v>
      </c>
      <c r="G680" s="0" t="s">
        <v>1423</v>
      </c>
      <c r="H680" s="0" t="s">
        <v>1463</v>
      </c>
      <c r="I680" s="0" t="s">
        <v>1464</v>
      </c>
      <c r="J680" s="0" t="s">
        <v>1499</v>
      </c>
      <c r="K680" s="0" t="s">
        <v>20</v>
      </c>
    </row>
    <row r="681" customFormat="false" ht="13.8" hidden="false" customHeight="false" outlineLevel="0" collapsed="false">
      <c r="A681" s="0" t="s">
        <v>974</v>
      </c>
      <c r="B681" s="0" t="s">
        <v>1500</v>
      </c>
      <c r="C681" s="0" t="n">
        <v>1</v>
      </c>
      <c r="D681" s="0" t="s">
        <v>151</v>
      </c>
      <c r="E681" s="0" t="s">
        <v>1838</v>
      </c>
      <c r="F681" s="0" t="s">
        <v>1498</v>
      </c>
      <c r="G681" s="0" t="s">
        <v>1423</v>
      </c>
      <c r="H681" s="0" t="s">
        <v>1463</v>
      </c>
      <c r="I681" s="0" t="s">
        <v>1464</v>
      </c>
      <c r="J681" s="0" t="s">
        <v>1502</v>
      </c>
      <c r="K681" s="0" t="s">
        <v>20</v>
      </c>
    </row>
    <row r="682" customFormat="false" ht="13.8" hidden="false" customHeight="false" outlineLevel="0" collapsed="false">
      <c r="A682" s="0" t="s">
        <v>974</v>
      </c>
      <c r="B682" s="0" t="s">
        <v>1567</v>
      </c>
      <c r="C682" s="0" t="n">
        <v>1</v>
      </c>
      <c r="D682" s="0" t="s">
        <v>151</v>
      </c>
      <c r="E682" s="0" t="s">
        <v>1568</v>
      </c>
      <c r="F682" s="0" t="s">
        <v>852</v>
      </c>
      <c r="G682" s="0" t="s">
        <v>1423</v>
      </c>
      <c r="H682" s="0" t="s">
        <v>1463</v>
      </c>
      <c r="I682" s="0" t="s">
        <v>1464</v>
      </c>
      <c r="J682" s="0" t="s">
        <v>1569</v>
      </c>
      <c r="K682" s="0" t="s">
        <v>20</v>
      </c>
    </row>
    <row r="683" customFormat="false" ht="13.8" hidden="false" customHeight="false" outlineLevel="0" collapsed="false">
      <c r="A683" s="0" t="s">
        <v>974</v>
      </c>
      <c r="B683" s="0" t="s">
        <v>1570</v>
      </c>
      <c r="C683" s="0" t="n">
        <v>1</v>
      </c>
      <c r="D683" s="0" t="s">
        <v>151</v>
      </c>
      <c r="E683" s="0" t="s">
        <v>1839</v>
      </c>
      <c r="F683" s="0" t="s">
        <v>852</v>
      </c>
      <c r="G683" s="0" t="s">
        <v>1423</v>
      </c>
      <c r="H683" s="0" t="s">
        <v>1463</v>
      </c>
      <c r="I683" s="0" t="s">
        <v>1464</v>
      </c>
      <c r="J683" s="0" t="s">
        <v>1572</v>
      </c>
      <c r="K683" s="0" t="s">
        <v>20</v>
      </c>
    </row>
    <row r="684" customFormat="false" ht="13.8" hidden="false" customHeight="false" outlineLevel="0" collapsed="false">
      <c r="A684" s="0" t="s">
        <v>974</v>
      </c>
      <c r="B684" s="0" t="s">
        <v>1461</v>
      </c>
      <c r="C684" s="0" t="n">
        <v>1</v>
      </c>
      <c r="D684" s="0" t="s">
        <v>151</v>
      </c>
      <c r="E684" s="0" t="s">
        <v>1462</v>
      </c>
      <c r="F684" s="0" t="n">
        <v>1</v>
      </c>
      <c r="G684" s="0" t="s">
        <v>1423</v>
      </c>
      <c r="H684" s="0" t="s">
        <v>1463</v>
      </c>
      <c r="I684" s="0" t="s">
        <v>1464</v>
      </c>
      <c r="J684" s="0" t="s">
        <v>1465</v>
      </c>
      <c r="K684" s="0" t="s">
        <v>20</v>
      </c>
    </row>
    <row r="685" customFormat="false" ht="13.8" hidden="false" customHeight="false" outlineLevel="0" collapsed="false">
      <c r="A685" s="0" t="s">
        <v>974</v>
      </c>
      <c r="B685" s="0" t="s">
        <v>1470</v>
      </c>
      <c r="C685" s="0" t="n">
        <v>1</v>
      </c>
      <c r="D685" s="0" t="s">
        <v>151</v>
      </c>
      <c r="E685" s="0" t="s">
        <v>1840</v>
      </c>
      <c r="F685" s="0" t="s">
        <v>16</v>
      </c>
      <c r="G685" s="0" t="s">
        <v>1423</v>
      </c>
      <c r="H685" s="0" t="s">
        <v>1463</v>
      </c>
      <c r="I685" s="0" t="s">
        <v>1464</v>
      </c>
      <c r="J685" s="0" t="s">
        <v>1472</v>
      </c>
      <c r="K685" s="0" t="s">
        <v>20</v>
      </c>
    </row>
    <row r="686" customFormat="false" ht="13.8" hidden="false" customHeight="false" outlineLevel="0" collapsed="false">
      <c r="A686" s="0" t="s">
        <v>974</v>
      </c>
      <c r="B686" s="0" t="s">
        <v>1507</v>
      </c>
      <c r="C686" s="0" t="n">
        <v>1</v>
      </c>
      <c r="D686" s="0" t="s">
        <v>151</v>
      </c>
      <c r="E686" s="0" t="s">
        <v>1841</v>
      </c>
      <c r="F686" s="0" t="s">
        <v>153</v>
      </c>
      <c r="G686" s="0" t="s">
        <v>1423</v>
      </c>
      <c r="H686" s="0" t="s">
        <v>1463</v>
      </c>
      <c r="I686" s="0" t="s">
        <v>1464</v>
      </c>
      <c r="J686" s="0" t="s">
        <v>1842</v>
      </c>
      <c r="K686" s="0" t="s">
        <v>20</v>
      </c>
    </row>
    <row r="687" customFormat="false" ht="13.8" hidden="false" customHeight="false" outlineLevel="0" collapsed="false">
      <c r="A687" s="0" t="s">
        <v>974</v>
      </c>
      <c r="B687" s="0" t="s">
        <v>1553</v>
      </c>
      <c r="C687" s="0" t="n">
        <v>1</v>
      </c>
      <c r="D687" s="0" t="s">
        <v>151</v>
      </c>
      <c r="E687" s="0" t="s">
        <v>1843</v>
      </c>
      <c r="F687" s="0" t="s">
        <v>153</v>
      </c>
      <c r="G687" s="0" t="s">
        <v>1423</v>
      </c>
      <c r="H687" s="0" t="s">
        <v>1463</v>
      </c>
      <c r="I687" s="0" t="s">
        <v>1464</v>
      </c>
      <c r="J687" s="0" t="s">
        <v>1844</v>
      </c>
      <c r="K687" s="0" t="s">
        <v>20</v>
      </c>
    </row>
    <row r="688" customFormat="false" ht="13.8" hidden="false" customHeight="false" outlineLevel="0" collapsed="false">
      <c r="A688" s="0" t="s">
        <v>974</v>
      </c>
      <c r="B688" s="0" t="s">
        <v>1487</v>
      </c>
      <c r="C688" s="0" t="n">
        <v>1</v>
      </c>
      <c r="D688" s="0" t="s">
        <v>151</v>
      </c>
      <c r="E688" s="0" t="s">
        <v>1845</v>
      </c>
      <c r="F688" s="0" t="s">
        <v>28</v>
      </c>
      <c r="G688" s="0" t="s">
        <v>1423</v>
      </c>
      <c r="H688" s="0" t="s">
        <v>1463</v>
      </c>
      <c r="I688" s="0" t="s">
        <v>1464</v>
      </c>
      <c r="J688" s="0" t="s">
        <v>1489</v>
      </c>
      <c r="K688" s="0" t="s">
        <v>20</v>
      </c>
    </row>
    <row r="689" customFormat="false" ht="13.8" hidden="false" customHeight="false" outlineLevel="0" collapsed="false">
      <c r="A689" s="0" t="s">
        <v>974</v>
      </c>
      <c r="B689" s="0" t="s">
        <v>1490</v>
      </c>
      <c r="C689" s="0" t="n">
        <v>1</v>
      </c>
      <c r="D689" s="0" t="s">
        <v>151</v>
      </c>
      <c r="E689" s="0" t="s">
        <v>1846</v>
      </c>
      <c r="F689" s="0" t="s">
        <v>28</v>
      </c>
      <c r="G689" s="0" t="s">
        <v>1423</v>
      </c>
      <c r="H689" s="0" t="s">
        <v>1463</v>
      </c>
      <c r="I689" s="0" t="s">
        <v>1464</v>
      </c>
      <c r="J689" s="0" t="s">
        <v>1847</v>
      </c>
      <c r="K689" s="0" t="s">
        <v>20</v>
      </c>
    </row>
    <row r="690" customFormat="false" ht="13.8" hidden="false" customHeight="false" outlineLevel="0" collapsed="false">
      <c r="A690" s="0" t="s">
        <v>974</v>
      </c>
      <c r="B690" s="0" t="s">
        <v>1493</v>
      </c>
      <c r="C690" s="0" t="n">
        <v>1</v>
      </c>
      <c r="D690" s="0" t="s">
        <v>151</v>
      </c>
      <c r="E690" s="0" t="s">
        <v>1494</v>
      </c>
      <c r="F690" s="0" t="s">
        <v>28</v>
      </c>
      <c r="G690" s="0" t="s">
        <v>1423</v>
      </c>
      <c r="H690" s="0" t="s">
        <v>1463</v>
      </c>
      <c r="I690" s="0" t="s">
        <v>1464</v>
      </c>
      <c r="J690" s="0" t="s">
        <v>1848</v>
      </c>
      <c r="K690" s="0" t="s">
        <v>20</v>
      </c>
    </row>
    <row r="691" customFormat="false" ht="13.8" hidden="false" customHeight="false" outlineLevel="0" collapsed="false">
      <c r="A691" s="0" t="s">
        <v>974</v>
      </c>
      <c r="B691" s="0" t="s">
        <v>1473</v>
      </c>
      <c r="C691" s="0" t="n">
        <v>1</v>
      </c>
      <c r="D691" s="0" t="s">
        <v>151</v>
      </c>
      <c r="E691" s="0" t="s">
        <v>1474</v>
      </c>
      <c r="F691" s="0" t="s">
        <v>28</v>
      </c>
      <c r="G691" s="0" t="s">
        <v>1423</v>
      </c>
      <c r="H691" s="0" t="s">
        <v>1463</v>
      </c>
      <c r="I691" s="0" t="s">
        <v>1464</v>
      </c>
      <c r="J691" s="0" t="s">
        <v>1475</v>
      </c>
      <c r="K691" s="0" t="s">
        <v>20</v>
      </c>
    </row>
    <row r="692" customFormat="false" ht="13.8" hidden="false" customHeight="false" outlineLevel="0" collapsed="false">
      <c r="A692" s="0" t="s">
        <v>974</v>
      </c>
      <c r="B692" s="0" t="s">
        <v>1547</v>
      </c>
      <c r="C692" s="0" t="n">
        <v>1</v>
      </c>
      <c r="D692" s="0" t="s">
        <v>151</v>
      </c>
      <c r="E692" s="0" t="s">
        <v>1849</v>
      </c>
      <c r="F692" s="0" t="s">
        <v>28</v>
      </c>
      <c r="G692" s="0" t="s">
        <v>1423</v>
      </c>
      <c r="H692" s="0" t="s">
        <v>1463</v>
      </c>
      <c r="I692" s="0" t="s">
        <v>1464</v>
      </c>
      <c r="J692" s="0" t="s">
        <v>1549</v>
      </c>
      <c r="K692" s="0" t="s">
        <v>20</v>
      </c>
    </row>
    <row r="693" customFormat="false" ht="13.8" hidden="false" customHeight="false" outlineLevel="0" collapsed="false">
      <c r="A693" s="0" t="s">
        <v>974</v>
      </c>
      <c r="B693" s="0" t="s">
        <v>1212</v>
      </c>
      <c r="C693" s="0" t="n">
        <v>1</v>
      </c>
      <c r="D693" s="0" t="s">
        <v>151</v>
      </c>
      <c r="E693" s="0" t="s">
        <v>1213</v>
      </c>
      <c r="F693" s="0" t="s">
        <v>28</v>
      </c>
      <c r="G693" s="0" t="s">
        <v>1423</v>
      </c>
      <c r="H693" s="0" t="s">
        <v>1463</v>
      </c>
      <c r="I693" s="0" t="s">
        <v>1464</v>
      </c>
      <c r="J693" s="0" t="s">
        <v>1216</v>
      </c>
      <c r="K693" s="0" t="s">
        <v>20</v>
      </c>
    </row>
    <row r="694" customFormat="false" ht="13.8" hidden="false" customHeight="false" outlineLevel="0" collapsed="false">
      <c r="A694" s="0" t="s">
        <v>974</v>
      </c>
      <c r="B694" s="0" t="s">
        <v>1522</v>
      </c>
      <c r="C694" s="0" t="n">
        <v>1</v>
      </c>
      <c r="D694" s="0" t="s">
        <v>1001</v>
      </c>
      <c r="E694" s="0" t="s">
        <v>1850</v>
      </c>
      <c r="F694" s="0" t="n">
        <v>1</v>
      </c>
      <c r="G694" s="0" t="s">
        <v>1423</v>
      </c>
      <c r="H694" s="0" t="s">
        <v>1463</v>
      </c>
      <c r="I694" s="0" t="s">
        <v>1464</v>
      </c>
      <c r="J694" s="0" t="s">
        <v>1524</v>
      </c>
      <c r="K694" s="0" t="s">
        <v>20</v>
      </c>
    </row>
    <row r="695" customFormat="false" ht="13.8" hidden="false" customHeight="false" outlineLevel="0" collapsed="false">
      <c r="A695" s="0" t="s">
        <v>974</v>
      </c>
      <c r="B695" s="0" t="s">
        <v>1519</v>
      </c>
      <c r="C695" s="0" t="n">
        <v>1</v>
      </c>
      <c r="D695" s="0" t="s">
        <v>1001</v>
      </c>
      <c r="E695" s="0" t="s">
        <v>1851</v>
      </c>
      <c r="F695" s="0" t="n">
        <v>1</v>
      </c>
      <c r="G695" s="0" t="s">
        <v>1423</v>
      </c>
      <c r="H695" s="0" t="s">
        <v>1463</v>
      </c>
      <c r="I695" s="0" t="s">
        <v>1464</v>
      </c>
      <c r="J695" s="0" t="s">
        <v>1521</v>
      </c>
      <c r="K695" s="0" t="s">
        <v>20</v>
      </c>
    </row>
    <row r="696" customFormat="false" ht="13.8" hidden="false" customHeight="false" outlineLevel="0" collapsed="false">
      <c r="A696" s="0" t="s">
        <v>974</v>
      </c>
      <c r="B696" s="0" t="s">
        <v>1480</v>
      </c>
      <c r="C696" s="0" t="n">
        <v>1</v>
      </c>
      <c r="D696" s="0" t="s">
        <v>1481</v>
      </c>
      <c r="E696" s="0" t="s">
        <v>1852</v>
      </c>
      <c r="F696" s="0" t="s">
        <v>41</v>
      </c>
      <c r="G696" s="0" t="s">
        <v>1423</v>
      </c>
      <c r="H696" s="0" t="s">
        <v>1463</v>
      </c>
      <c r="I696" s="0" t="s">
        <v>1464</v>
      </c>
      <c r="J696" s="0" t="s">
        <v>1483</v>
      </c>
      <c r="K696" s="0" t="s">
        <v>20</v>
      </c>
    </row>
    <row r="697" customFormat="false" ht="13.8" hidden="false" customHeight="false" outlineLevel="0" collapsed="false">
      <c r="A697" s="0" t="s">
        <v>974</v>
      </c>
      <c r="B697" s="0" t="s">
        <v>1466</v>
      </c>
      <c r="C697" s="0" t="n">
        <v>1</v>
      </c>
      <c r="D697" s="0" t="s">
        <v>151</v>
      </c>
      <c r="E697" s="0" t="s">
        <v>1853</v>
      </c>
      <c r="F697" s="0" t="s">
        <v>1468</v>
      </c>
      <c r="G697" s="0" t="s">
        <v>1423</v>
      </c>
      <c r="H697" s="0" t="s">
        <v>1463</v>
      </c>
      <c r="I697" s="0" t="s">
        <v>1464</v>
      </c>
      <c r="J697" s="0" t="s">
        <v>1469</v>
      </c>
      <c r="K697" s="0" t="s">
        <v>20</v>
      </c>
    </row>
    <row r="698" customFormat="false" ht="13.8" hidden="false" customHeight="false" outlineLevel="0" collapsed="false">
      <c r="A698" s="0" t="s">
        <v>974</v>
      </c>
      <c r="B698" s="0" t="s">
        <v>1525</v>
      </c>
      <c r="C698" s="0" t="n">
        <v>1</v>
      </c>
      <c r="D698" s="0" t="s">
        <v>151</v>
      </c>
      <c r="E698" s="0" t="s">
        <v>1854</v>
      </c>
      <c r="F698" s="0" t="s">
        <v>28</v>
      </c>
      <c r="G698" s="0" t="s">
        <v>1423</v>
      </c>
      <c r="H698" s="0" t="s">
        <v>1463</v>
      </c>
      <c r="I698" s="0" t="s">
        <v>1464</v>
      </c>
      <c r="J698" s="0" t="s">
        <v>1855</v>
      </c>
      <c r="K698" s="0" t="s">
        <v>20</v>
      </c>
    </row>
    <row r="699" customFormat="false" ht="13.8" hidden="false" customHeight="false" outlineLevel="0" collapsed="false">
      <c r="A699" s="0" t="s">
        <v>974</v>
      </c>
      <c r="B699" s="0" t="s">
        <v>1528</v>
      </c>
      <c r="C699" s="0" t="n">
        <v>1</v>
      </c>
      <c r="D699" s="0" t="s">
        <v>151</v>
      </c>
      <c r="E699" s="0" t="s">
        <v>1529</v>
      </c>
      <c r="F699" s="0" t="s">
        <v>28</v>
      </c>
      <c r="G699" s="0" t="s">
        <v>1423</v>
      </c>
      <c r="H699" s="0" t="s">
        <v>1463</v>
      </c>
      <c r="I699" s="0" t="s">
        <v>1464</v>
      </c>
      <c r="J699" s="0" t="s">
        <v>1856</v>
      </c>
      <c r="K699" s="0" t="s">
        <v>20</v>
      </c>
    </row>
    <row r="700" customFormat="false" ht="13.8" hidden="false" customHeight="false" outlineLevel="0" collapsed="false"/>
    <row r="701" customFormat="false" ht="13.8" hidden="false" customHeight="false" outlineLevel="0" collapsed="false">
      <c r="A701" s="0" t="s">
        <v>856</v>
      </c>
      <c r="B701" s="0" t="s">
        <v>1857</v>
      </c>
      <c r="C701" s="0" t="s">
        <v>13</v>
      </c>
      <c r="D701" s="0" t="s">
        <v>896</v>
      </c>
      <c r="E701" s="0" t="s">
        <v>1858</v>
      </c>
      <c r="F701" s="0" t="s">
        <v>348</v>
      </c>
      <c r="G701" s="0" t="str">
        <f aca="false">HYPERLINK("http://clipc-services.ceda.ac.uk/dreq/u/c9a70b4e-c5f0-11e6-ac20-5404a60d96b5.html","web")</f>
        <v>web</v>
      </c>
      <c r="H701" s="2" t="s">
        <v>1859</v>
      </c>
      <c r="I701" s="0" t="s">
        <v>56</v>
      </c>
      <c r="J701" s="0" t="s">
        <v>1860</v>
      </c>
      <c r="K701" s="0" t="s">
        <v>862</v>
      </c>
    </row>
    <row r="702" customFormat="false" ht="13.8" hidden="false" customHeight="false" outlineLevel="0" collapsed="false"/>
    <row r="703" customFormat="false" ht="13.8" hidden="false" customHeight="false" outlineLevel="0" collapsed="false">
      <c r="A703" s="2" t="s">
        <v>974</v>
      </c>
      <c r="B703" s="2" t="s">
        <v>1861</v>
      </c>
      <c r="C703" s="2" t="s">
        <v>13</v>
      </c>
      <c r="D703" s="2" t="s">
        <v>151</v>
      </c>
      <c r="E703" s="2" t="s">
        <v>1862</v>
      </c>
      <c r="F703" s="2" t="s">
        <v>153</v>
      </c>
      <c r="G703" s="2" t="str">
        <f aca="false">HYPERLINK("http://clipc-services.ceda.ac.uk/dreq/u/590f0bf4-9e49-11e5-803c-0d0b866b59f3.html","web")</f>
        <v>web</v>
      </c>
      <c r="H703" s="2" t="s">
        <v>1863</v>
      </c>
      <c r="I703" s="2" t="s">
        <v>1864</v>
      </c>
      <c r="J703" s="2" t="s">
        <v>1865</v>
      </c>
      <c r="K703" s="2" t="s">
        <v>20</v>
      </c>
    </row>
    <row r="704" customFormat="false" ht="13.8" hidden="false" customHeight="false" outlineLevel="0" collapsed="false"/>
    <row r="705" customFormat="false" ht="13.8" hidden="false" customHeight="false" outlineLevel="0" collapsed="false">
      <c r="A705" s="0" t="s">
        <v>782</v>
      </c>
      <c r="B705" s="0" t="s">
        <v>1866</v>
      </c>
      <c r="C705" s="0" t="s">
        <v>13</v>
      </c>
      <c r="D705" s="0" t="s">
        <v>459</v>
      </c>
      <c r="E705" s="0" t="s">
        <v>745</v>
      </c>
      <c r="F705" s="0" t="s">
        <v>734</v>
      </c>
      <c r="G705" s="0" t="str">
        <f aca="false">HYPERLINK("http://clipc-services.ceda.ac.uk/dreq/u/9bb9a503065dfbd30c9bbe5c3c6abf99.html","web")</f>
        <v>web</v>
      </c>
      <c r="H705" s="0" t="s">
        <v>1867</v>
      </c>
      <c r="I705" s="0" t="s">
        <v>343</v>
      </c>
      <c r="J705" s="0" t="s">
        <v>747</v>
      </c>
      <c r="K705" s="0" t="s">
        <v>788</v>
      </c>
    </row>
    <row r="706" customFormat="false" ht="13.8" hidden="false" customHeight="false" outlineLevel="0" collapsed="false">
      <c r="A706" s="0" t="s">
        <v>856</v>
      </c>
      <c r="B706" s="0" t="s">
        <v>1866</v>
      </c>
      <c r="C706" s="0" t="s">
        <v>13</v>
      </c>
      <c r="D706" s="0" t="s">
        <v>879</v>
      </c>
      <c r="E706" s="0" t="s">
        <v>745</v>
      </c>
      <c r="F706" s="0" t="s">
        <v>734</v>
      </c>
      <c r="G706" s="0" t="str">
        <f aca="false">HYPERLINK("http://clipc-services.ceda.ac.uk/dreq/u/9bb9a503065dfbd30c9bbe5c3c6abf99.html","web")</f>
        <v>web</v>
      </c>
      <c r="H706" s="0" t="s">
        <v>1867</v>
      </c>
      <c r="I706" s="0" t="s">
        <v>343</v>
      </c>
      <c r="J706" s="0" t="s">
        <v>747</v>
      </c>
      <c r="K706" s="0" t="s">
        <v>862</v>
      </c>
    </row>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94</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2020-06-23T08:40:23Z</dcterms:created>
  <dc:creator/>
  <dc:description/>
  <dc:language>en-US</dc:language>
  <cp:lastModifiedBy/>
  <dcterms:modified xsi:type="dcterms:W3CDTF">2021-06-02T11:10:13Z</dcterms:modified>
  <cp:revision>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