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8_{F99C027F-3C09-4048-904B-C6C54A1B04F2}" xr6:coauthVersionLast="46" xr6:coauthVersionMax="46" xr10:uidLastSave="{00000000-0000-0000-0000-000000000000}"/>
  <bookViews>
    <workbookView xWindow="-120" yWindow="-120" windowWidth="29040" windowHeight="15840" tabRatio="500" activeTab="1" xr2:uid="{00000000-000D-0000-FFFF-FFFF00000000}"/>
  </bookViews>
  <sheets>
    <sheet name="Notes and Versions" sheetId="1" r:id="rId1"/>
    <sheet name="quadratics" sheetId="2" r:id="rId2"/>
    <sheet name="licence" sheetId="3" r:id="rId3"/>
  </sheets>
  <definedNames>
    <definedName name="_xlnm.Print_Area" localSheetId="1">quadratics!$A$1:$I$37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177" i="2" l="1"/>
  <c r="N72" i="2"/>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N173" i="2" s="1"/>
  <c r="N174" i="2" s="1"/>
  <c r="N175" i="2" s="1"/>
  <c r="N176" i="2" s="1"/>
  <c r="U31" i="2"/>
  <c r="U30" i="2"/>
  <c r="U29" i="2"/>
  <c r="U28" i="2"/>
  <c r="U25" i="2"/>
  <c r="Y24" i="2"/>
  <c r="U24" i="2"/>
  <c r="Y23" i="2"/>
  <c r="Y22" i="2"/>
  <c r="Y21" i="2"/>
  <c r="U21" i="2"/>
  <c r="C21" i="2"/>
  <c r="Y20" i="2"/>
  <c r="U20" i="2"/>
  <c r="Y19" i="2"/>
  <c r="U19" i="2"/>
  <c r="U22" i="2" s="1"/>
  <c r="Y18" i="2"/>
  <c r="U18" i="2"/>
  <c r="B18" i="2"/>
  <c r="Y17" i="2"/>
  <c r="I17" i="2"/>
  <c r="G17" i="2"/>
  <c r="B17" i="2"/>
  <c r="Y16" i="2"/>
  <c r="U16" i="2"/>
  <c r="I16" i="2"/>
  <c r="G16" i="2"/>
  <c r="Y15" i="2"/>
  <c r="U15" i="2"/>
  <c r="L15" i="2"/>
  <c r="I15" i="2"/>
  <c r="G15" i="2"/>
  <c r="Y14" i="2"/>
  <c r="U14" i="2"/>
  <c r="L12" i="2"/>
  <c r="L11" i="2"/>
  <c r="L14" i="2" s="1"/>
  <c r="L10" i="2"/>
  <c r="L13" i="2" s="1"/>
  <c r="L9" i="2"/>
  <c r="L8" i="2"/>
  <c r="U26" i="2" l="1"/>
  <c r="P13" i="2" s="1"/>
  <c r="P12" i="2"/>
  <c r="Y25" i="2"/>
  <c r="P14" i="2" s="1"/>
  <c r="U32" i="2"/>
  <c r="P15" i="2" s="1"/>
  <c r="N178" i="2"/>
  <c r="N179" i="2" s="1"/>
  <c r="I6" i="2" s="1"/>
  <c r="W33" i="2" l="1"/>
  <c r="L26" i="2"/>
  <c r="L25" i="2"/>
  <c r="L19" i="2"/>
  <c r="L18" i="2"/>
  <c r="L33" i="2"/>
  <c r="L32" i="2"/>
  <c r="L24" i="2"/>
  <c r="L17" i="2"/>
  <c r="L31" i="2"/>
  <c r="W34" i="2"/>
  <c r="P25" i="2" l="1"/>
  <c r="P18" i="2"/>
  <c r="P32" i="2"/>
  <c r="L34" i="2"/>
  <c r="L35" i="2" s="1"/>
  <c r="L27" i="2"/>
  <c r="L28" i="2" s="1"/>
  <c r="L20" i="2"/>
  <c r="L21" i="2" s="1"/>
  <c r="P20" i="2" l="1"/>
  <c r="P19" i="2"/>
  <c r="P17" i="2"/>
  <c r="P31" i="2"/>
  <c r="P33" i="2"/>
  <c r="P34" i="2"/>
  <c r="F28" i="2"/>
  <c r="P27" i="2"/>
  <c r="P26" i="2"/>
  <c r="P24" i="2"/>
  <c r="P35" i="2" l="1"/>
  <c r="P36" i="2" s="1"/>
  <c r="P21" i="2"/>
  <c r="P22" i="2" s="1"/>
  <c r="P28" i="2"/>
  <c r="P29" i="2" s="1"/>
  <c r="H37" i="2" l="1"/>
  <c r="H34" i="2"/>
  <c r="H36" i="2"/>
  <c r="H35" i="2"/>
  <c r="H29" i="2"/>
  <c r="H30" i="2" s="1"/>
  <c r="H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4" authorId="0" shapeId="0" xr:uid="{00000000-0006-0000-0100-000001000000}">
      <text>
        <r>
          <rPr>
            <sz val="11"/>
            <color rgb="FF000000"/>
            <rFont val="Calibri"/>
            <family val="2"/>
          </rPr>
          <t>If you set “Y” here, the drag figures will be divided by the standard wind tunnel blockage correction factor  of (1 – A_veh/A_tunnel)^2,
causing an increase in traffic drag.</t>
        </r>
      </text>
    </comment>
  </commentList>
</comments>
</file>

<file path=xl/sharedStrings.xml><?xml version="1.0" encoding="utf-8"?>
<sst xmlns="http://schemas.openxmlformats.org/spreadsheetml/2006/main" count="299" uniqueCount="207">
  <si>
    <t>Road tunnel quadratics spreadsheet versioning</t>
  </si>
  <si>
    <t>v1</t>
  </si>
  <si>
    <t>Nov 2020.  First version.</t>
  </si>
  <si>
    <t>v1.1</t>
  </si>
  <si>
    <t>Dec 2020.  Corrected the selection of which quadratic to use at slow vehicle speeds, added a note about density 1.2 kg/m3.</t>
  </si>
  <si>
    <t>v1.2</t>
  </si>
  <si>
    <t>Apr 2021.  Corrected errors in the sanity check calculation when the traffic blockage correction was active.  Altered the text descriptions of the range and sanity checks to the correct rows.  Modified a logic test that works in LibreOffice but fails in Excel to a test that works in both programs.  Modified the error checks to catch more types of erroneous input.</t>
  </si>
  <si>
    <t>Notes for use (in no particular order)</t>
  </si>
  <si>
    <t xml:space="preserve">1) </t>
  </si>
  <si>
    <t>This spreadsheet solves steady-state incompressible flow in a road tunnel with friction, portal losses,</t>
  </si>
  <si>
    <t>stationary/moving traffic, portal pressure differences and jet fans.  It follows the classical approach</t>
  </si>
  <si>
    <t>given in PIARC documents, Woods Practical Guide to Fan Engineering and many BHR conference papers.</t>
  </si>
  <si>
    <t xml:space="preserve">2) </t>
  </si>
  <si>
    <t>If you have stationary traffic, you must set vehicle densities (veh/km).  If you have moving traffic, you</t>
  </si>
  <si>
    <t>must set vehicle flowrates (veh/hr).  The descriptors and units change according to whether it is stationary</t>
  </si>
  <si>
    <t>or moving traffic, but it is easy to forget.</t>
  </si>
  <si>
    <t xml:space="preserve">3) </t>
  </si>
  <si>
    <t>The traffic speed must be zero or positive.  The spreadsheet could be extended to handle cases with</t>
  </si>
  <si>
    <t>negative traffic speeds, but a simple spreadsheet is easier to prove correct.  A more complex spreadsheet</t>
  </si>
  <si>
    <t>would be harder to prove wrong.</t>
  </si>
  <si>
    <t xml:space="preserve">4) </t>
  </si>
  <si>
    <t>The spreadsheet does not consider area changes, friction factors varying with air velocity, or density changes.</t>
  </si>
  <si>
    <t xml:space="preserve">5) </t>
  </si>
  <si>
    <t>You must set which friction factor type you want to use, Darcy friction factor  λ or Fanning friction</t>
  </si>
  <si>
    <t xml:space="preserve">factor c_f (λ = 4 c_f).  If you are unsure about the difference between them, read “friction-rant.pdf” </t>
  </si>
  <si>
    <t>at https://github.com/ECB2020/Hobyah/tree/master/documentation</t>
  </si>
  <si>
    <t xml:space="preserve">6) </t>
  </si>
  <si>
    <t>The equations it uses are those in section IV of PIARC report 05.02.B (1995).  That report is available</t>
  </si>
  <si>
    <t>for free on PIARC's website (piarc.org) if you register your email with PIARC (also free).</t>
  </si>
  <si>
    <t xml:space="preserve">7) </t>
  </si>
  <si>
    <t>The basic equation that the spreadsheet solves is</t>
  </si>
  <si>
    <t xml:space="preserve">8) </t>
  </si>
  <si>
    <t>Where we have positive v_t, the absolute value term |v_v – v_t| means that we have to split into two quadratics,</t>
  </si>
  <si>
    <t>one for use when the traffic speed is higher than the airspeed, one for use when it is lower.  Only the sign of</t>
  </si>
  <si>
    <t>the traffic term changes.</t>
  </si>
  <si>
    <t xml:space="preserve">9) </t>
  </si>
  <si>
    <t>In the rare case where the pressure difference or reverse jet fans overpower the traffic piston effect and</t>
  </si>
  <si>
    <t>air blows backwards through the tunnel (negative v_t) a third equation is needed.  In this case we do not need</t>
  </si>
  <si>
    <t>the absolute value term, we can solve one quadratic equation with the sign of the friction term changed.</t>
  </si>
  <si>
    <t xml:space="preserve">10) </t>
  </si>
  <si>
    <t>If you want the jet fans to blow against the direction of traffic, set the jet van velocity negative.  Do</t>
  </si>
  <si>
    <t>not set the count of jet fans negative or the static thrust negative – they will not be accepted as valid input.</t>
  </si>
  <si>
    <t xml:space="preserve">11) </t>
  </si>
  <si>
    <r>
      <rPr>
        <sz val="11"/>
        <color rgb="FF000000"/>
        <rFont val="Calibri"/>
        <family val="2"/>
      </rPr>
      <t>The base density of the spreadsheet is 1.2 kg/m</t>
    </r>
    <r>
      <rPr>
        <sz val="11"/>
        <color rgb="FF000000"/>
        <rFont val="Arial Unicode MS"/>
        <family val="2"/>
      </rPr>
      <t>³.  This is used to convert the wind and jet fan data into</t>
    </r>
  </si>
  <si>
    <t>the same form as traffic drag and friction.</t>
  </si>
  <si>
    <t xml:space="preserve">12) </t>
  </si>
  <si>
    <t>The spreadsheet has sanity checks on the input data.  Text inputs (“Y”, “N”, “Darcy”, “Fanning”) are</t>
  </si>
  <si>
    <t>not case-sensitive but it will complain if non-valid text is entered.  It checks that number inputs are</t>
  </si>
  <si>
    <t>numbers and are they in the correct range.  With impossible entries (like negative tunnel area)</t>
  </si>
  <si>
    <t>the spreadsheet will state that it can't calculate due to dud tunnel geometry.  Similar messages</t>
  </si>
  <si>
    <t>appear for dud jet fan input, dud wind and dud traffic data.</t>
  </si>
  <si>
    <t xml:space="preserve">13) </t>
  </si>
  <si>
    <t>If you manage to get an unedited version of the spreadsheet to tell you that it can't calculate due</t>
  </si>
  <si>
    <t>to “dud equations” then please get in touch with me.  You've found a corner case that I missed during</t>
  </si>
  <si>
    <t>testing.  The “dud equations” error message is one that I wrote while developing the spreadsheet so</t>
  </si>
  <si>
    <t>that I could track down all the errors I made while writing it.  So be aware that if you start editing the</t>
  </si>
  <si>
    <t>equations to extend the spreadsheet's capabilities, the message “dud equations” will likely appear.</t>
  </si>
  <si>
    <t xml:space="preserve"> </t>
  </si>
  <si>
    <t>longitudinal ventilation”.  Handles stationary traffic, moving traffic (vehicle speed must</t>
  </si>
  <si>
    <t>not be negative), jet fans and wind.  Selects the solution from a range of different</t>
  </si>
  <si>
    <t>quadratics, depending on the inputs.</t>
  </si>
  <si>
    <t>Slug flow spreadsheet v1.2</t>
  </si>
  <si>
    <t>Single tunnel of constant area with losses, friction, jet fans, traffic drag and</t>
  </si>
  <si>
    <t>Intermediate calculations (not printed)</t>
  </si>
  <si>
    <t>portal pressures.</t>
  </si>
  <si>
    <t>Friction term</t>
  </si>
  <si>
    <t>—</t>
  </si>
  <si>
    <t>Car density</t>
  </si>
  <si>
    <t>veh/km</t>
  </si>
  <si>
    <t>LCV density</t>
  </si>
  <si>
    <t>HGV density</t>
  </si>
  <si>
    <t>Car term</t>
  </si>
  <si>
    <t>Fixed loss term</t>
  </si>
  <si>
    <t>Sanity checks of the input data (not printed)</t>
  </si>
  <si>
    <t>Tunnel geometry input</t>
  </si>
  <si>
    <t>Traffic input</t>
  </si>
  <si>
    <t>LCV term</t>
  </si>
  <si>
    <t>Wind term</t>
  </si>
  <si>
    <t>m²/s²</t>
  </si>
  <si>
    <t>Check of values in the tunnel terms</t>
  </si>
  <si>
    <t>Check of values in the traffic terms</t>
  </si>
  <si>
    <t>Length</t>
  </si>
  <si>
    <t>m</t>
  </si>
  <si>
    <t>Traffic speed (+ve)</t>
  </si>
  <si>
    <t>km/h</t>
  </si>
  <si>
    <t>HGV term</t>
  </si>
  <si>
    <t>Traffic term</t>
  </si>
  <si>
    <t>'=AND(ISNUMBER(B14), B14 &gt;= 0)</t>
  </si>
  <si>
    <t>'=AND(ISNUMBER(F14), F14 &gt;= 0)</t>
  </si>
  <si>
    <t>Area</t>
  </si>
  <si>
    <t>m²</t>
  </si>
  <si>
    <t>Traffic speed</t>
  </si>
  <si>
    <t>m/s</t>
  </si>
  <si>
    <t>Jet fan term</t>
  </si>
  <si>
    <t>'=AND(ISNUMBER(B15), B15 &gt; 0)</t>
  </si>
  <si>
    <t>'=AND(ISNUMBER(F15), F15 &gt;= 0)</t>
  </si>
  <si>
    <t>Perimeter</t>
  </si>
  <si>
    <t>Calculation (vehicles slower than air)</t>
  </si>
  <si>
    <t>Check calc of pressures</t>
  </si>
  <si>
    <t>'=AND(ISNUMBER(B16), B16 &gt; 0)</t>
  </si>
  <si>
    <t>'=AND(ISNUMBER(F16), F16 &gt;= 0)</t>
  </si>
  <si>
    <t>Darcy</t>
  </si>
  <si>
    <t>(Darcy/Fanning)</t>
  </si>
  <si>
    <t>A</t>
  </si>
  <si>
    <t>Friction pressure</t>
  </si>
  <si>
    <t>Pa</t>
  </si>
  <si>
    <t>'=AND(ISNUMBER(F17), F17 &gt;= 0)</t>
  </si>
  <si>
    <t>Car area</t>
  </si>
  <si>
    <t>B</t>
  </si>
  <si>
    <t>Wind pressure</t>
  </si>
  <si>
    <t>'=OR(B17 = "Fanning", B17 = "Darcy")</t>
  </si>
  <si>
    <t>'=AND(ISNUMBER(F18), F18 &gt; 0)</t>
  </si>
  <si>
    <t>Left portal loss</t>
  </si>
  <si>
    <t>Car drag factor</t>
  </si>
  <si>
    <t>C</t>
  </si>
  <si>
    <t>Traffic pressure</t>
  </si>
  <si>
    <t>'=AND(ISNUMBER(B18), B18 &gt;= 0)</t>
  </si>
  <si>
    <t>'=AND(ISNUMBER(F19), F19 &gt; 0)</t>
  </si>
  <si>
    <t>Right portal loss</t>
  </si>
  <si>
    <t>LCV area</t>
  </si>
  <si>
    <t>det</t>
  </si>
  <si>
    <t>Jet fan pressure</t>
  </si>
  <si>
    <t>'=AND(ISNUMBER(B19), B19 &gt;= 0)</t>
  </si>
  <si>
    <t>'=AND(ISNUMBER(F20), F20 &gt; 0)</t>
  </si>
  <si>
    <t>D_h (info only, not used)</t>
  </si>
  <si>
    <t>LCV drag factor</t>
  </si>
  <si>
    <t>v</t>
  </si>
  <si>
    <t>Sum of pressures (or 42)</t>
  </si>
  <si>
    <t>'=AND(ISNUMBER(B20), B20 &gt;= 0)</t>
  </si>
  <si>
    <t>'=AND(ISNUMBER(F21), F21 &gt; 0)</t>
  </si>
  <si>
    <t>HGV area</t>
  </si>
  <si>
    <t>Use this result?</t>
  </si>
  <si>
    <t>Valid fixed losses?</t>
  </si>
  <si>
    <t>'=AND(ISNUMBER(F22), F22 &gt; 0)</t>
  </si>
  <si>
    <t>Wind input</t>
  </si>
  <si>
    <t>HGV drag factor</t>
  </si>
  <si>
    <t>Calculation (vehicles faster than air)</t>
  </si>
  <si>
    <t>Check of values in the wind terms</t>
  </si>
  <si>
    <t>'=AND(ISNUMBER(F23), F23 &gt; 0)</t>
  </si>
  <si>
    <t>P at left portal</t>
  </si>
  <si>
    <t>Blockage correction?</t>
  </si>
  <si>
    <t>Y</t>
  </si>
  <si>
    <t>(Y/N)</t>
  </si>
  <si>
    <t>'=ISNUMBER(B24)</t>
  </si>
  <si>
    <t>'=OR(F24 = "Y", F24 = "N")</t>
  </si>
  <si>
    <t>P at right portal</t>
  </si>
  <si>
    <t>'=ISNUMBER(B25)</t>
  </si>
  <si>
    <t>Valid traffic terms?</t>
  </si>
  <si>
    <t>Valid wind?</t>
  </si>
  <si>
    <t>Jet fan input</t>
  </si>
  <si>
    <t>Check of values in the jet fan terms</t>
  </si>
  <si>
    <t>Count of fans</t>
  </si>
  <si>
    <t>'=AND(ISNUMBER(B28), B28 &gt;= 0)</t>
  </si>
  <si>
    <t>Static thrust</t>
  </si>
  <si>
    <t>N at 1.2 kg/m³</t>
  </si>
  <si>
    <t>Air velocity</t>
  </si>
  <si>
    <t>'=AND(ISNUMBER(B29), B29 &gt;= 0)</t>
  </si>
  <si>
    <t>Jet velocity</t>
  </si>
  <si>
    <t>Volume flow</t>
  </si>
  <si>
    <t>m³/s</t>
  </si>
  <si>
    <t>Calculation (reverse airflow)</t>
  </si>
  <si>
    <t>'=ISNUMBER(B30)</t>
  </si>
  <si>
    <t>Installation efficiency</t>
  </si>
  <si>
    <t>'=AND(ISNUMBER(B31), B31 &gt;= 0)</t>
  </si>
  <si>
    <t xml:space="preserve">  </t>
  </si>
  <si>
    <t>Independent check calc of pressures</t>
  </si>
  <si>
    <t>Valid jet fans?</t>
  </si>
  <si>
    <t>Valid input?</t>
  </si>
  <si>
    <t>Reason for invalid input:</t>
  </si>
  <si>
    <t>Sum of pressures</t>
  </si>
  <si>
    <t>A function to remove the path of a sheet tab name in LibreOffice.  This is fragile.</t>
  </si>
  <si>
    <t>Filename:</t>
  </si>
  <si>
    <t>Directory separator:</t>
  </si>
  <si>
    <t>/</t>
  </si>
  <si>
    <t>Now strip off up to 100 strings ending in the directory separator.</t>
  </si>
  <si>
    <t>1st pass</t>
  </si>
  <si>
    <t xml:space="preserve">2nd </t>
  </si>
  <si>
    <t>3rd</t>
  </si>
  <si>
    <t>and so on.</t>
  </si>
  <si>
    <t>Spreadsheet name in LibreOffice:</t>
  </si>
  <si>
    <t>Spreadsheet name in Excel:</t>
  </si>
  <si>
    <t>Which program is editing this spreadsheet?</t>
  </si>
  <si>
    <t>Spreadsheet name to use:</t>
  </si>
  <si>
    <t>Licence</t>
  </si>
  <si>
    <t>Copyright (c) 2020-2021, Ewan Bennett (ewanbennett@fastmail.com)</t>
  </si>
  <si>
    <t>All rights reserved.</t>
  </si>
  <si>
    <t>Released under the BSD 2-clause licence (SPDX identifier: BSD-2-Clause):</t>
  </si>
  <si>
    <t>Redistribution and use in source and binary forms, with or without modification, are</t>
  </si>
  <si>
    <t>permitted provided that the following conditions are met:</t>
  </si>
  <si>
    <t>Redistributions of source code must retain the above copyright notice, this list</t>
  </si>
  <si>
    <t>of conditions and the following disclaimer.</t>
  </si>
  <si>
    <t>Redistributions in binary form must reproduce the above copyright notice, this</t>
  </si>
  <si>
    <t>list of conditions and the following disclaimer in the documentation and/or</t>
  </si>
  <si>
    <t>other materials provided with the distribution.</t>
  </si>
  <si>
    <t>THIS SOFTWARE IS PROVIDED BY THE COPYRIGHT HOLDERS AND CONTRIBUTORS "AS</t>
  </si>
  <si>
    <t>IS” AND ANY EXPRESS OR IMPLIED WARRANTIES, INCLUDING, BUT NOT LIMITED TO,</t>
  </si>
  <si>
    <t>THE IMPLIED WARRANTIES OF MERCHANTABILITY AND FITNESS FOR A PARTICULAR</t>
  </si>
  <si>
    <t>PURPOSE ARE DISCLAIMED. IN NO EVENT SHALL THE COPYRIGHT HOLDER OR</t>
  </si>
  <si>
    <t>CONTRIBUTORS BE LIABLE FOR ANY DIRECT, INDIRECT, INCIDENTAL, SPECIAL,</t>
  </si>
  <si>
    <t>EXEMPLARY, OR CONSEQUENTIAL DAMAGES (INCLUDING, BUT NOT LIMITED TO,</t>
  </si>
  <si>
    <t>PROCUREMENT OF SUBSTITUTE GOODS OR SERVICES; LOSS OF USE, DATA, OR</t>
  </si>
  <si>
    <t>PROFITS; OR BUSINESS INTERRUPTION) HOWEVER CAUSED AND ON ANY THEORY OF</t>
  </si>
  <si>
    <t>LIABILITY, WHETHER IN CONTRACT, STRICT LIABILITY, OR TORT (INCLUDING</t>
  </si>
  <si>
    <t>NEGLIGENCE OR OTHERWISE) ARISING IN ANY WAY OUT OF THE USE OF THIS</t>
  </si>
  <si>
    <t>SOFTWARE, EVEN IF ADVISED OF THE POSSIBILITY OF SUCH DAMAGE.</t>
  </si>
  <si>
    <t>Slug flow in a simple road tunnel by quadratic equations.  Solution of the equations</t>
  </si>
  <si>
    <t>in section IV of PIARC report 05.02.B, “Vehicle emissions, air demand,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</si>
</sst>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9]#,##0.00;[Red]\-[$$-C09]#,##0.00"/>
    <numFmt numFmtId="165" formatCode="0.000"/>
    <numFmt numFmtId="166" formatCode="&quot;TRUE&quot;;&quot;TRUE&quot;;&quot;FALSE&quot;"/>
    <numFmt numFmtId="167" formatCode="dd/mm/yy"/>
    <numFmt numFmtId="168" formatCode="0.0"/>
  </numFmts>
  <fonts count="10">
    <font>
      <sz val="11"/>
      <color rgb="FF000000"/>
      <name val="Calibri"/>
      <family val="2"/>
    </font>
    <font>
      <b/>
      <i/>
      <u/>
      <sz val="11"/>
      <color rgb="FF000000"/>
      <name val="Calibri"/>
      <family val="2"/>
    </font>
    <font>
      <b/>
      <i/>
      <sz val="16"/>
      <color rgb="FF000000"/>
      <name val="Calibri"/>
      <family val="2"/>
    </font>
    <font>
      <b/>
      <sz val="11"/>
      <color rgb="FF000000"/>
      <name val="Calibri"/>
      <family val="2"/>
    </font>
    <font>
      <sz val="11"/>
      <color rgb="FF000000"/>
      <name val="Arial Unicode MS"/>
      <family val="2"/>
    </font>
    <font>
      <sz val="8"/>
      <color rgb="FF000000"/>
      <name val="Calibri"/>
      <family val="2"/>
    </font>
    <font>
      <sz val="11"/>
      <color rgb="FF0000FF"/>
      <name val="Calibri"/>
      <family val="2"/>
    </font>
    <font>
      <sz val="10"/>
      <color rgb="FF000000"/>
      <name val="Calibri"/>
      <family val="2"/>
    </font>
    <font>
      <i/>
      <sz val="11"/>
      <color rgb="FF000000"/>
      <name val="Calibri"/>
      <family val="2"/>
    </font>
    <font>
      <sz val="9"/>
      <color rgb="FF000000"/>
      <name val="Calibri"/>
      <family val="2"/>
    </font>
  </fonts>
  <fills count="2">
    <fill>
      <patternFill patternType="none"/>
    </fill>
    <fill>
      <patternFill patternType="gray125"/>
    </fill>
  </fills>
  <borders count="17">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bottom/>
      <diagonal/>
    </border>
    <border>
      <left style="hair">
        <color auto="1"/>
      </left>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164" fontId="1" fillId="0" borderId="0" applyBorder="0" applyProtection="0"/>
    <xf numFmtId="0" fontId="2" fillId="0" borderId="0" applyBorder="0" applyProtection="0">
      <alignment horizontal="center" textRotation="90"/>
    </xf>
  </cellStyleXfs>
  <cellXfs count="78">
    <xf numFmtId="0" fontId="0" fillId="0" borderId="0" xfId="0"/>
    <xf numFmtId="0" fontId="3" fillId="0" borderId="0" xfId="0" applyFont="1"/>
    <xf numFmtId="0" fontId="0" fillId="0" borderId="0" xfId="0" applyFont="1" applyAlignment="1">
      <alignment horizontal="right" vertical="top"/>
    </xf>
    <xf numFmtId="0" fontId="0" fillId="0" borderId="0" xfId="0" applyFont="1" applyAlignment="1">
      <alignment vertical="top"/>
    </xf>
    <xf numFmtId="0" fontId="0" fillId="0" borderId="0" xfId="0" applyFont="1" applyAlignment="1">
      <alignment vertical="top" wrapText="1"/>
    </xf>
    <xf numFmtId="0" fontId="3" fillId="0" borderId="0" xfId="0" applyFont="1" applyAlignment="1">
      <alignment vertical="top"/>
    </xf>
    <xf numFmtId="0" fontId="0" fillId="0" borderId="0" xfId="0" applyFont="1"/>
    <xf numFmtId="0" fontId="0" fillId="0" borderId="0" xfId="0" applyFont="1" applyAlignment="1">
      <alignment horizontal="right"/>
    </xf>
    <xf numFmtId="0" fontId="5" fillId="0" borderId="0" xfId="0" applyFont="1"/>
    <xf numFmtId="0" fontId="5" fillId="0" borderId="0" xfId="0" applyFont="1" applyAlignment="1">
      <alignment horizontal="right"/>
    </xf>
    <xf numFmtId="0" fontId="6" fillId="0" borderId="4" xfId="0" applyFont="1" applyBorder="1"/>
    <xf numFmtId="0" fontId="3" fillId="0" borderId="1" xfId="0" applyFont="1" applyBorder="1"/>
    <xf numFmtId="0" fontId="0" fillId="0" borderId="2" xfId="0" applyFont="1" applyBorder="1"/>
    <xf numFmtId="0" fontId="0" fillId="0" borderId="3" xfId="0" applyFont="1" applyBorder="1"/>
    <xf numFmtId="0" fontId="6" fillId="0" borderId="0" xfId="0" applyFont="1" applyBorder="1"/>
    <xf numFmtId="0" fontId="0" fillId="0" borderId="5" xfId="0" applyFont="1" applyBorder="1" applyAlignment="1">
      <alignment horizontal="right"/>
    </xf>
    <xf numFmtId="0" fontId="0" fillId="0" borderId="0" xfId="0" applyFont="1" applyAlignment="1"/>
    <xf numFmtId="0" fontId="0" fillId="0" borderId="0" xfId="0" applyFont="1" applyAlignment="1">
      <alignment horizontal="left"/>
    </xf>
    <xf numFmtId="0" fontId="0" fillId="0" borderId="4" xfId="0" applyFont="1" applyBorder="1"/>
    <xf numFmtId="165" fontId="0" fillId="0" borderId="0" xfId="0" applyNumberFormat="1" applyFont="1" applyAlignment="1">
      <alignment horizontal="right"/>
    </xf>
    <xf numFmtId="0" fontId="7" fillId="0" borderId="4" xfId="0" applyFont="1" applyBorder="1"/>
    <xf numFmtId="0" fontId="0" fillId="0" borderId="2" xfId="0" applyFont="1" applyBorder="1" applyAlignment="1">
      <alignment horizontal="left"/>
    </xf>
    <xf numFmtId="0" fontId="3" fillId="0" borderId="0" xfId="0" applyFont="1" applyAlignment="1">
      <alignment horizontal="center"/>
    </xf>
    <xf numFmtId="0" fontId="0" fillId="0" borderId="5" xfId="0" applyFont="1" applyBorder="1"/>
    <xf numFmtId="0" fontId="8" fillId="0" borderId="0" xfId="0" applyFont="1" applyAlignment="1">
      <alignment horizontal="center"/>
    </xf>
    <xf numFmtId="0" fontId="7" fillId="0" borderId="0" xfId="0" applyFont="1"/>
    <xf numFmtId="0" fontId="7" fillId="0" borderId="0" xfId="0" applyFont="1" applyAlignment="1">
      <alignment horizontal="right"/>
    </xf>
    <xf numFmtId="0" fontId="6" fillId="0" borderId="0" xfId="0" applyFont="1" applyAlignment="1">
      <alignment horizontal="right"/>
    </xf>
    <xf numFmtId="166" fontId="0" fillId="0" borderId="0" xfId="0" applyNumberFormat="1" applyFont="1" applyAlignment="1">
      <alignment horizontal="right"/>
    </xf>
    <xf numFmtId="0" fontId="0" fillId="0" borderId="0" xfId="0" applyFont="1" applyAlignment="1">
      <alignment horizontal="right"/>
    </xf>
    <xf numFmtId="166" fontId="0" fillId="0" borderId="4" xfId="0" applyNumberFormat="1" applyFont="1" applyBorder="1" applyAlignment="1">
      <alignment horizontal="right"/>
    </xf>
    <xf numFmtId="0" fontId="0" fillId="0" borderId="4" xfId="0" applyFont="1" applyBorder="1" applyAlignment="1">
      <alignment horizontal="right"/>
    </xf>
    <xf numFmtId="0" fontId="0" fillId="0" borderId="1" xfId="0" applyFont="1" applyBorder="1"/>
    <xf numFmtId="0" fontId="3" fillId="0" borderId="2" xfId="0" applyFont="1" applyBorder="1" applyAlignment="1">
      <alignment horizontal="center"/>
    </xf>
    <xf numFmtId="0" fontId="6" fillId="0" borderId="0" xfId="0" applyFont="1" applyAlignment="1">
      <alignment horizontal="center"/>
    </xf>
    <xf numFmtId="4" fontId="0" fillId="0" borderId="0" xfId="0" applyNumberFormat="1" applyFont="1"/>
    <xf numFmtId="0" fontId="0" fillId="0" borderId="0" xfId="0" applyFont="1"/>
    <xf numFmtId="0" fontId="0" fillId="0" borderId="0" xfId="0" applyFont="1" applyProtection="1">
      <protection locked="0"/>
    </xf>
    <xf numFmtId="0" fontId="9" fillId="0" borderId="0" xfId="0" applyFont="1" applyAlignment="1">
      <alignment horizontal="right"/>
    </xf>
    <xf numFmtId="2" fontId="0" fillId="0" borderId="0" xfId="0" applyNumberFormat="1" applyFont="1" applyAlignment="1">
      <alignment horizontal="right"/>
    </xf>
    <xf numFmtId="2" fontId="0" fillId="0" borderId="0" xfId="0" applyNumberFormat="1" applyFont="1"/>
    <xf numFmtId="4" fontId="0" fillId="0" borderId="0" xfId="0" applyNumberFormat="1" applyFont="1" applyProtection="1">
      <protection locked="0"/>
    </xf>
    <xf numFmtId="0" fontId="0" fillId="0" borderId="6" xfId="0" applyFont="1" applyBorder="1"/>
    <xf numFmtId="0" fontId="0" fillId="0" borderId="7" xfId="0" applyFont="1" applyBorder="1"/>
    <xf numFmtId="0" fontId="0" fillId="0" borderId="7" xfId="0" applyFont="1" applyBorder="1" applyProtection="1">
      <protection locked="0"/>
    </xf>
    <xf numFmtId="0" fontId="0" fillId="0" borderId="7" xfId="0" applyFont="1" applyBorder="1" applyAlignment="1">
      <alignment horizontal="right"/>
    </xf>
    <xf numFmtId="166" fontId="0" fillId="0" borderId="7" xfId="0" applyNumberFormat="1" applyFont="1" applyBorder="1"/>
    <xf numFmtId="0" fontId="0" fillId="0" borderId="8" xfId="0" applyFont="1" applyBorder="1"/>
    <xf numFmtId="166" fontId="3" fillId="0" borderId="0" xfId="0" applyNumberFormat="1" applyFont="1" applyAlignment="1">
      <alignment horizontal="right"/>
    </xf>
    <xf numFmtId="166" fontId="7" fillId="0" borderId="0" xfId="0" applyNumberFormat="1" applyFont="1"/>
    <xf numFmtId="167" fontId="7" fillId="0" borderId="0" xfId="0" applyNumberFormat="1" applyFont="1"/>
    <xf numFmtId="166" fontId="0" fillId="0" borderId="0" xfId="0" applyNumberFormat="1" applyFont="1"/>
    <xf numFmtId="166" fontId="0" fillId="0" borderId="0" xfId="0" applyNumberFormat="1" applyFont="1" applyBorder="1" applyAlignment="1">
      <alignment horizontal="right"/>
    </xf>
    <xf numFmtId="166" fontId="3" fillId="0" borderId="4" xfId="0" applyNumberFormat="1" applyFont="1" applyBorder="1"/>
    <xf numFmtId="0" fontId="7" fillId="0" borderId="9" xfId="0" applyFont="1" applyBorder="1"/>
    <xf numFmtId="0" fontId="3" fillId="0" borderId="10" xfId="0" applyFont="1" applyBorder="1"/>
    <xf numFmtId="0" fontId="0" fillId="0" borderId="11" xfId="0" applyFont="1" applyBorder="1"/>
    <xf numFmtId="0" fontId="0" fillId="0" borderId="12" xfId="0" applyFont="1" applyBorder="1"/>
    <xf numFmtId="2" fontId="0" fillId="0" borderId="0" xfId="0" applyNumberFormat="1" applyFont="1" applyProtection="1">
      <protection locked="0"/>
    </xf>
    <xf numFmtId="0" fontId="0" fillId="0" borderId="13" xfId="0" applyFont="1" applyBorder="1" applyAlignment="1">
      <alignment horizontal="right"/>
    </xf>
    <xf numFmtId="0" fontId="0" fillId="0" borderId="0" xfId="0" applyFont="1" applyBorder="1" applyAlignment="1">
      <alignment horizontal="right"/>
    </xf>
    <xf numFmtId="0" fontId="0" fillId="0" borderId="14" xfId="0" applyFont="1" applyBorder="1" applyAlignment="1">
      <alignment horizontal="right"/>
    </xf>
    <xf numFmtId="0" fontId="0" fillId="0" borderId="15" xfId="0" applyFont="1" applyBorder="1" applyAlignment="1">
      <alignment horizontal="right"/>
    </xf>
    <xf numFmtId="168" fontId="0" fillId="0" borderId="15" xfId="0" applyNumberFormat="1" applyFont="1" applyBorder="1" applyAlignment="1">
      <alignment horizontal="right"/>
    </xf>
    <xf numFmtId="0" fontId="7" fillId="0" borderId="16" xfId="0" applyFont="1" applyBorder="1"/>
    <xf numFmtId="0" fontId="3" fillId="0" borderId="0" xfId="0" applyFont="1" applyAlignment="1">
      <alignment horizontal="left"/>
    </xf>
    <xf numFmtId="168" fontId="0" fillId="0" borderId="0" xfId="0" applyNumberFormat="1" applyFont="1" applyAlignment="1">
      <alignment horizontal="right"/>
    </xf>
    <xf numFmtId="166" fontId="3" fillId="0" borderId="0" xfId="0" applyNumberFormat="1" applyFont="1" applyBorder="1" applyAlignment="1">
      <alignment horizontal="right"/>
    </xf>
    <xf numFmtId="0" fontId="3" fillId="0" borderId="0" xfId="0" applyFont="1" applyBorder="1" applyAlignment="1">
      <alignment horizontal="right"/>
    </xf>
    <xf numFmtId="0" fontId="0" fillId="0" borderId="7" xfId="0" applyFont="1" applyBorder="1"/>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9" xfId="0" applyFont="1" applyBorder="1"/>
    <xf numFmtId="0" fontId="6" fillId="0" borderId="14" xfId="0" applyFont="1" applyBorder="1"/>
    <xf numFmtId="0" fontId="6" fillId="0" borderId="15" xfId="0" applyFont="1" applyBorder="1"/>
    <xf numFmtId="0" fontId="6" fillId="0" borderId="16" xfId="0" applyFont="1" applyBorder="1"/>
  </cellXfs>
  <cellStyles count="3">
    <cellStyle name="Heading1" xfId="2" xr:uid="{00000000-0005-0000-0000-000007000000}"/>
    <cellStyle name="Normal" xfId="0" builtinId="0"/>
    <cellStyle name="Result2"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23400</xdr:colOff>
      <xdr:row>69</xdr:row>
      <xdr:rowOff>64697</xdr:rowOff>
    </xdr:from>
    <xdr:to>
      <xdr:col>1</xdr:col>
      <xdr:colOff>6254640</xdr:colOff>
      <xdr:row>74</xdr:row>
      <xdr:rowOff>129857</xdr:rowOff>
    </xdr:to>
    <xdr:pic>
      <xdr:nvPicPr>
        <xdr:cNvPr id="2" name="Imag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90100" y="13837847"/>
          <a:ext cx="6231240" cy="1017660"/>
        </a:xfrm>
        <a:prstGeom prst="rect">
          <a:avLst/>
        </a:prstGeom>
        <a:ln w="0">
          <a:noFill/>
        </a:ln>
      </xdr:spPr>
    </xdr:pic>
    <xdr:clientData/>
  </xdr:twoCellAnchor>
  <xdr:twoCellAnchor editAs="absolute">
    <xdr:from>
      <xdr:col>1</xdr:col>
      <xdr:colOff>9720</xdr:colOff>
      <xdr:row>78</xdr:row>
      <xdr:rowOff>72977</xdr:rowOff>
    </xdr:from>
    <xdr:to>
      <xdr:col>1</xdr:col>
      <xdr:colOff>6261840</xdr:colOff>
      <xdr:row>81</xdr:row>
      <xdr:rowOff>13517</xdr:rowOff>
    </xdr:to>
    <xdr:pic>
      <xdr:nvPicPr>
        <xdr:cNvPr id="3" name="Imag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276420" y="15560627"/>
          <a:ext cx="6252120" cy="512040"/>
        </a:xfrm>
        <a:prstGeom prst="rect">
          <a:avLst/>
        </a:prstGeom>
        <a:ln w="0">
          <a:noFill/>
        </a:ln>
      </xdr:spPr>
    </xdr:pic>
    <xdr:clientData/>
  </xdr:twoCellAnchor>
  <xdr:twoCellAnchor editAs="absolute">
    <xdr:from>
      <xdr:col>1</xdr:col>
      <xdr:colOff>16200</xdr:colOff>
      <xdr:row>33</xdr:row>
      <xdr:rowOff>47087</xdr:rowOff>
    </xdr:from>
    <xdr:to>
      <xdr:col>1</xdr:col>
      <xdr:colOff>6635145</xdr:colOff>
      <xdr:row>60</xdr:row>
      <xdr:rowOff>152400</xdr:rowOff>
    </xdr:to>
    <xdr:pic>
      <xdr:nvPicPr>
        <xdr:cNvPr id="4" name="Image 1">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282900" y="6962237"/>
          <a:ext cx="6618945" cy="5248813"/>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99"/>
  <sheetViews>
    <sheetView zoomScaleNormal="100" workbookViewId="0">
      <selection activeCell="B5" sqref="B5"/>
    </sheetView>
  </sheetViews>
  <sheetFormatPr defaultColWidth="11.5703125" defaultRowHeight="15"/>
  <cols>
    <col min="1" max="1" width="4" customWidth="1"/>
    <col min="2" max="2" width="99.5703125" customWidth="1"/>
  </cols>
  <sheetData>
    <row r="1" spans="1:2">
      <c r="A1" s="1" t="s">
        <v>0</v>
      </c>
    </row>
    <row r="3" spans="1:2">
      <c r="A3" s="2" t="s">
        <v>1</v>
      </c>
      <c r="B3" s="3" t="s">
        <v>2</v>
      </c>
    </row>
    <row r="4" spans="1:2">
      <c r="A4" s="2" t="s">
        <v>3</v>
      </c>
      <c r="B4" s="3" t="s">
        <v>4</v>
      </c>
    </row>
    <row r="5" spans="1:2" ht="64.5" customHeight="1">
      <c r="A5" s="2" t="s">
        <v>5</v>
      </c>
      <c r="B5" s="4" t="s">
        <v>6</v>
      </c>
    </row>
    <row r="6" spans="1:2">
      <c r="A6" s="5"/>
      <c r="B6" s="6"/>
    </row>
    <row r="7" spans="1:2">
      <c r="A7" s="5"/>
      <c r="B7" s="6"/>
    </row>
    <row r="8" spans="1:2">
      <c r="A8" s="5"/>
      <c r="B8" s="6"/>
    </row>
    <row r="9" spans="1:2">
      <c r="A9" s="5"/>
    </row>
    <row r="10" spans="1:2">
      <c r="A10" s="1" t="s">
        <v>7</v>
      </c>
    </row>
    <row r="12" spans="1:2">
      <c r="A12" s="7" t="s">
        <v>8</v>
      </c>
      <c r="B12" t="s">
        <v>9</v>
      </c>
    </row>
    <row r="13" spans="1:2">
      <c r="A13" s="7"/>
      <c r="B13" t="s">
        <v>10</v>
      </c>
    </row>
    <row r="14" spans="1:2">
      <c r="A14" s="7"/>
      <c r="B14" t="s">
        <v>11</v>
      </c>
    </row>
    <row r="15" spans="1:2">
      <c r="A15" s="7"/>
    </row>
    <row r="16" spans="1:2">
      <c r="A16" s="7" t="s">
        <v>12</v>
      </c>
      <c r="B16" t="s">
        <v>13</v>
      </c>
    </row>
    <row r="17" spans="1:2">
      <c r="A17" s="7"/>
      <c r="B17" t="s">
        <v>14</v>
      </c>
    </row>
    <row r="18" spans="1:2">
      <c r="A18" s="7"/>
      <c r="B18" t="s">
        <v>15</v>
      </c>
    </row>
    <row r="19" spans="1:2">
      <c r="A19" s="7"/>
    </row>
    <row r="20" spans="1:2">
      <c r="A20" s="7" t="s">
        <v>16</v>
      </c>
      <c r="B20" t="s">
        <v>17</v>
      </c>
    </row>
    <row r="21" spans="1:2">
      <c r="A21" s="7"/>
      <c r="B21" t="s">
        <v>18</v>
      </c>
    </row>
    <row r="22" spans="1:2">
      <c r="A22" s="7"/>
      <c r="B22" t="s">
        <v>19</v>
      </c>
    </row>
    <row r="23" spans="1:2">
      <c r="A23" s="7"/>
    </row>
    <row r="24" spans="1:2">
      <c r="A24" s="7" t="s">
        <v>20</v>
      </c>
      <c r="B24" t="s">
        <v>21</v>
      </c>
    </row>
    <row r="25" spans="1:2">
      <c r="A25" s="7"/>
    </row>
    <row r="26" spans="1:2">
      <c r="A26" s="7" t="s">
        <v>22</v>
      </c>
      <c r="B26" t="s">
        <v>23</v>
      </c>
    </row>
    <row r="27" spans="1:2">
      <c r="A27" s="7"/>
      <c r="B27" t="s">
        <v>24</v>
      </c>
    </row>
    <row r="28" spans="1:2">
      <c r="A28" s="7"/>
      <c r="B28" t="s">
        <v>25</v>
      </c>
    </row>
    <row r="29" spans="1:2">
      <c r="A29" s="7"/>
    </row>
    <row r="30" spans="1:2">
      <c r="A30" s="7" t="s">
        <v>26</v>
      </c>
      <c r="B30" t="s">
        <v>27</v>
      </c>
    </row>
    <row r="31" spans="1:2">
      <c r="A31" s="7"/>
      <c r="B31" t="s">
        <v>28</v>
      </c>
    </row>
    <row r="32" spans="1:2">
      <c r="A32" s="7"/>
    </row>
    <row r="33" spans="1:2">
      <c r="A33" s="7" t="s">
        <v>29</v>
      </c>
      <c r="B33" t="s">
        <v>30</v>
      </c>
    </row>
    <row r="34" spans="1:2">
      <c r="A34" s="7"/>
    </row>
    <row r="35" spans="1:2">
      <c r="A35" s="7"/>
    </row>
    <row r="36" spans="1:2">
      <c r="A36" s="7"/>
    </row>
    <row r="37" spans="1:2">
      <c r="A37" s="7"/>
    </row>
    <row r="38" spans="1:2">
      <c r="A38" s="7"/>
    </row>
    <row r="39" spans="1:2">
      <c r="A39" s="7"/>
    </row>
    <row r="67" spans="1:2">
      <c r="A67" s="7" t="s">
        <v>31</v>
      </c>
      <c r="B67" t="s">
        <v>32</v>
      </c>
    </row>
    <row r="68" spans="1:2">
      <c r="A68" s="7"/>
      <c r="B68" t="s">
        <v>33</v>
      </c>
    </row>
    <row r="69" spans="1:2">
      <c r="A69" s="7"/>
      <c r="B69" t="s">
        <v>34</v>
      </c>
    </row>
    <row r="70" spans="1:2">
      <c r="A70" s="7"/>
    </row>
    <row r="71" spans="1:2">
      <c r="A71" s="7"/>
    </row>
    <row r="72" spans="1:2">
      <c r="A72" s="7"/>
    </row>
    <row r="73" spans="1:2">
      <c r="A73" s="7"/>
    </row>
    <row r="74" spans="1:2">
      <c r="A74" s="7"/>
    </row>
    <row r="75" spans="1:2">
      <c r="A75" s="7"/>
    </row>
    <row r="76" spans="1:2">
      <c r="A76" s="7" t="s">
        <v>35</v>
      </c>
      <c r="B76" t="s">
        <v>36</v>
      </c>
    </row>
    <row r="77" spans="1:2">
      <c r="A77" s="7"/>
      <c r="B77" t="s">
        <v>37</v>
      </c>
    </row>
    <row r="78" spans="1:2">
      <c r="A78" s="7"/>
      <c r="B78" t="s">
        <v>38</v>
      </c>
    </row>
    <row r="79" spans="1:2">
      <c r="A79" s="7"/>
    </row>
    <row r="80" spans="1:2">
      <c r="A80" s="7"/>
    </row>
    <row r="81" spans="1:2">
      <c r="A81" s="7"/>
    </row>
    <row r="83" spans="1:2">
      <c r="A83" s="7" t="s">
        <v>39</v>
      </c>
      <c r="B83" t="s">
        <v>40</v>
      </c>
    </row>
    <row r="84" spans="1:2">
      <c r="B84" t="s">
        <v>41</v>
      </c>
    </row>
    <row r="86" spans="1:2">
      <c r="A86" s="7" t="s">
        <v>42</v>
      </c>
      <c r="B86" t="s">
        <v>43</v>
      </c>
    </row>
    <row r="87" spans="1:2">
      <c r="A87" s="7"/>
      <c r="B87" t="s">
        <v>44</v>
      </c>
    </row>
    <row r="89" spans="1:2">
      <c r="A89" s="7" t="s">
        <v>45</v>
      </c>
      <c r="B89" t="s">
        <v>46</v>
      </c>
    </row>
    <row r="90" spans="1:2">
      <c r="B90" t="s">
        <v>47</v>
      </c>
    </row>
    <row r="91" spans="1:2">
      <c r="B91" t="s">
        <v>48</v>
      </c>
    </row>
    <row r="92" spans="1:2">
      <c r="B92" t="s">
        <v>49</v>
      </c>
    </row>
    <row r="93" spans="1:2">
      <c r="B93" t="s">
        <v>50</v>
      </c>
    </row>
    <row r="95" spans="1:2">
      <c r="A95" s="7" t="s">
        <v>51</v>
      </c>
      <c r="B95" t="s">
        <v>52</v>
      </c>
    </row>
    <row r="96" spans="1:2">
      <c r="B96" t="s">
        <v>53</v>
      </c>
    </row>
    <row r="97" spans="2:2">
      <c r="B97" t="s">
        <v>54</v>
      </c>
    </row>
    <row r="98" spans="2:2">
      <c r="B98" t="s">
        <v>55</v>
      </c>
    </row>
    <row r="99" spans="2:2">
      <c r="B99" t="s">
        <v>56</v>
      </c>
    </row>
  </sheetData>
  <printOptions verticalCentered="1"/>
  <pageMargins left="1.4173228346456694" right="0.78740157480314965" top="0.78740157480314965" bottom="0.78740157480314965" header="0.51181102362204722" footer="0.51181102362204722"/>
  <pageSetup paperSize="9" scale="74" firstPageNumber="0" fitToHeight="2"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79"/>
  <sheetViews>
    <sheetView tabSelected="1" topLeftCell="A6" zoomScale="140" zoomScaleNormal="140" workbookViewId="0">
      <selection activeCell="I6" sqref="I6"/>
    </sheetView>
  </sheetViews>
  <sheetFormatPr defaultColWidth="11.5703125" defaultRowHeight="15"/>
  <cols>
    <col min="1" max="1" width="9.28515625" customWidth="1"/>
    <col min="2" max="2" width="8.140625" customWidth="1"/>
    <col min="3" max="3" width="9.140625" customWidth="1"/>
    <col min="4" max="5" width="7.140625" customWidth="1"/>
    <col min="6" max="6" width="8.85546875" customWidth="1"/>
    <col min="7" max="7" width="7.140625" customWidth="1"/>
    <col min="8" max="8" width="7.28515625" customWidth="1"/>
    <col min="9" max="9" width="10.140625" customWidth="1"/>
    <col min="10" max="10" width="2" customWidth="1"/>
    <col min="12" max="12" width="9.140625" customWidth="1"/>
    <col min="17" max="17" width="6.42578125" customWidth="1"/>
  </cols>
  <sheetData>
    <row r="1" spans="1:27">
      <c r="A1" s="6" t="s">
        <v>205</v>
      </c>
      <c r="B1" s="6"/>
      <c r="C1" s="6"/>
      <c r="D1" s="6"/>
      <c r="E1" s="6"/>
      <c r="F1" s="6"/>
      <c r="G1" s="6"/>
      <c r="H1" s="6"/>
      <c r="I1" s="6"/>
      <c r="J1" s="6" t="s">
        <v>57</v>
      </c>
      <c r="K1" s="6"/>
      <c r="L1" s="6"/>
      <c r="M1" s="6"/>
      <c r="N1" s="6"/>
      <c r="O1" s="6"/>
      <c r="P1" s="6"/>
      <c r="Q1" s="6"/>
      <c r="R1" s="6"/>
      <c r="S1" s="6"/>
      <c r="T1" s="6"/>
      <c r="U1" s="6"/>
      <c r="V1" s="6"/>
      <c r="W1" s="6"/>
      <c r="X1" s="6"/>
      <c r="Y1" s="6"/>
      <c r="Z1" s="6"/>
      <c r="AA1" s="6"/>
    </row>
    <row r="2" spans="1:27">
      <c r="A2" s="6" t="s">
        <v>206</v>
      </c>
      <c r="B2" s="6"/>
      <c r="C2" s="6"/>
      <c r="D2" s="6"/>
      <c r="E2" s="6"/>
      <c r="F2" s="6"/>
      <c r="G2" s="6"/>
      <c r="H2" s="6"/>
      <c r="I2" s="6"/>
      <c r="J2" s="6"/>
      <c r="K2" s="6"/>
      <c r="L2" s="6"/>
      <c r="M2" s="6"/>
      <c r="N2" s="6"/>
      <c r="O2" s="6"/>
      <c r="P2" s="6"/>
      <c r="Q2" s="6"/>
      <c r="R2" s="6"/>
      <c r="S2" s="6"/>
      <c r="T2" s="6"/>
      <c r="U2" s="6"/>
      <c r="V2" s="6"/>
      <c r="W2" s="6"/>
      <c r="X2" s="6"/>
      <c r="Y2" s="6"/>
      <c r="Z2" s="6"/>
      <c r="AA2" s="6"/>
    </row>
    <row r="3" spans="1:27">
      <c r="A3" s="6" t="s">
        <v>58</v>
      </c>
      <c r="B3" s="6"/>
      <c r="C3" s="6"/>
      <c r="D3" s="6"/>
      <c r="E3" s="6"/>
      <c r="F3" s="6"/>
      <c r="G3" s="6"/>
      <c r="H3" s="6"/>
      <c r="I3" s="6"/>
      <c r="J3" s="6"/>
      <c r="K3" s="6"/>
      <c r="L3" s="6"/>
      <c r="M3" s="6"/>
      <c r="N3" s="6"/>
      <c r="O3" s="6"/>
      <c r="P3" s="6"/>
      <c r="Q3" s="6"/>
      <c r="R3" s="6"/>
      <c r="S3" s="6"/>
      <c r="T3" s="6"/>
      <c r="U3" s="6"/>
      <c r="V3" s="6"/>
      <c r="W3" s="6"/>
      <c r="X3" s="6"/>
      <c r="Y3" s="6"/>
      <c r="Z3" s="6"/>
      <c r="AA3" s="6"/>
    </row>
    <row r="4" spans="1:27">
      <c r="A4" s="6" t="s">
        <v>59</v>
      </c>
      <c r="B4" s="6"/>
      <c r="C4" s="6"/>
      <c r="D4" s="6"/>
      <c r="E4" s="6"/>
      <c r="F4" s="6"/>
      <c r="G4" s="6"/>
      <c r="H4" s="6"/>
      <c r="I4" s="6"/>
      <c r="J4" s="6"/>
      <c r="K4" s="6"/>
      <c r="L4" s="6"/>
      <c r="M4" s="6"/>
      <c r="N4" s="6"/>
      <c r="O4" s="6"/>
      <c r="P4" s="6"/>
      <c r="Q4" s="6"/>
      <c r="R4" s="6"/>
      <c r="S4" s="6"/>
      <c r="T4" s="6"/>
      <c r="U4" s="6"/>
      <c r="V4" s="6"/>
      <c r="W4" s="6"/>
      <c r="X4" s="6"/>
      <c r="Y4" s="6"/>
      <c r="Z4" s="6"/>
      <c r="AA4" s="6"/>
    </row>
    <row r="5" spans="1:27">
      <c r="A5" s="6" t="s">
        <v>60</v>
      </c>
      <c r="B5" s="6"/>
      <c r="C5" s="6"/>
      <c r="D5" s="6"/>
      <c r="E5" s="6"/>
      <c r="F5" s="6"/>
      <c r="G5" s="6"/>
      <c r="H5" s="6"/>
      <c r="I5" s="6"/>
      <c r="J5" s="6"/>
      <c r="K5" s="6"/>
      <c r="L5" s="6"/>
      <c r="M5" s="6"/>
      <c r="N5" s="6"/>
      <c r="O5" s="6"/>
      <c r="P5" s="6"/>
      <c r="Q5" s="6"/>
      <c r="R5" s="6"/>
      <c r="S5" s="6"/>
      <c r="T5" s="6"/>
      <c r="U5" s="6"/>
      <c r="V5" s="6"/>
      <c r="W5" s="6"/>
      <c r="X5" s="6"/>
      <c r="Y5" s="6"/>
      <c r="Z5" s="6"/>
      <c r="AA5" s="6"/>
    </row>
    <row r="6" spans="1:27">
      <c r="A6" s="8" t="s">
        <v>61</v>
      </c>
      <c r="B6" s="8"/>
      <c r="C6" s="6"/>
      <c r="D6" s="6"/>
      <c r="E6" s="6"/>
      <c r="F6" s="6"/>
      <c r="G6" s="6"/>
      <c r="H6" s="6"/>
      <c r="I6" s="9" t="str">
        <f ca="1">N179</f>
        <v>[slug-flow-quadratic-020.xlsx]quadratics</v>
      </c>
      <c r="J6" s="9"/>
      <c r="K6" s="6"/>
      <c r="L6" s="6"/>
      <c r="M6" s="6"/>
      <c r="N6" s="6"/>
      <c r="O6" s="6"/>
      <c r="P6" s="6"/>
      <c r="Q6" s="6"/>
      <c r="R6" s="6"/>
      <c r="S6" s="6"/>
      <c r="T6" s="6"/>
      <c r="U6" s="6"/>
      <c r="V6" s="6"/>
      <c r="W6" s="6"/>
      <c r="X6" s="6"/>
      <c r="Y6" s="6"/>
    </row>
    <row r="7" spans="1:27">
      <c r="A7" s="70" t="s">
        <v>62</v>
      </c>
      <c r="B7" s="71"/>
      <c r="C7" s="71"/>
      <c r="D7" s="71"/>
      <c r="E7" s="71"/>
      <c r="F7" s="71"/>
      <c r="G7" s="71"/>
      <c r="H7" s="71"/>
      <c r="I7" s="72"/>
      <c r="J7" s="10"/>
      <c r="K7" s="11" t="s">
        <v>63</v>
      </c>
      <c r="L7" s="12"/>
      <c r="M7" s="12"/>
      <c r="N7" s="12"/>
      <c r="O7" s="12"/>
      <c r="P7" s="12"/>
      <c r="Q7" s="13"/>
      <c r="R7" s="6"/>
      <c r="S7" s="6"/>
      <c r="T7" s="6"/>
      <c r="U7" s="6"/>
      <c r="V7" s="6"/>
      <c r="W7" s="6"/>
      <c r="X7" s="6"/>
      <c r="Y7" s="6"/>
    </row>
    <row r="8" spans="1:27">
      <c r="A8" s="73" t="s">
        <v>64</v>
      </c>
      <c r="B8" s="14"/>
      <c r="C8" s="14"/>
      <c r="D8" s="14"/>
      <c r="E8" s="14"/>
      <c r="F8" s="14"/>
      <c r="G8" s="14"/>
      <c r="H8" s="14"/>
      <c r="I8" s="74"/>
      <c r="J8" s="10"/>
      <c r="K8" s="15" t="s">
        <v>65</v>
      </c>
      <c r="L8" s="16">
        <f>$C$18*$C$14*$C$16/$C$15 / IF($C$17="Darcy", 4, IF($C$17="Fanning", 1, NA()))</f>
        <v>1.1519999999999999</v>
      </c>
      <c r="M8" s="17" t="s">
        <v>66</v>
      </c>
      <c r="N8" s="6"/>
      <c r="O8" s="6"/>
      <c r="P8" s="6"/>
      <c r="Q8" s="18"/>
      <c r="R8" s="6"/>
      <c r="S8" s="6"/>
      <c r="T8" s="6"/>
      <c r="U8" s="6"/>
      <c r="V8" s="6"/>
      <c r="W8" s="6"/>
      <c r="X8" s="6"/>
      <c r="Y8" s="6"/>
    </row>
    <row r="9" spans="1:27">
      <c r="A9" s="73"/>
      <c r="B9" s="14"/>
      <c r="C9" s="14"/>
      <c r="D9" s="14"/>
      <c r="E9" s="14"/>
      <c r="F9" s="14"/>
      <c r="G9" s="14"/>
      <c r="H9" s="14"/>
      <c r="I9" s="74"/>
      <c r="J9" s="10"/>
      <c r="K9" s="15" t="s">
        <v>67</v>
      </c>
      <c r="L9" s="16">
        <f>IF($H$14=0, H15, H15 / $H$14)</f>
        <v>170</v>
      </c>
      <c r="M9" s="17" t="s">
        <v>68</v>
      </c>
      <c r="N9" s="6"/>
      <c r="O9" s="6"/>
      <c r="P9" s="6"/>
      <c r="Q9" s="18"/>
      <c r="R9" s="6"/>
      <c r="S9" s="6"/>
      <c r="T9" s="6"/>
      <c r="U9" s="6"/>
      <c r="V9" s="6"/>
      <c r="W9" s="6"/>
      <c r="X9" s="6"/>
      <c r="Y9" s="6"/>
    </row>
    <row r="10" spans="1:27">
      <c r="A10" s="73"/>
      <c r="B10" s="14"/>
      <c r="C10" s="14"/>
      <c r="D10" s="14"/>
      <c r="E10" s="14"/>
      <c r="F10" s="14"/>
      <c r="G10" s="14"/>
      <c r="H10" s="14"/>
      <c r="I10" s="74"/>
      <c r="J10" s="10"/>
      <c r="K10" s="15" t="s">
        <v>69</v>
      </c>
      <c r="L10" s="16">
        <f>IF($H$14=0, H16, H16 / $H$14)</f>
        <v>30</v>
      </c>
      <c r="M10" s="17" t="s">
        <v>68</v>
      </c>
      <c r="N10" s="6"/>
      <c r="O10" s="6"/>
      <c r="P10" s="6"/>
      <c r="Q10" s="18"/>
      <c r="R10" s="6"/>
      <c r="S10" s="6"/>
      <c r="T10" s="6"/>
      <c r="U10" s="6"/>
      <c r="V10" s="6"/>
      <c r="W10" s="6"/>
      <c r="X10" s="6"/>
      <c r="Y10" s="6"/>
    </row>
    <row r="11" spans="1:27">
      <c r="A11" s="75"/>
      <c r="B11" s="76"/>
      <c r="C11" s="76"/>
      <c r="D11" s="76"/>
      <c r="E11" s="76"/>
      <c r="F11" s="76"/>
      <c r="G11" s="76"/>
      <c r="H11" s="76"/>
      <c r="I11" s="77"/>
      <c r="J11" s="10"/>
      <c r="K11" s="15" t="s">
        <v>70</v>
      </c>
      <c r="L11" s="16">
        <f>IF($H$14=0, H17, H17 / $H$14)</f>
        <v>40</v>
      </c>
      <c r="M11" s="17" t="s">
        <v>68</v>
      </c>
      <c r="N11" s="6"/>
      <c r="O11" s="6"/>
      <c r="P11" s="6"/>
      <c r="Q11" s="18"/>
      <c r="R11" s="6"/>
      <c r="S11" s="6"/>
      <c r="T11" s="6"/>
      <c r="U11" s="6"/>
      <c r="V11" s="6"/>
      <c r="W11" s="6"/>
      <c r="X11" s="6"/>
      <c r="Y11" s="6"/>
    </row>
    <row r="12" spans="1:27">
      <c r="A12" s="6"/>
      <c r="B12" s="6"/>
      <c r="C12" s="6"/>
      <c r="D12" s="6"/>
      <c r="E12" s="6"/>
      <c r="F12" s="6"/>
      <c r="G12" s="6"/>
      <c r="H12" s="6"/>
      <c r="I12" s="6"/>
      <c r="J12" s="6"/>
      <c r="K12" s="15" t="s">
        <v>71</v>
      </c>
      <c r="L12" s="16">
        <f>$H$18 * $H$19 * $L$9 * $C$14/(1000 * $C$15 * IF($H$24 = "N", 1, (1 - $H$18/$C$15)^2) )</f>
        <v>0.59027777777777779</v>
      </c>
      <c r="M12" s="17" t="s">
        <v>66</v>
      </c>
      <c r="N12" s="6"/>
      <c r="O12" s="7" t="s">
        <v>72</v>
      </c>
      <c r="P12" s="19">
        <f>IF($U$22, $C$19 + $C$20 + $L$8, "Dud geom")</f>
        <v>2.6520000000000001</v>
      </c>
      <c r="Q12" s="20" t="s">
        <v>66</v>
      </c>
      <c r="R12" s="11" t="s">
        <v>73</v>
      </c>
      <c r="S12" s="12"/>
      <c r="T12" s="21"/>
      <c r="U12" s="12"/>
      <c r="V12" s="12"/>
      <c r="W12" s="12"/>
      <c r="X12" s="12"/>
      <c r="Y12" s="13"/>
    </row>
    <row r="13" spans="1:27">
      <c r="A13" s="6"/>
      <c r="B13" s="6"/>
      <c r="C13" s="22" t="s">
        <v>74</v>
      </c>
      <c r="D13" s="22"/>
      <c r="E13" s="6"/>
      <c r="F13" s="6"/>
      <c r="G13" s="6"/>
      <c r="H13" s="22" t="s">
        <v>75</v>
      </c>
      <c r="I13" s="6"/>
      <c r="J13" s="6"/>
      <c r="K13" s="15" t="s">
        <v>76</v>
      </c>
      <c r="L13" s="16">
        <f>$H$20 * $H$21 * $L$10 * $C$14/(1000 * $C$15 * IF($H$24 = "N", 1, (1 - $H$20/$C$15)^2) )</f>
        <v>0.5103969754253308</v>
      </c>
      <c r="M13" s="17" t="s">
        <v>66</v>
      </c>
      <c r="N13" s="6"/>
      <c r="O13" s="7" t="s">
        <v>77</v>
      </c>
      <c r="P13" s="19">
        <f>IF($U$26, ($C$25 - $C$24)/0.6, "Dud wind")</f>
        <v>16.666666666666668</v>
      </c>
      <c r="Q13" s="20" t="s">
        <v>78</v>
      </c>
      <c r="R13" s="23"/>
      <c r="S13" s="6"/>
      <c r="T13" s="24" t="s">
        <v>79</v>
      </c>
      <c r="U13" s="6"/>
      <c r="V13" s="6"/>
      <c r="W13" s="6"/>
      <c r="X13" s="24" t="s">
        <v>80</v>
      </c>
      <c r="Y13" s="18"/>
    </row>
    <row r="14" spans="1:27">
      <c r="A14" s="25"/>
      <c r="B14" s="26" t="s">
        <v>81</v>
      </c>
      <c r="C14" s="27">
        <v>200</v>
      </c>
      <c r="D14" s="25" t="s">
        <v>82</v>
      </c>
      <c r="E14" s="6"/>
      <c r="F14" s="6"/>
      <c r="G14" s="26" t="s">
        <v>83</v>
      </c>
      <c r="H14" s="27">
        <v>10</v>
      </c>
      <c r="I14" s="25" t="s">
        <v>84</v>
      </c>
      <c r="J14" s="25"/>
      <c r="K14" s="15" t="s">
        <v>85</v>
      </c>
      <c r="L14" s="16">
        <f>$H$22 * $H$23 * $L$11 * $C$14/(1000 * $C$15 * IF($H$24 = "N", 1, (1 - $H$22/$C$15)^2) )</f>
        <v>0.99173553719008278</v>
      </c>
      <c r="M14" s="17" t="s">
        <v>66</v>
      </c>
      <c r="N14" s="6"/>
      <c r="O14" s="7" t="s">
        <v>86</v>
      </c>
      <c r="P14" s="19">
        <f>IF($Y$25,SUM($L$12:$L$14), "Dud traffic")</f>
        <v>2.0924102903931914</v>
      </c>
      <c r="Q14" s="20" t="s">
        <v>66</v>
      </c>
      <c r="R14" s="23"/>
      <c r="S14" s="6"/>
      <c r="T14" s="28" t="s">
        <v>87</v>
      </c>
      <c r="U14" s="29" t="b">
        <f>AND(ISNUMBER(C14), C14 &gt;= 0)</f>
        <v>1</v>
      </c>
      <c r="V14" s="6"/>
      <c r="W14" s="6"/>
      <c r="X14" s="30" t="s">
        <v>88</v>
      </c>
      <c r="Y14" s="31" t="b">
        <f>AND(ISNUMBER(H14), H14 &gt;= 0)</f>
        <v>1</v>
      </c>
    </row>
    <row r="15" spans="1:27">
      <c r="A15" s="25"/>
      <c r="B15" s="26" t="s">
        <v>89</v>
      </c>
      <c r="C15" s="27">
        <v>50</v>
      </c>
      <c r="D15" s="25" t="s">
        <v>90</v>
      </c>
      <c r="E15" s="6"/>
      <c r="F15" s="6"/>
      <c r="G15" s="26" t="str">
        <f>IFERROR(IF($H$14=0, "Car density", "Car flowrate"),"Dud traffic speed")</f>
        <v>Car flowrate</v>
      </c>
      <c r="H15" s="27">
        <v>1700</v>
      </c>
      <c r="I15" s="25" t="str">
        <f>IFERROR(IF($H$14=0, "cars/km", "cars/hr"),"—")</f>
        <v>cars/hr</v>
      </c>
      <c r="J15" s="25"/>
      <c r="K15" s="15" t="s">
        <v>91</v>
      </c>
      <c r="L15" s="16">
        <f>H14 / 3.6</f>
        <v>2.7777777777777777</v>
      </c>
      <c r="M15" s="17" t="s">
        <v>92</v>
      </c>
      <c r="N15" s="6"/>
      <c r="O15" s="7" t="s">
        <v>93</v>
      </c>
      <c r="P15" s="19">
        <f>IF($U$32, $C$28 * $C$29 * $C$31 / (0.6 * ABS($C$30) * $C$15), "Dud jet fans")</f>
        <v>0.60833333333333328</v>
      </c>
      <c r="Q15" s="20" t="s">
        <v>92</v>
      </c>
      <c r="R15" s="23"/>
      <c r="S15" s="6"/>
      <c r="T15" s="28" t="s">
        <v>94</v>
      </c>
      <c r="U15" s="29" t="b">
        <f>AND(ISNUMBER(C15), C15 &gt; 0)</f>
        <v>1</v>
      </c>
      <c r="V15" s="6"/>
      <c r="W15" s="6"/>
      <c r="X15" s="30" t="s">
        <v>95</v>
      </c>
      <c r="Y15" s="31" t="b">
        <f>AND(ISNUMBER(H15), H15 &gt;= 0)</f>
        <v>1</v>
      </c>
    </row>
    <row r="16" spans="1:27">
      <c r="A16" s="25"/>
      <c r="B16" s="26" t="s">
        <v>96</v>
      </c>
      <c r="C16" s="27">
        <v>32</v>
      </c>
      <c r="D16" s="25" t="s">
        <v>82</v>
      </c>
      <c r="E16" s="6"/>
      <c r="F16" s="6"/>
      <c r="G16" s="26" t="str">
        <f>IFERROR(IF($H$14=0, "LCV density", "LCV flowrate"),"Dud traffic speed")</f>
        <v>LCV flowrate</v>
      </c>
      <c r="H16" s="27">
        <v>300</v>
      </c>
      <c r="I16" s="25" t="str">
        <f>IFERROR(IF($H$14=0, "LCVs/km", "LCVs/hr"),"—")</f>
        <v>LCVs/hr</v>
      </c>
      <c r="J16" s="25"/>
      <c r="K16" s="32"/>
      <c r="L16" s="33" t="s">
        <v>97</v>
      </c>
      <c r="M16" s="12"/>
      <c r="N16" s="12"/>
      <c r="O16" s="12"/>
      <c r="P16" s="33" t="s">
        <v>98</v>
      </c>
      <c r="Q16" s="13"/>
      <c r="R16" s="23"/>
      <c r="S16" s="6"/>
      <c r="T16" s="28" t="s">
        <v>99</v>
      </c>
      <c r="U16" s="29" t="b">
        <f>AND(ISNUMBER(C16), C16 &gt; 0)</f>
        <v>1</v>
      </c>
      <c r="V16" s="6"/>
      <c r="W16" s="6"/>
      <c r="X16" s="30" t="s">
        <v>100</v>
      </c>
      <c r="Y16" s="31" t="b">
        <f>AND(ISNUMBER(H16), H16 &gt;= 0)</f>
        <v>1</v>
      </c>
    </row>
    <row r="17" spans="1:29">
      <c r="A17" s="25"/>
      <c r="B17" s="26" t="str">
        <f>IF(C17="Darcy", "Friction type", IF(C17="Fanning", "Friction type", "Dud friction type &gt;"))</f>
        <v>Friction type</v>
      </c>
      <c r="C17" s="34" t="s">
        <v>101</v>
      </c>
      <c r="D17" s="25" t="s">
        <v>102</v>
      </c>
      <c r="E17" s="6"/>
      <c r="F17" s="6"/>
      <c r="G17" s="26" t="str">
        <f>IFERROR(IF($H$14=0, "HGV density", "HGV flowrate"),"Dud traffic speed")</f>
        <v>HGV flowrate</v>
      </c>
      <c r="H17" s="27">
        <v>400</v>
      </c>
      <c r="I17" s="25" t="str">
        <f>IFERROR(IF($H$14=0, "HGVs/km", "HGVs/hr"),"—")</f>
        <v>HGVs/hr</v>
      </c>
      <c r="J17" s="25"/>
      <c r="K17" s="15" t="s">
        <v>103</v>
      </c>
      <c r="L17" s="16">
        <f>-$P$12 - $P$14</f>
        <v>-4.7444102903931915</v>
      </c>
      <c r="M17" s="25" t="s">
        <v>66</v>
      </c>
      <c r="N17" s="6"/>
      <c r="O17" s="7" t="s">
        <v>104</v>
      </c>
      <c r="P17" s="35">
        <f>IF($U$22, -($C$19+$C$20+$L$8) * 0.6 * L21*ABS(L21),$W$34)</f>
        <v>0</v>
      </c>
      <c r="Q17" s="20" t="s">
        <v>105</v>
      </c>
      <c r="R17" s="23"/>
      <c r="S17" s="6"/>
      <c r="T17" s="7"/>
      <c r="U17" s="7"/>
      <c r="V17" s="6"/>
      <c r="W17" s="6"/>
      <c r="X17" s="30" t="s">
        <v>106</v>
      </c>
      <c r="Y17" s="31" t="b">
        <f>AND(ISNUMBER(H17), H17 &gt;= 0)</f>
        <v>1</v>
      </c>
    </row>
    <row r="18" spans="1:29">
      <c r="A18" s="25"/>
      <c r="B18" s="26" t="str">
        <f>IF(C17="Darcy", "Darcy fricfac λ", IF(C17="Fanning", "Fanning fricfac c_f", "Dud friction type ^"))</f>
        <v>Darcy fricfac λ</v>
      </c>
      <c r="C18" s="27">
        <v>3.5999999999999997E-2</v>
      </c>
      <c r="D18" s="25" t="s">
        <v>66</v>
      </c>
      <c r="E18" s="6"/>
      <c r="F18" s="6"/>
      <c r="G18" s="26" t="s">
        <v>107</v>
      </c>
      <c r="H18" s="27">
        <v>2</v>
      </c>
      <c r="I18" s="25" t="s">
        <v>90</v>
      </c>
      <c r="J18" s="25"/>
      <c r="K18" s="15" t="s">
        <v>108</v>
      </c>
      <c r="L18" s="36">
        <f>2 * $P$14 * $L$15 - $P$15</f>
        <v>11.016168279962175</v>
      </c>
      <c r="M18" s="25" t="s">
        <v>92</v>
      </c>
      <c r="N18" s="6"/>
      <c r="O18" s="7" t="s">
        <v>109</v>
      </c>
      <c r="P18" s="35">
        <f>IF($U$22, $C$24 - $C$25, $W$34)</f>
        <v>-10</v>
      </c>
      <c r="Q18" s="20" t="s">
        <v>105</v>
      </c>
      <c r="R18" s="23"/>
      <c r="S18" s="6"/>
      <c r="T18" s="28" t="s">
        <v>110</v>
      </c>
      <c r="U18" s="29" t="b">
        <f>OR(C17 = "Fanning", C17 = "Darcy")</f>
        <v>1</v>
      </c>
      <c r="V18" s="6"/>
      <c r="W18" s="6"/>
      <c r="X18" s="30" t="s">
        <v>111</v>
      </c>
      <c r="Y18" s="31" t="b">
        <f t="shared" ref="Y18:Y23" si="0">AND(ISNUMBER(H18), H18 &gt; 0)</f>
        <v>1</v>
      </c>
    </row>
    <row r="19" spans="1:29">
      <c r="A19" s="25"/>
      <c r="B19" s="26" t="s">
        <v>112</v>
      </c>
      <c r="C19" s="27">
        <v>0.5</v>
      </c>
      <c r="D19" s="25" t="s">
        <v>66</v>
      </c>
      <c r="E19" s="6"/>
      <c r="F19" s="6"/>
      <c r="G19" s="26" t="s">
        <v>113</v>
      </c>
      <c r="H19" s="27">
        <v>0.4</v>
      </c>
      <c r="I19" s="25" t="s">
        <v>66</v>
      </c>
      <c r="J19" s="25"/>
      <c r="K19" s="15" t="s">
        <v>114</v>
      </c>
      <c r="L19" s="36">
        <f>-$P$14 * $L$15^2 + $P$15 * $C$30 - $P$13</f>
        <v>-14.561807796243762</v>
      </c>
      <c r="M19" s="25" t="s">
        <v>78</v>
      </c>
      <c r="N19" s="6"/>
      <c r="O19" s="7" t="s">
        <v>115</v>
      </c>
      <c r="P19" s="35">
        <f>IF($U$22, 0.6 * $C$14/1000*($L$9*$H$18*$H$19*IF($H$24="N",1,1/(1-$H$18/$C$15)^2) + $L$10*$H$20*$H$21*IF($H$24="N",1,1/(1-$H$20/$C$15)^2) + $L$11*$H$22*$H$23*IF($H$24="N",1,1/(1-$H$22/$C$15)^2))/$C$15 * ($L$15 - L21) * ABS($L$15 - L21), $W$34)</f>
        <v>9.6870846777462543</v>
      </c>
      <c r="Q19" s="20" t="s">
        <v>105</v>
      </c>
      <c r="R19" s="23"/>
      <c r="S19" s="6"/>
      <c r="T19" s="28" t="s">
        <v>116</v>
      </c>
      <c r="U19" s="29" t="b">
        <f>AND(ISNUMBER(C18), C18 &gt;= 0)</f>
        <v>1</v>
      </c>
      <c r="V19" s="6"/>
      <c r="W19" s="6"/>
      <c r="X19" s="30" t="s">
        <v>117</v>
      </c>
      <c r="Y19" s="31" t="b">
        <f t="shared" si="0"/>
        <v>1</v>
      </c>
    </row>
    <row r="20" spans="1:29">
      <c r="A20" s="25"/>
      <c r="B20" s="26" t="s">
        <v>118</v>
      </c>
      <c r="C20" s="27">
        <v>1</v>
      </c>
      <c r="D20" s="25" t="s">
        <v>66</v>
      </c>
      <c r="E20" s="6"/>
      <c r="F20" s="6"/>
      <c r="G20" s="26" t="s">
        <v>119</v>
      </c>
      <c r="H20" s="27">
        <v>4</v>
      </c>
      <c r="I20" s="25" t="s">
        <v>90</v>
      </c>
      <c r="J20" s="25"/>
      <c r="K20" s="15" t="s">
        <v>120</v>
      </c>
      <c r="L20" s="6">
        <f>L18^2 - 4*L17*L19</f>
        <v>-154.99279944846208</v>
      </c>
      <c r="M20" s="25" t="s">
        <v>92</v>
      </c>
      <c r="N20" s="37"/>
      <c r="O20" s="7" t="s">
        <v>121</v>
      </c>
      <c r="P20" s="35">
        <f>IF($U$22, SIGN($C$30)*$C$28*$C$29*$C$31*(1 - L21/$C$30)/$C$15, $W$34)</f>
        <v>10.95</v>
      </c>
      <c r="Q20" s="20" t="s">
        <v>105</v>
      </c>
      <c r="R20" s="23"/>
      <c r="S20" s="6"/>
      <c r="T20" s="28" t="s">
        <v>122</v>
      </c>
      <c r="U20" s="29" t="b">
        <f>AND(ISNUMBER(C19), C19 &gt;= 0)</f>
        <v>1</v>
      </c>
      <c r="V20" s="6"/>
      <c r="W20" s="6"/>
      <c r="X20" s="30" t="s">
        <v>123</v>
      </c>
      <c r="Y20" s="31" t="b">
        <f t="shared" si="0"/>
        <v>1</v>
      </c>
    </row>
    <row r="21" spans="1:29">
      <c r="A21" s="25"/>
      <c r="B21" s="38" t="s">
        <v>124</v>
      </c>
      <c r="C21" s="39">
        <f>IFERROR(4 * C15/C16, "—")</f>
        <v>6.25</v>
      </c>
      <c r="D21" s="25" t="s">
        <v>82</v>
      </c>
      <c r="E21" s="6"/>
      <c r="F21" s="6"/>
      <c r="G21" s="26" t="s">
        <v>125</v>
      </c>
      <c r="H21" s="27">
        <v>0.9</v>
      </c>
      <c r="I21" s="25" t="s">
        <v>66</v>
      </c>
      <c r="J21" s="25"/>
      <c r="K21" s="15" t="s">
        <v>126</v>
      </c>
      <c r="L21" s="40">
        <f>IFERROR((-L18 - SQRT(L20)) / (2 * L17), 0)</f>
        <v>0</v>
      </c>
      <c r="M21" s="25" t="s">
        <v>92</v>
      </c>
      <c r="N21" s="37"/>
      <c r="O21" s="7" t="s">
        <v>127</v>
      </c>
      <c r="P21" s="41">
        <f>IFERROR(SUM(P17:P20), 42)</f>
        <v>10.637084677746254</v>
      </c>
      <c r="Q21" s="20" t="s">
        <v>105</v>
      </c>
      <c r="R21" s="23"/>
      <c r="S21" s="6"/>
      <c r="T21" s="28" t="s">
        <v>128</v>
      </c>
      <c r="U21" s="29" t="b">
        <f>AND(ISNUMBER(C20), C20 &gt;= 0)</f>
        <v>1</v>
      </c>
      <c r="V21" s="6"/>
      <c r="W21" s="6"/>
      <c r="X21" s="30" t="s">
        <v>129</v>
      </c>
      <c r="Y21" s="31" t="b">
        <f t="shared" si="0"/>
        <v>1</v>
      </c>
    </row>
    <row r="22" spans="1:29">
      <c r="A22" s="6"/>
      <c r="B22" s="6"/>
      <c r="C22" s="6"/>
      <c r="D22" s="6"/>
      <c r="E22" s="6"/>
      <c r="F22" s="6"/>
      <c r="G22" s="26" t="s">
        <v>130</v>
      </c>
      <c r="H22" s="27">
        <v>6</v>
      </c>
      <c r="I22" s="25" t="s">
        <v>90</v>
      </c>
      <c r="J22" s="25"/>
      <c r="K22" s="42"/>
      <c r="L22" s="43"/>
      <c r="M22" s="43"/>
      <c r="N22" s="44"/>
      <c r="O22" s="45" t="s">
        <v>131</v>
      </c>
      <c r="P22" s="46" t="b">
        <f>ABS(P21) &lt; 0.00000001</f>
        <v>0</v>
      </c>
      <c r="Q22" s="47"/>
      <c r="R22" s="23"/>
      <c r="S22" s="6"/>
      <c r="T22" s="28" t="s">
        <v>132</v>
      </c>
      <c r="U22" s="48" t="b">
        <f>IFERROR(AND(U14:U21),0)</f>
        <v>1</v>
      </c>
      <c r="V22" s="6"/>
      <c r="W22" s="6"/>
      <c r="X22" s="30" t="s">
        <v>133</v>
      </c>
      <c r="Y22" s="31" t="b">
        <f t="shared" si="0"/>
        <v>1</v>
      </c>
    </row>
    <row r="23" spans="1:29">
      <c r="A23" s="6"/>
      <c r="B23" s="6"/>
      <c r="C23" s="22" t="s">
        <v>134</v>
      </c>
      <c r="D23" s="6"/>
      <c r="E23" s="6"/>
      <c r="F23" s="6"/>
      <c r="G23" s="26" t="s">
        <v>135</v>
      </c>
      <c r="H23" s="27">
        <v>0.8</v>
      </c>
      <c r="I23" s="25" t="s">
        <v>66</v>
      </c>
      <c r="J23" s="25"/>
      <c r="K23" s="23"/>
      <c r="L23" s="22" t="s">
        <v>136</v>
      </c>
      <c r="M23" s="6"/>
      <c r="N23" s="37"/>
      <c r="O23" s="6"/>
      <c r="P23" s="22" t="s">
        <v>98</v>
      </c>
      <c r="Q23" s="18"/>
      <c r="R23" s="23"/>
      <c r="S23" s="6"/>
      <c r="T23" s="24" t="s">
        <v>137</v>
      </c>
      <c r="U23" s="7"/>
      <c r="V23" s="6"/>
      <c r="W23" s="6"/>
      <c r="X23" s="30" t="s">
        <v>138</v>
      </c>
      <c r="Y23" s="31" t="b">
        <f t="shared" si="0"/>
        <v>1</v>
      </c>
    </row>
    <row r="24" spans="1:29">
      <c r="A24" s="6"/>
      <c r="B24" s="26" t="s">
        <v>139</v>
      </c>
      <c r="C24" s="27">
        <v>0</v>
      </c>
      <c r="D24" s="25" t="s">
        <v>105</v>
      </c>
      <c r="E24" s="6"/>
      <c r="F24" s="6"/>
      <c r="G24" s="26" t="s">
        <v>140</v>
      </c>
      <c r="H24" s="34" t="s">
        <v>141</v>
      </c>
      <c r="I24" s="49" t="s">
        <v>142</v>
      </c>
      <c r="J24" s="49"/>
      <c r="K24" s="15" t="s">
        <v>103</v>
      </c>
      <c r="L24" s="16">
        <f>-$P$12 + $P$14</f>
        <v>-0.55958970960680876</v>
      </c>
      <c r="M24" s="25" t="s">
        <v>66</v>
      </c>
      <c r="N24" s="37"/>
      <c r="O24" s="7" t="s">
        <v>104</v>
      </c>
      <c r="P24" s="35">
        <f>IF($U$22, -($C$19+$C$20+$L$8) * 0.6 * L28*ABS(L28),$W$34)</f>
        <v>-2.9609806586653828</v>
      </c>
      <c r="Q24" s="20" t="s">
        <v>105</v>
      </c>
      <c r="R24" s="23"/>
      <c r="S24" s="6"/>
      <c r="T24" s="28" t="s">
        <v>143</v>
      </c>
      <c r="U24" s="29" t="b">
        <f>ISNUMBER(C24)</f>
        <v>1</v>
      </c>
      <c r="V24" s="6"/>
      <c r="W24" s="6"/>
      <c r="X24" s="30" t="s">
        <v>144</v>
      </c>
      <c r="Y24" s="31" t="b">
        <f>OR(H24 = "Y", H24 = "N")</f>
        <v>1</v>
      </c>
    </row>
    <row r="25" spans="1:29">
      <c r="A25" s="6"/>
      <c r="B25" s="26" t="s">
        <v>145</v>
      </c>
      <c r="C25" s="27">
        <v>10</v>
      </c>
      <c r="D25" s="50" t="s">
        <v>105</v>
      </c>
      <c r="E25" s="6"/>
      <c r="F25" s="6"/>
      <c r="G25" s="6"/>
      <c r="H25" s="6"/>
      <c r="I25" s="6"/>
      <c r="J25" s="6"/>
      <c r="K25" s="15" t="s">
        <v>108</v>
      </c>
      <c r="L25" s="36">
        <f>-2 * $P$14 * $L$15 - $P$15</f>
        <v>-12.23283494662884</v>
      </c>
      <c r="M25" s="25" t="s">
        <v>92</v>
      </c>
      <c r="N25" s="6"/>
      <c r="O25" s="7" t="s">
        <v>109</v>
      </c>
      <c r="P25" s="35">
        <f>IF($U$22, $C$24 - $C$25, $W$34)</f>
        <v>-10</v>
      </c>
      <c r="Q25" s="20" t="s">
        <v>105</v>
      </c>
      <c r="R25" s="23"/>
      <c r="S25" s="6"/>
      <c r="T25" s="28" t="s">
        <v>146</v>
      </c>
      <c r="U25" s="29" t="b">
        <f>ISNUMBER(C25)</f>
        <v>1</v>
      </c>
      <c r="V25" s="51"/>
      <c r="W25" s="51"/>
      <c r="X25" s="52" t="s">
        <v>147</v>
      </c>
      <c r="Y25" s="53" t="b">
        <f>IFERROR(AND(Y14:Y24),0)</f>
        <v>1</v>
      </c>
    </row>
    <row r="26" spans="1:29">
      <c r="A26" s="6"/>
      <c r="B26" s="7"/>
      <c r="C26" s="6"/>
      <c r="D26" s="6"/>
      <c r="E26" s="6"/>
      <c r="F26" s="6"/>
      <c r="G26" s="6"/>
      <c r="H26" s="6"/>
      <c r="I26" s="6"/>
      <c r="J26" s="6"/>
      <c r="K26" s="15" t="s">
        <v>114</v>
      </c>
      <c r="L26" s="36">
        <f>$P$14 * $L$15^2 + $P$15 * $C$30 - $P$13</f>
        <v>17.72847446291043</v>
      </c>
      <c r="M26" s="25" t="s">
        <v>78</v>
      </c>
      <c r="N26" s="6"/>
      <c r="O26" s="7" t="s">
        <v>115</v>
      </c>
      <c r="P26" s="35">
        <f>IF($U$22, 0.6 * $C$14/1000*($L$9*$H$18*$H$19*IF($H$24="N",1,1/(1-$H$18/$C$15)^2) + $L$10*$H$20*$H$21*IF($H$24="N",1,1/(1-$H$20/$C$15)^2) + $L$11*$H$22*$H$23*IF($H$24="N",1,1/(1-$H$22/$C$15)^2))/$C$15 * ($L$15 - L28) * ABS($L$15 - L28), $W$34)</f>
        <v>2.5088876961286477</v>
      </c>
      <c r="Q26" s="20" t="s">
        <v>105</v>
      </c>
      <c r="R26" s="23"/>
      <c r="S26" s="6"/>
      <c r="T26" s="28" t="s">
        <v>148</v>
      </c>
      <c r="U26" s="48" t="b">
        <f>IFERROR(AND(U24, U25),0)</f>
        <v>1</v>
      </c>
      <c r="V26" s="6"/>
      <c r="W26" s="6"/>
      <c r="X26" s="6"/>
      <c r="Y26" s="6"/>
    </row>
    <row r="27" spans="1:29">
      <c r="A27" s="6"/>
      <c r="B27" s="7"/>
      <c r="C27" s="22" t="s">
        <v>149</v>
      </c>
      <c r="D27" s="6"/>
      <c r="E27" s="6"/>
      <c r="F27" s="6"/>
      <c r="G27" s="6"/>
      <c r="H27" s="6"/>
      <c r="I27" s="6"/>
      <c r="J27" s="54"/>
      <c r="K27" s="15" t="s">
        <v>120</v>
      </c>
      <c r="L27" s="6">
        <f>L25^2 - 4*L24*L26</f>
        <v>189.32493833735089</v>
      </c>
      <c r="M27" s="25" t="s">
        <v>92</v>
      </c>
      <c r="N27" s="37"/>
      <c r="O27" s="7" t="s">
        <v>121</v>
      </c>
      <c r="P27" s="35">
        <f>IF($U$22, SIGN($C$30)*$C$28*$C$29*$C$31*(1 - L28/$C$30)/$C$15, $W$34)</f>
        <v>10.45209296253674</v>
      </c>
      <c r="Q27" s="20" t="s">
        <v>105</v>
      </c>
      <c r="R27" s="23"/>
      <c r="S27" s="6"/>
      <c r="T27" s="24" t="s">
        <v>150</v>
      </c>
      <c r="U27" s="7"/>
      <c r="V27" s="6"/>
      <c r="W27" s="6"/>
      <c r="X27" s="6"/>
      <c r="Y27" s="18"/>
    </row>
    <row r="28" spans="1:29">
      <c r="A28" s="6"/>
      <c r="B28" s="26" t="s">
        <v>151</v>
      </c>
      <c r="C28" s="27">
        <v>1</v>
      </c>
      <c r="D28" s="25" t="s">
        <v>66</v>
      </c>
      <c r="E28" s="6"/>
      <c r="F28" s="55" t="str">
        <f>IF(NOT($W$33),"Can't calculate: " &amp; $W$34,IF($L$35&lt;0,$L$30,IF($L$28&lt;$L$15,$L$23,$L$16)))</f>
        <v>Calculation (vehicles faster than air)</v>
      </c>
      <c r="G28" s="56"/>
      <c r="H28" s="56"/>
      <c r="I28" s="57"/>
      <c r="J28" s="54"/>
      <c r="K28" s="15" t="s">
        <v>126</v>
      </c>
      <c r="L28" s="40">
        <f>IFERROR((-L25 - SQRT(L27)) / (2 * L24), L15+1)</f>
        <v>1.3641288697623548</v>
      </c>
      <c r="M28" s="25" t="s">
        <v>92</v>
      </c>
      <c r="N28" s="37"/>
      <c r="O28" s="7" t="s">
        <v>127</v>
      </c>
      <c r="P28" s="58">
        <f>IFERROR(SUM(P24:P27), 42)</f>
        <v>0</v>
      </c>
      <c r="Q28" s="20" t="s">
        <v>105</v>
      </c>
      <c r="R28" s="23"/>
      <c r="S28" s="6"/>
      <c r="T28" s="28" t="s">
        <v>152</v>
      </c>
      <c r="U28" s="29" t="b">
        <f>AND(ISNUMBER(C28), C28 &gt;= 0)</f>
        <v>1</v>
      </c>
      <c r="V28" s="51"/>
      <c r="W28" s="6"/>
      <c r="X28" s="6"/>
      <c r="Y28" s="18"/>
    </row>
    <row r="29" spans="1:29">
      <c r="A29" s="6"/>
      <c r="B29" s="26" t="s">
        <v>153</v>
      </c>
      <c r="C29" s="27">
        <v>730</v>
      </c>
      <c r="D29" s="25" t="s">
        <v>154</v>
      </c>
      <c r="E29" s="6"/>
      <c r="F29" s="59"/>
      <c r="G29" s="60" t="s">
        <v>155</v>
      </c>
      <c r="H29" s="39">
        <f>IF(NOT($W$33),"—",IF($P$22, $L$21, IF($P$29, $L$28, $L$35)))</f>
        <v>1.3641288697623548</v>
      </c>
      <c r="I29" s="54" t="s">
        <v>92</v>
      </c>
      <c r="J29" s="6"/>
      <c r="K29" s="42"/>
      <c r="L29" s="43"/>
      <c r="M29" s="43"/>
      <c r="N29" s="44"/>
      <c r="O29" s="45" t="s">
        <v>131</v>
      </c>
      <c r="P29" s="46" t="b">
        <f>ABS(P28) &lt; 0.00000001</f>
        <v>1</v>
      </c>
      <c r="Q29" s="47"/>
      <c r="R29" s="23"/>
      <c r="S29" s="6"/>
      <c r="T29" s="28" t="s">
        <v>156</v>
      </c>
      <c r="U29" s="29" t="b">
        <f>AND(ISNUMBER(C29), C29 &gt;= 0)</f>
        <v>1</v>
      </c>
      <c r="V29" s="51"/>
      <c r="W29" s="6"/>
      <c r="X29" s="6"/>
      <c r="Y29" s="18"/>
    </row>
    <row r="30" spans="1:29">
      <c r="A30" s="6"/>
      <c r="B30" s="26" t="s">
        <v>157</v>
      </c>
      <c r="C30" s="27">
        <v>30</v>
      </c>
      <c r="D30" s="25" t="s">
        <v>92</v>
      </c>
      <c r="E30" s="6"/>
      <c r="F30" s="61"/>
      <c r="G30" s="62" t="s">
        <v>158</v>
      </c>
      <c r="H30" s="63">
        <f>IFERROR(H29 * C15, H29)</f>
        <v>68.206443488117742</v>
      </c>
      <c r="I30" s="64" t="s">
        <v>159</v>
      </c>
      <c r="J30" s="6"/>
      <c r="K30" s="23"/>
      <c r="L30" s="22" t="s">
        <v>160</v>
      </c>
      <c r="M30" s="6"/>
      <c r="N30" s="37"/>
      <c r="O30" s="6"/>
      <c r="P30" s="22" t="s">
        <v>98</v>
      </c>
      <c r="Q30" s="18"/>
      <c r="R30" s="23"/>
      <c r="S30" s="6"/>
      <c r="T30" s="28" t="s">
        <v>161</v>
      </c>
      <c r="U30" s="29" t="b">
        <f>ISNUMBER(C30)</f>
        <v>1</v>
      </c>
      <c r="V30" s="51"/>
      <c r="W30" s="6"/>
      <c r="X30" s="6"/>
      <c r="Y30" s="18"/>
    </row>
    <row r="31" spans="1:29">
      <c r="A31" s="6"/>
      <c r="B31" s="26" t="s">
        <v>162</v>
      </c>
      <c r="C31" s="27">
        <v>0.75</v>
      </c>
      <c r="D31" s="25" t="s">
        <v>66</v>
      </c>
      <c r="E31" s="6"/>
      <c r="F31" s="6"/>
      <c r="G31" s="6"/>
      <c r="H31" s="6"/>
      <c r="I31" s="6"/>
      <c r="J31" s="25"/>
      <c r="K31" s="15" t="s">
        <v>103</v>
      </c>
      <c r="L31" s="16">
        <f>$P$12 + $P$14</f>
        <v>4.7444102903931915</v>
      </c>
      <c r="M31" s="25" t="s">
        <v>66</v>
      </c>
      <c r="N31" s="37"/>
      <c r="O31" s="7" t="s">
        <v>104</v>
      </c>
      <c r="P31" s="35">
        <f>IF($U$22, ($C$19+$C$20+$L$8) * 0.6 * L35*ABS(L35),$W$34)</f>
        <v>159.12</v>
      </c>
      <c r="Q31" s="20" t="s">
        <v>105</v>
      </c>
      <c r="R31" s="23"/>
      <c r="S31" s="6"/>
      <c r="T31" s="28" t="s">
        <v>163</v>
      </c>
      <c r="U31" s="29" t="b">
        <f>AND(ISNUMBER(C31), C31 &gt;= 0)</f>
        <v>1</v>
      </c>
      <c r="V31" s="51"/>
      <c r="W31" s="6"/>
      <c r="X31" s="6"/>
      <c r="Y31" s="18"/>
      <c r="AC31" t="s">
        <v>164</v>
      </c>
    </row>
    <row r="32" spans="1:29">
      <c r="A32" s="6"/>
      <c r="B32" s="6"/>
      <c r="C32" s="6"/>
      <c r="D32" s="6"/>
      <c r="E32" s="6"/>
      <c r="F32" s="65" t="s">
        <v>165</v>
      </c>
      <c r="G32" s="6"/>
      <c r="H32" s="6"/>
      <c r="I32" s="6"/>
      <c r="J32" s="25"/>
      <c r="K32" s="15" t="s">
        <v>108</v>
      </c>
      <c r="L32" s="36">
        <f>-2 * $P$14 * $L$15 - $P$15</f>
        <v>-12.23283494662884</v>
      </c>
      <c r="M32" s="25" t="s">
        <v>92</v>
      </c>
      <c r="N32" s="6"/>
      <c r="O32" s="7" t="s">
        <v>109</v>
      </c>
      <c r="P32" s="35">
        <f>IF($U$22, $C$25 - $C$24, $W$34)</f>
        <v>10</v>
      </c>
      <c r="Q32" s="20" t="s">
        <v>105</v>
      </c>
      <c r="R32" s="23"/>
      <c r="S32" s="6"/>
      <c r="T32" s="28" t="s">
        <v>166</v>
      </c>
      <c r="U32" s="48" t="b">
        <f>IFERROR(AND(U28:U31),0)</f>
        <v>1</v>
      </c>
      <c r="V32" s="6"/>
      <c r="W32" s="6"/>
      <c r="X32" s="6"/>
      <c r="Y32" s="18"/>
    </row>
    <row r="33" spans="1:25">
      <c r="A33" s="6"/>
      <c r="B33" s="6"/>
      <c r="C33" s="6"/>
      <c r="D33" s="6"/>
      <c r="E33" s="6"/>
      <c r="F33" s="6"/>
      <c r="G33" s="7" t="s">
        <v>104</v>
      </c>
      <c r="H33" s="66">
        <f>IF(NOT($W$33),"—",IF($P$22, P17, IF($P$29, P24, P31)))</f>
        <v>-2.9609806586653828</v>
      </c>
      <c r="I33" s="25" t="s">
        <v>105</v>
      </c>
      <c r="J33" s="25"/>
      <c r="K33" s="15" t="s">
        <v>114</v>
      </c>
      <c r="L33" s="36">
        <f>$P$14 * $L$15^2 + $P$15 * $C$30 - $P$13</f>
        <v>17.72847446291043</v>
      </c>
      <c r="M33" s="25" t="s">
        <v>78</v>
      </c>
      <c r="N33" s="6"/>
      <c r="O33" s="7" t="s">
        <v>115</v>
      </c>
      <c r="P33" s="35">
        <f>-IF($U$22, 0.6 * $C$14/1000*($L$9*$H$18*$H$19*IF($H$24="N",1,1/(1-$H$18/$C$15)^2) + $L$10*$H$20*$H$21*IF($H$24="N",1,1/(1-$H$20/$C$15)^2) + $L$11*$H$22*$H$23*IF($H$24="N",1,1/(1-$H$22/$C$15)^2))/$C$15 * ($L$15 - L35) * ABS($L$15 - L35), $W$34)</f>
        <v>65.484692421564688</v>
      </c>
      <c r="Q33" s="20" t="s">
        <v>105</v>
      </c>
      <c r="R33" s="23"/>
      <c r="S33" s="6"/>
      <c r="T33" s="6"/>
      <c r="U33" s="6"/>
      <c r="V33" s="67" t="s">
        <v>167</v>
      </c>
      <c r="W33" s="68" t="b">
        <f>AND(U22,U26,U32,Y25)</f>
        <v>1</v>
      </c>
      <c r="X33" s="6"/>
      <c r="Y33" s="18"/>
    </row>
    <row r="34" spans="1:25">
      <c r="A34" s="6"/>
      <c r="B34" s="6"/>
      <c r="C34" s="6"/>
      <c r="D34" s="6"/>
      <c r="E34" s="6"/>
      <c r="F34" s="6"/>
      <c r="G34" s="7" t="s">
        <v>109</v>
      </c>
      <c r="H34" s="66">
        <f>IF(NOT($W$33),"—",IF($P$22, P18, IF($P$29, P25, P32)))</f>
        <v>-10</v>
      </c>
      <c r="I34" s="25" t="s">
        <v>105</v>
      </c>
      <c r="J34" s="25"/>
      <c r="K34" s="15" t="s">
        <v>120</v>
      </c>
      <c r="L34" s="6">
        <f>L32^2 - 4*L31*L33</f>
        <v>-186.80237586775684</v>
      </c>
      <c r="M34" s="25" t="s">
        <v>92</v>
      </c>
      <c r="N34" s="6"/>
      <c r="O34" s="7" t="s">
        <v>121</v>
      </c>
      <c r="P34" s="35">
        <f>IF($U$22, -SIGN($C$30)*$C$28*$C$29*$C$31*(1 - L35/$C$30)/$C$15, $W$34)</f>
        <v>-7.3000000000000007</v>
      </c>
      <c r="Q34" s="20" t="s">
        <v>105</v>
      </c>
      <c r="R34" s="42"/>
      <c r="S34" s="43"/>
      <c r="T34" s="43"/>
      <c r="U34" s="43"/>
      <c r="V34" s="45" t="s">
        <v>168</v>
      </c>
      <c r="W34" s="69" t="str">
        <f>IF(NOT(U22), "dud tunnel geometry", IF(NOT(U26), "dud wind", IF(NOT(U32), "dud jet fans", IF(NOT(Y25), "dud traffic", "dud equations"))))</f>
        <v>dud equations</v>
      </c>
      <c r="X34" s="43"/>
      <c r="Y34" s="47"/>
    </row>
    <row r="35" spans="1:25">
      <c r="A35" s="6"/>
      <c r="B35" s="6"/>
      <c r="C35" s="6"/>
      <c r="D35" s="6"/>
      <c r="E35" s="6"/>
      <c r="F35" s="6"/>
      <c r="G35" s="7" t="s">
        <v>115</v>
      </c>
      <c r="H35" s="66">
        <f>IF(NOT($W$33),"—",IF($P$22, P19, IF($P$29, P26, P33)))</f>
        <v>2.5088876961286477</v>
      </c>
      <c r="I35" s="25" t="s">
        <v>105</v>
      </c>
      <c r="J35" s="25"/>
      <c r="K35" s="15" t="s">
        <v>126</v>
      </c>
      <c r="L35" s="40">
        <f>IFERROR((-L32 - SQRT(L34)) / (2 * L31), 10)</f>
        <v>10</v>
      </c>
      <c r="M35" s="25" t="s">
        <v>92</v>
      </c>
      <c r="N35" s="6"/>
      <c r="O35" s="7" t="s">
        <v>127</v>
      </c>
      <c r="P35" s="58">
        <f>IFERROR(SUM(P31:P34), 42)</f>
        <v>227.30469242156468</v>
      </c>
      <c r="Q35" s="20" t="s">
        <v>105</v>
      </c>
      <c r="R35" s="6"/>
      <c r="S35" s="6"/>
      <c r="T35" s="6"/>
      <c r="U35" s="6"/>
      <c r="V35" s="6"/>
      <c r="W35" s="6"/>
      <c r="X35" s="6"/>
      <c r="Y35" s="6"/>
    </row>
    <row r="36" spans="1:25">
      <c r="A36" s="6"/>
      <c r="B36" s="6"/>
      <c r="C36" s="6"/>
      <c r="D36" s="6"/>
      <c r="E36" s="6"/>
      <c r="F36" s="6"/>
      <c r="G36" s="7" t="s">
        <v>121</v>
      </c>
      <c r="H36" s="66">
        <f>IF(NOT($W$33),"—",IF($P$22, P20, IF($P$29, P27, P34)))</f>
        <v>10.45209296253674</v>
      </c>
      <c r="I36" s="25" t="s">
        <v>105</v>
      </c>
      <c r="J36" s="6"/>
      <c r="K36" s="42"/>
      <c r="L36" s="43"/>
      <c r="M36" s="43"/>
      <c r="N36" s="43"/>
      <c r="O36" s="45" t="s">
        <v>131</v>
      </c>
      <c r="P36" s="46" t="b">
        <f>ABS(P35) &lt; 0.00000001</f>
        <v>0</v>
      </c>
      <c r="Q36" s="47"/>
      <c r="R36" s="6"/>
      <c r="S36" s="6"/>
      <c r="T36" s="6"/>
      <c r="U36" s="6"/>
      <c r="V36" s="6"/>
      <c r="W36" s="6"/>
      <c r="X36" s="6"/>
      <c r="Y36" s="6"/>
    </row>
    <row r="37" spans="1:25">
      <c r="A37" s="6" t="s">
        <v>57</v>
      </c>
      <c r="B37" s="6" t="s">
        <v>57</v>
      </c>
      <c r="C37" s="6" t="s">
        <v>57</v>
      </c>
      <c r="D37" s="6" t="s">
        <v>57</v>
      </c>
      <c r="E37" s="6" t="s">
        <v>57</v>
      </c>
      <c r="F37" s="6"/>
      <c r="G37" s="7" t="s">
        <v>169</v>
      </c>
      <c r="H37" s="66">
        <f>IF(NOT($W$33),"—",IF($P$22, P21, IF($P$29, P28, P35)))</f>
        <v>0</v>
      </c>
      <c r="I37" s="25" t="s">
        <v>105</v>
      </c>
      <c r="J37" s="6"/>
      <c r="K37" s="6"/>
      <c r="L37" s="6"/>
      <c r="M37" s="6"/>
      <c r="N37" s="6"/>
      <c r="O37" s="6"/>
      <c r="P37" s="6"/>
      <c r="Q37" s="6"/>
      <c r="R37" s="6"/>
      <c r="S37" s="6"/>
      <c r="T37" s="6"/>
      <c r="U37" s="6"/>
      <c r="V37" s="6"/>
      <c r="W37" s="6"/>
      <c r="X37" s="6"/>
      <c r="Y37" s="6"/>
    </row>
    <row r="71" spans="12:14">
      <c r="L71" s="1" t="s">
        <v>170</v>
      </c>
      <c r="M71" s="1"/>
    </row>
    <row r="72" spans="12:14">
      <c r="M72" s="7" t="s">
        <v>171</v>
      </c>
      <c r="N72" t="str">
        <f ca="1">CELL("filename", N72)</f>
        <v>C:\Users\clcp12\Desktop\[slug-flow-quadratic-020.xlsx]quadratics</v>
      </c>
    </row>
    <row r="73" spans="12:14">
      <c r="M73" s="7" t="s">
        <v>172</v>
      </c>
      <c r="N73" t="s">
        <v>173</v>
      </c>
    </row>
    <row r="74" spans="12:14">
      <c r="M74" t="s">
        <v>174</v>
      </c>
    </row>
    <row r="75" spans="12:14">
      <c r="M75" t="s">
        <v>175</v>
      </c>
      <c r="N75" t="e">
        <f ca="1">RIGHT(N72, LEN(N72) - FIND($N$73,N72))</f>
        <v>#VALUE!</v>
      </c>
    </row>
    <row r="76" spans="12:14">
      <c r="M76" t="s">
        <v>176</v>
      </c>
      <c r="N76" t="e">
        <f t="shared" ref="N76:N107" ca="1" si="1">IFERROR(RIGHT(N75,LEN(N75)-FIND($N$73,N75)), N75)</f>
        <v>#VALUE!</v>
      </c>
    </row>
    <row r="77" spans="12:14">
      <c r="M77" t="s">
        <v>177</v>
      </c>
      <c r="N77" t="e">
        <f t="shared" ca="1" si="1"/>
        <v>#VALUE!</v>
      </c>
    </row>
    <row r="78" spans="12:14">
      <c r="M78" t="s">
        <v>178</v>
      </c>
      <c r="N78" t="e">
        <f t="shared" ca="1" si="1"/>
        <v>#VALUE!</v>
      </c>
    </row>
    <row r="79" spans="12:14">
      <c r="N79" t="e">
        <f t="shared" ca="1" si="1"/>
        <v>#VALUE!</v>
      </c>
    </row>
    <row r="80" spans="12:14">
      <c r="N80" t="e">
        <f t="shared" ca="1" si="1"/>
        <v>#VALUE!</v>
      </c>
    </row>
    <row r="81" spans="14:14">
      <c r="N81" t="e">
        <f t="shared" ca="1" si="1"/>
        <v>#VALUE!</v>
      </c>
    </row>
    <row r="82" spans="14:14">
      <c r="N82" t="e">
        <f t="shared" ca="1" si="1"/>
        <v>#VALUE!</v>
      </c>
    </row>
    <row r="83" spans="14:14">
      <c r="N83" t="e">
        <f t="shared" ca="1" si="1"/>
        <v>#VALUE!</v>
      </c>
    </row>
    <row r="84" spans="14:14">
      <c r="N84" t="e">
        <f t="shared" ca="1" si="1"/>
        <v>#VALUE!</v>
      </c>
    </row>
    <row r="85" spans="14:14">
      <c r="N85" t="e">
        <f t="shared" ca="1" si="1"/>
        <v>#VALUE!</v>
      </c>
    </row>
    <row r="86" spans="14:14">
      <c r="N86" t="e">
        <f t="shared" ca="1" si="1"/>
        <v>#VALUE!</v>
      </c>
    </row>
    <row r="87" spans="14:14">
      <c r="N87" t="e">
        <f t="shared" ca="1" si="1"/>
        <v>#VALUE!</v>
      </c>
    </row>
    <row r="88" spans="14:14">
      <c r="N88" t="e">
        <f t="shared" ca="1" si="1"/>
        <v>#VALUE!</v>
      </c>
    </row>
    <row r="89" spans="14:14">
      <c r="N89" t="e">
        <f t="shared" ca="1" si="1"/>
        <v>#VALUE!</v>
      </c>
    </row>
    <row r="90" spans="14:14">
      <c r="N90" t="e">
        <f t="shared" ca="1" si="1"/>
        <v>#VALUE!</v>
      </c>
    </row>
    <row r="91" spans="14:14">
      <c r="N91" t="e">
        <f t="shared" ca="1" si="1"/>
        <v>#VALUE!</v>
      </c>
    </row>
    <row r="92" spans="14:14">
      <c r="N92" t="e">
        <f t="shared" ca="1" si="1"/>
        <v>#VALUE!</v>
      </c>
    </row>
    <row r="93" spans="14:14">
      <c r="N93" t="e">
        <f t="shared" ca="1" si="1"/>
        <v>#VALUE!</v>
      </c>
    </row>
    <row r="94" spans="14:14">
      <c r="N94" t="e">
        <f t="shared" ca="1" si="1"/>
        <v>#VALUE!</v>
      </c>
    </row>
    <row r="95" spans="14:14">
      <c r="N95" t="e">
        <f t="shared" ca="1" si="1"/>
        <v>#VALUE!</v>
      </c>
    </row>
    <row r="96" spans="14:14">
      <c r="N96" t="e">
        <f t="shared" ca="1" si="1"/>
        <v>#VALUE!</v>
      </c>
    </row>
    <row r="97" spans="14:14">
      <c r="N97" t="e">
        <f t="shared" ca="1" si="1"/>
        <v>#VALUE!</v>
      </c>
    </row>
    <row r="98" spans="14:14">
      <c r="N98" t="e">
        <f t="shared" ca="1" si="1"/>
        <v>#VALUE!</v>
      </c>
    </row>
    <row r="99" spans="14:14">
      <c r="N99" t="e">
        <f t="shared" ca="1" si="1"/>
        <v>#VALUE!</v>
      </c>
    </row>
    <row r="100" spans="14:14">
      <c r="N100" t="e">
        <f t="shared" ca="1" si="1"/>
        <v>#VALUE!</v>
      </c>
    </row>
    <row r="101" spans="14:14">
      <c r="N101" t="e">
        <f t="shared" ca="1" si="1"/>
        <v>#VALUE!</v>
      </c>
    </row>
    <row r="102" spans="14:14">
      <c r="N102" t="e">
        <f t="shared" ca="1" si="1"/>
        <v>#VALUE!</v>
      </c>
    </row>
    <row r="103" spans="14:14">
      <c r="N103" t="e">
        <f t="shared" ca="1" si="1"/>
        <v>#VALUE!</v>
      </c>
    </row>
    <row r="104" spans="14:14">
      <c r="N104" t="e">
        <f t="shared" ca="1" si="1"/>
        <v>#VALUE!</v>
      </c>
    </row>
    <row r="105" spans="14:14">
      <c r="N105" t="e">
        <f t="shared" ca="1" si="1"/>
        <v>#VALUE!</v>
      </c>
    </row>
    <row r="106" spans="14:14">
      <c r="N106" t="e">
        <f t="shared" ca="1" si="1"/>
        <v>#VALUE!</v>
      </c>
    </row>
    <row r="107" spans="14:14">
      <c r="N107" t="e">
        <f t="shared" ca="1" si="1"/>
        <v>#VALUE!</v>
      </c>
    </row>
    <row r="108" spans="14:14">
      <c r="N108" t="e">
        <f t="shared" ref="N108:N139" ca="1" si="2">IFERROR(RIGHT(N107,LEN(N107)-FIND($N$73,N107)), N107)</f>
        <v>#VALUE!</v>
      </c>
    </row>
    <row r="109" spans="14:14">
      <c r="N109" t="e">
        <f t="shared" ca="1" si="2"/>
        <v>#VALUE!</v>
      </c>
    </row>
    <row r="110" spans="14:14">
      <c r="N110" t="e">
        <f t="shared" ca="1" si="2"/>
        <v>#VALUE!</v>
      </c>
    </row>
    <row r="111" spans="14:14">
      <c r="N111" t="e">
        <f t="shared" ca="1" si="2"/>
        <v>#VALUE!</v>
      </c>
    </row>
    <row r="112" spans="14:14">
      <c r="N112" t="e">
        <f t="shared" ca="1" si="2"/>
        <v>#VALUE!</v>
      </c>
    </row>
    <row r="113" spans="14:14">
      <c r="N113" t="e">
        <f t="shared" ca="1" si="2"/>
        <v>#VALUE!</v>
      </c>
    </row>
    <row r="114" spans="14:14">
      <c r="N114" t="e">
        <f t="shared" ca="1" si="2"/>
        <v>#VALUE!</v>
      </c>
    </row>
    <row r="115" spans="14:14">
      <c r="N115" t="e">
        <f t="shared" ca="1" si="2"/>
        <v>#VALUE!</v>
      </c>
    </row>
    <row r="116" spans="14:14">
      <c r="N116" t="e">
        <f t="shared" ca="1" si="2"/>
        <v>#VALUE!</v>
      </c>
    </row>
    <row r="117" spans="14:14">
      <c r="N117" t="e">
        <f t="shared" ca="1" si="2"/>
        <v>#VALUE!</v>
      </c>
    </row>
    <row r="118" spans="14:14">
      <c r="N118" t="e">
        <f t="shared" ca="1" si="2"/>
        <v>#VALUE!</v>
      </c>
    </row>
    <row r="119" spans="14:14">
      <c r="N119" t="e">
        <f t="shared" ca="1" si="2"/>
        <v>#VALUE!</v>
      </c>
    </row>
    <row r="120" spans="14:14">
      <c r="N120" t="e">
        <f t="shared" ca="1" si="2"/>
        <v>#VALUE!</v>
      </c>
    </row>
    <row r="121" spans="14:14">
      <c r="N121" t="e">
        <f t="shared" ca="1" si="2"/>
        <v>#VALUE!</v>
      </c>
    </row>
    <row r="122" spans="14:14">
      <c r="N122" t="e">
        <f t="shared" ca="1" si="2"/>
        <v>#VALUE!</v>
      </c>
    </row>
    <row r="123" spans="14:14">
      <c r="N123" t="e">
        <f t="shared" ca="1" si="2"/>
        <v>#VALUE!</v>
      </c>
    </row>
    <row r="124" spans="14:14">
      <c r="N124" t="e">
        <f t="shared" ca="1" si="2"/>
        <v>#VALUE!</v>
      </c>
    </row>
    <row r="125" spans="14:14">
      <c r="N125" t="e">
        <f t="shared" ca="1" si="2"/>
        <v>#VALUE!</v>
      </c>
    </row>
    <row r="126" spans="14:14">
      <c r="N126" t="e">
        <f t="shared" ca="1" si="2"/>
        <v>#VALUE!</v>
      </c>
    </row>
    <row r="127" spans="14:14">
      <c r="N127" t="e">
        <f t="shared" ca="1" si="2"/>
        <v>#VALUE!</v>
      </c>
    </row>
    <row r="128" spans="14:14">
      <c r="N128" t="e">
        <f t="shared" ca="1" si="2"/>
        <v>#VALUE!</v>
      </c>
    </row>
    <row r="129" spans="14:14">
      <c r="N129" t="e">
        <f t="shared" ca="1" si="2"/>
        <v>#VALUE!</v>
      </c>
    </row>
    <row r="130" spans="14:14">
      <c r="N130" t="e">
        <f t="shared" ca="1" si="2"/>
        <v>#VALUE!</v>
      </c>
    </row>
    <row r="131" spans="14:14">
      <c r="N131" t="e">
        <f t="shared" ca="1" si="2"/>
        <v>#VALUE!</v>
      </c>
    </row>
    <row r="132" spans="14:14">
      <c r="N132" t="e">
        <f t="shared" ca="1" si="2"/>
        <v>#VALUE!</v>
      </c>
    </row>
    <row r="133" spans="14:14">
      <c r="N133" t="e">
        <f t="shared" ca="1" si="2"/>
        <v>#VALUE!</v>
      </c>
    </row>
    <row r="134" spans="14:14">
      <c r="N134" t="e">
        <f t="shared" ca="1" si="2"/>
        <v>#VALUE!</v>
      </c>
    </row>
    <row r="135" spans="14:14">
      <c r="N135" t="e">
        <f t="shared" ca="1" si="2"/>
        <v>#VALUE!</v>
      </c>
    </row>
    <row r="136" spans="14:14">
      <c r="N136" t="e">
        <f t="shared" ca="1" si="2"/>
        <v>#VALUE!</v>
      </c>
    </row>
    <row r="137" spans="14:14">
      <c r="N137" t="e">
        <f t="shared" ca="1" si="2"/>
        <v>#VALUE!</v>
      </c>
    </row>
    <row r="138" spans="14:14">
      <c r="N138" t="e">
        <f t="shared" ca="1" si="2"/>
        <v>#VALUE!</v>
      </c>
    </row>
    <row r="139" spans="14:14">
      <c r="N139" t="e">
        <f t="shared" ca="1" si="2"/>
        <v>#VALUE!</v>
      </c>
    </row>
    <row r="140" spans="14:14">
      <c r="N140" t="e">
        <f t="shared" ref="N140:N175" ca="1" si="3">IFERROR(RIGHT(N139,LEN(N139)-FIND($N$73,N139)), N139)</f>
        <v>#VALUE!</v>
      </c>
    </row>
    <row r="141" spans="14:14">
      <c r="N141" t="e">
        <f t="shared" ca="1" si="3"/>
        <v>#VALUE!</v>
      </c>
    </row>
    <row r="142" spans="14:14">
      <c r="N142" t="e">
        <f t="shared" ca="1" si="3"/>
        <v>#VALUE!</v>
      </c>
    </row>
    <row r="143" spans="14:14">
      <c r="N143" t="e">
        <f t="shared" ca="1" si="3"/>
        <v>#VALUE!</v>
      </c>
    </row>
    <row r="144" spans="14:14">
      <c r="N144" t="e">
        <f t="shared" ca="1" si="3"/>
        <v>#VALUE!</v>
      </c>
    </row>
    <row r="145" spans="14:14">
      <c r="N145" t="e">
        <f t="shared" ca="1" si="3"/>
        <v>#VALUE!</v>
      </c>
    </row>
    <row r="146" spans="14:14">
      <c r="N146" t="e">
        <f t="shared" ca="1" si="3"/>
        <v>#VALUE!</v>
      </c>
    </row>
    <row r="147" spans="14:14">
      <c r="N147" t="e">
        <f t="shared" ca="1" si="3"/>
        <v>#VALUE!</v>
      </c>
    </row>
    <row r="148" spans="14:14">
      <c r="N148" t="e">
        <f t="shared" ca="1" si="3"/>
        <v>#VALUE!</v>
      </c>
    </row>
    <row r="149" spans="14:14">
      <c r="N149" t="e">
        <f t="shared" ca="1" si="3"/>
        <v>#VALUE!</v>
      </c>
    </row>
    <row r="150" spans="14:14">
      <c r="N150" t="e">
        <f t="shared" ca="1" si="3"/>
        <v>#VALUE!</v>
      </c>
    </row>
    <row r="151" spans="14:14">
      <c r="N151" t="e">
        <f t="shared" ca="1" si="3"/>
        <v>#VALUE!</v>
      </c>
    </row>
    <row r="152" spans="14:14">
      <c r="N152" t="e">
        <f t="shared" ca="1" si="3"/>
        <v>#VALUE!</v>
      </c>
    </row>
    <row r="153" spans="14:14">
      <c r="N153" t="e">
        <f t="shared" ca="1" si="3"/>
        <v>#VALUE!</v>
      </c>
    </row>
    <row r="154" spans="14:14">
      <c r="N154" t="e">
        <f t="shared" ca="1" si="3"/>
        <v>#VALUE!</v>
      </c>
    </row>
    <row r="155" spans="14:14">
      <c r="N155" t="e">
        <f t="shared" ca="1" si="3"/>
        <v>#VALUE!</v>
      </c>
    </row>
    <row r="156" spans="14:14">
      <c r="N156" t="e">
        <f t="shared" ca="1" si="3"/>
        <v>#VALUE!</v>
      </c>
    </row>
    <row r="157" spans="14:14">
      <c r="N157" t="e">
        <f t="shared" ca="1" si="3"/>
        <v>#VALUE!</v>
      </c>
    </row>
    <row r="158" spans="14:14">
      <c r="N158" t="e">
        <f t="shared" ca="1" si="3"/>
        <v>#VALUE!</v>
      </c>
    </row>
    <row r="159" spans="14:14">
      <c r="N159" t="e">
        <f t="shared" ca="1" si="3"/>
        <v>#VALUE!</v>
      </c>
    </row>
    <row r="160" spans="14:14">
      <c r="N160" t="e">
        <f t="shared" ca="1" si="3"/>
        <v>#VALUE!</v>
      </c>
    </row>
    <row r="161" spans="13:14">
      <c r="N161" t="e">
        <f t="shared" ca="1" si="3"/>
        <v>#VALUE!</v>
      </c>
    </row>
    <row r="162" spans="13:14">
      <c r="N162" t="e">
        <f t="shared" ca="1" si="3"/>
        <v>#VALUE!</v>
      </c>
    </row>
    <row r="163" spans="13:14">
      <c r="N163" t="e">
        <f t="shared" ca="1" si="3"/>
        <v>#VALUE!</v>
      </c>
    </row>
    <row r="164" spans="13:14">
      <c r="N164" t="e">
        <f t="shared" ca="1" si="3"/>
        <v>#VALUE!</v>
      </c>
    </row>
    <row r="165" spans="13:14">
      <c r="N165" t="e">
        <f t="shared" ca="1" si="3"/>
        <v>#VALUE!</v>
      </c>
    </row>
    <row r="166" spans="13:14">
      <c r="N166" t="e">
        <f t="shared" ca="1" si="3"/>
        <v>#VALUE!</v>
      </c>
    </row>
    <row r="167" spans="13:14">
      <c r="N167" t="e">
        <f t="shared" ca="1" si="3"/>
        <v>#VALUE!</v>
      </c>
    </row>
    <row r="168" spans="13:14">
      <c r="N168" t="e">
        <f t="shared" ca="1" si="3"/>
        <v>#VALUE!</v>
      </c>
    </row>
    <row r="169" spans="13:14">
      <c r="N169" t="e">
        <f t="shared" ca="1" si="3"/>
        <v>#VALUE!</v>
      </c>
    </row>
    <row r="170" spans="13:14">
      <c r="N170" t="e">
        <f t="shared" ca="1" si="3"/>
        <v>#VALUE!</v>
      </c>
    </row>
    <row r="171" spans="13:14">
      <c r="N171" t="e">
        <f t="shared" ca="1" si="3"/>
        <v>#VALUE!</v>
      </c>
    </row>
    <row r="172" spans="13:14">
      <c r="N172" t="e">
        <f t="shared" ca="1" si="3"/>
        <v>#VALUE!</v>
      </c>
    </row>
    <row r="173" spans="13:14">
      <c r="N173" t="e">
        <f t="shared" ca="1" si="3"/>
        <v>#VALUE!</v>
      </c>
    </row>
    <row r="174" spans="13:14">
      <c r="N174" t="e">
        <f t="shared" ca="1" si="3"/>
        <v>#VALUE!</v>
      </c>
    </row>
    <row r="175" spans="13:14">
      <c r="N175" t="e">
        <f t="shared" ca="1" si="3"/>
        <v>#VALUE!</v>
      </c>
    </row>
    <row r="176" spans="13:14">
      <c r="M176" s="7" t="s">
        <v>179</v>
      </c>
      <c r="N176" t="e">
        <f ca="1">"'" &amp; N175</f>
        <v>#VALUE!</v>
      </c>
    </row>
    <row r="177" spans="13:14">
      <c r="M177" s="7" t="s">
        <v>180</v>
      </c>
      <c r="N177" t="str">
        <f ca="1">MID(CELL("filename",L24),FIND("[",CELL("filename",L24)),999)</f>
        <v>[slug-flow-quadratic-020.xlsx]quadratics</v>
      </c>
    </row>
    <row r="178" spans="13:14">
      <c r="M178" s="7" t="s">
        <v>181</v>
      </c>
      <c r="N178" t="str">
        <f ca="1">IF(IFERROR(FIND("'#$", N72), 0) = 0, "Excel", "LibreOffice")</f>
        <v>Excel</v>
      </c>
    </row>
    <row r="179" spans="13:14">
      <c r="M179" s="7" t="s">
        <v>182</v>
      </c>
      <c r="N179" t="str">
        <f ca="1">IF(N178="LibreOffice", N176, N177)</f>
        <v>[slug-flow-quadratic-020.xlsx]quadratics</v>
      </c>
    </row>
  </sheetData>
  <printOptions verticalCentered="1"/>
  <pageMargins left="1.4173228346456694" right="0.78740157480314965" top="0.78740157480314965" bottom="0.78740157480314965" header="0.51181102362204722" footer="0.51181102362204722"/>
  <pageSetup paperSize="9" firstPageNumber="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28"/>
  <sheetViews>
    <sheetView zoomScale="140" zoomScaleNormal="140" workbookViewId="0"/>
  </sheetViews>
  <sheetFormatPr defaultColWidth="11.5703125" defaultRowHeight="15"/>
  <cols>
    <col min="1" max="1" width="4.5703125" customWidth="1"/>
    <col min="2" max="2" width="66.28515625" customWidth="1"/>
  </cols>
  <sheetData>
    <row r="1" spans="1:2">
      <c r="A1" s="1" t="s">
        <v>183</v>
      </c>
    </row>
    <row r="2" spans="1:2">
      <c r="A2" t="s">
        <v>184</v>
      </c>
    </row>
    <row r="4" spans="1:2">
      <c r="A4" t="s">
        <v>185</v>
      </c>
    </row>
    <row r="6" spans="1:2">
      <c r="A6" t="s">
        <v>186</v>
      </c>
    </row>
    <row r="8" spans="1:2">
      <c r="A8" t="s">
        <v>187</v>
      </c>
    </row>
    <row r="9" spans="1:2">
      <c r="A9" t="s">
        <v>188</v>
      </c>
    </row>
    <row r="11" spans="1:2">
      <c r="A11">
        <v>1</v>
      </c>
      <c r="B11" t="s">
        <v>189</v>
      </c>
    </row>
    <row r="12" spans="1:2">
      <c r="B12" t="s">
        <v>190</v>
      </c>
    </row>
    <row r="14" spans="1:2">
      <c r="A14">
        <v>2</v>
      </c>
      <c r="B14" t="s">
        <v>191</v>
      </c>
    </row>
    <row r="15" spans="1:2">
      <c r="B15" t="s">
        <v>192</v>
      </c>
    </row>
    <row r="16" spans="1:2">
      <c r="B16" t="s">
        <v>193</v>
      </c>
    </row>
    <row r="18" spans="1:1">
      <c r="A18" t="s">
        <v>194</v>
      </c>
    </row>
    <row r="19" spans="1:1">
      <c r="A19" t="s">
        <v>195</v>
      </c>
    </row>
    <row r="20" spans="1:1">
      <c r="A20" t="s">
        <v>196</v>
      </c>
    </row>
    <row r="21" spans="1:1">
      <c r="A21" t="s">
        <v>197</v>
      </c>
    </row>
    <row r="22" spans="1:1">
      <c r="A22" t="s">
        <v>198</v>
      </c>
    </row>
    <row r="23" spans="1:1">
      <c r="A23" t="s">
        <v>199</v>
      </c>
    </row>
    <row r="24" spans="1:1">
      <c r="A24" t="s">
        <v>200</v>
      </c>
    </row>
    <row r="25" spans="1:1">
      <c r="A25" t="s">
        <v>201</v>
      </c>
    </row>
    <row r="26" spans="1:1">
      <c r="A26" t="s">
        <v>202</v>
      </c>
    </row>
    <row r="27" spans="1:1">
      <c r="A27" t="s">
        <v>203</v>
      </c>
    </row>
    <row r="28" spans="1:1">
      <c r="A28" s="6" t="s">
        <v>204</v>
      </c>
    </row>
  </sheetData>
  <printOptions verticalCentered="1"/>
  <pageMargins left="1.4173228346456694" right="0.78740157480314965" top="0.78740157480314965" bottom="0.78740157480314965" header="0.51181102362204722" footer="0.51181102362204722"/>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Notes and Versions</vt:lpstr>
      <vt:lpstr>quadratics</vt:lpstr>
      <vt:lpstr>licence</vt:lpstr>
      <vt:lpstr>quadratics!Print_Area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1</cp:revision>
  <dcterms:created xsi:type="dcterms:W3CDTF">2021-04-24T01:29:51Z</dcterms:created>
  <dcterms:modified xsi:type="dcterms:W3CDTF">2021-04-24T02:04:31Z</dcterms:modified>
  <dc:language/>
</cp:coreProperties>
</file>