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 and Versions" sheetId="1" state="visible" r:id="rId2"/>
    <sheet name="quadratics" sheetId="2" state="visible" r:id="rId3"/>
    <sheet name="licence" sheetId="3" state="visible" r:id="rId4"/>
  </sheets>
  <definedNames>
    <definedName function="false" hidden="false" localSheetId="1" name="_xlnm.Print_Area" vbProcedure="false">quadratics!$A$1:$G$37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4" authorId="0">
      <text>
        <r>
          <rPr>
            <sz val="11"/>
            <color rgb="FF000000"/>
            <rFont val="Calibri"/>
            <family val="2"/>
            <charset val="1"/>
          </rPr>
          <t xml:space="preserve">If you set “Y” here, the drag figures will be divided by the standard wind tunnel blockage correction factor  of (1 – A_veh/A_tunnel)^2,
causing an increase in traffic drag.</t>
        </r>
      </text>
    </comment>
  </commentList>
</comments>
</file>

<file path=xl/sharedStrings.xml><?xml version="1.0" encoding="utf-8"?>
<sst xmlns="http://schemas.openxmlformats.org/spreadsheetml/2006/main" count="298" uniqueCount="209">
  <si>
    <t xml:space="preserve">Road tunnel quadratics spreadsheet versioning</t>
  </si>
  <si>
    <t xml:space="preserve">v1</t>
  </si>
  <si>
    <t xml:space="preserve">Nov 2020.  First version.</t>
  </si>
  <si>
    <t xml:space="preserve">v1.1</t>
  </si>
  <si>
    <t xml:space="preserve">Dec 2020.  Corrected the selection of which quadratic to use at slow vehicle speeds, added a note about density 1.2 kg/m3.</t>
  </si>
  <si>
    <t xml:space="preserve">v1.2</t>
  </si>
  <si>
    <t xml:space="preserve">Mar 2021.  No change to the calculation.  Altered the text descriptions of the range and sanity checks to the correct rows.</t>
  </si>
  <si>
    <t xml:space="preserve">v1.3</t>
  </si>
  <si>
    <t xml:space="preserve">July 2023.  Corrected an error in the traffic blockage.  Changed the calculation and notes to match the verification document.</t>
  </si>
  <si>
    <t xml:space="preserve">Notes for use (in no particular order)</t>
  </si>
  <si>
    <t xml:space="preserve">1) </t>
  </si>
  <si>
    <t xml:space="preserve">This spreadsheet solves steady-state incompressible flow in a road tunnel with friction, portal losses,</t>
  </si>
  <si>
    <t xml:space="preserve">stationary/moving traffic, portal pressure differences and jet fans.  It follows the classical approach</t>
  </si>
  <si>
    <t xml:space="preserve">given in PIARC documents, Woods Practical Guide to Fan Engineering and many BHR conference papers.</t>
  </si>
  <si>
    <t xml:space="preserve">2) </t>
  </si>
  <si>
    <t xml:space="preserve">If you have stationary traffic, you must set vehicle densities (veh/km).  If you have moving traffic, you</t>
  </si>
  <si>
    <t xml:space="preserve">must set vehicle flowrates (veh/hr).  The descriptors and units change according to whether it is stationary</t>
  </si>
  <si>
    <t xml:space="preserve">or moving traffic, but it is easy to forget.</t>
  </si>
  <si>
    <t xml:space="preserve">3) </t>
  </si>
  <si>
    <t xml:space="preserve">The traffic speed must be zero or positive.  The spreadsheet could be extended to handle cases with</t>
  </si>
  <si>
    <t xml:space="preserve">negative traffic speeds, but a simple spreadsheet is easier to prove correct.  A more complex spreadsheet</t>
  </si>
  <si>
    <t xml:space="preserve">would be harder to prove wrong.</t>
  </si>
  <si>
    <t xml:space="preserve">4) </t>
  </si>
  <si>
    <t xml:space="preserve">The spreadsheet does not consider area changes, friction factors varying with air velocity, or density changes.</t>
  </si>
  <si>
    <t xml:space="preserve">5) </t>
  </si>
  <si>
    <t xml:space="preserve">You must set which friction factor type you want to use, Darcy friction factor  λ or Fanning friction</t>
  </si>
  <si>
    <t xml:space="preserve">factor c_f (λ = 4 c_f).  If you are unsure about the difference between them, read “friction-rant.pdf” </t>
  </si>
  <si>
    <t xml:space="preserve">at https://github.com/ECB2020/Hobyah/tree/master/documentation</t>
  </si>
  <si>
    <t xml:space="preserve">6) </t>
  </si>
  <si>
    <t xml:space="preserve">The equations it uses are those in section IV of PIARC report 05.02.B (1995).  That report is available</t>
  </si>
  <si>
    <t xml:space="preserve">for free on PIARC's website (piarc.org) if you register your email with PIARC (also free).</t>
  </si>
  <si>
    <t xml:space="preserve">7) </t>
  </si>
  <si>
    <t xml:space="preserve">The basic equation that the spreadsheet solves is</t>
  </si>
  <si>
    <t xml:space="preserve">8) </t>
  </si>
  <si>
    <t xml:space="preserve">Where we have positive v_t, the absolute value term |v_v – v_t| means that we have to split into two quadratics,</t>
  </si>
  <si>
    <t xml:space="preserve">one for use when the traffic speed is lower than the airspeed, one for use when it is higher.  Only the sign of the</t>
  </si>
  <si>
    <t xml:space="preserve">traffic term changes.</t>
  </si>
  <si>
    <t xml:space="preserve">9) </t>
  </si>
  <si>
    <t xml:space="preserve">In the rare case where the pressure difference or reverse jet fans overpower the traffic piston effect and</t>
  </si>
  <si>
    <t xml:space="preserve">air blows backwards through the tunnel (negative v_t) a third equation is needed.  In this case we do not need</t>
  </si>
  <si>
    <t xml:space="preserve">the absolute value term, we can solve one quadratic equation with the sign of the friction term changed.</t>
  </si>
  <si>
    <t xml:space="preserve">10) </t>
  </si>
  <si>
    <t xml:space="preserve">If you want the jet fans to blow against the direction of traffic, set the jet van velocity negative.  Do</t>
  </si>
  <si>
    <t xml:space="preserve">not set the count of jet fans negative or the static thrust negative – they will not be accepted as valid input.</t>
  </si>
  <si>
    <t xml:space="preserve">11) </t>
  </si>
  <si>
    <r>
      <rPr>
        <sz val="11"/>
        <color rgb="FF000000"/>
        <rFont val="Calibri"/>
        <family val="2"/>
        <charset val="1"/>
      </rPr>
      <t xml:space="preserve">The base density of the spreadsheet is 1.2 kg/m</t>
    </r>
    <r>
      <rPr>
        <sz val="11"/>
        <color rgb="FF000000"/>
        <rFont val="Arial Unicode MS"/>
        <family val="2"/>
        <charset val="1"/>
      </rPr>
      <t xml:space="preserve">³.  This is used to convert the wind and jet fan data into</t>
    </r>
  </si>
  <si>
    <t xml:space="preserve">the same form as traffic drag and friction.</t>
  </si>
  <si>
    <t xml:space="preserve">12) </t>
  </si>
  <si>
    <t xml:space="preserve">The spreadsheet has sanity checks on the input data.  Text inputs (“Y”, “N”, “Darcy”, “Fanning”) are</t>
  </si>
  <si>
    <t xml:space="preserve">not case-sensitive but it will complain if non-valid text is entered.  It checks that number inputs are</t>
  </si>
  <si>
    <t xml:space="preserve">numbers and are they in the correct range.  With impossible entries (like negative tunnel area)</t>
  </si>
  <si>
    <t xml:space="preserve">the spreadsheet will state that it can't calculate due to dud tunnel geometry.  Similar messages</t>
  </si>
  <si>
    <t xml:space="preserve">appear for dud jet fan input, dud wind and dud traffic data.</t>
  </si>
  <si>
    <t xml:space="preserve">13) </t>
  </si>
  <si>
    <t xml:space="preserve">If you manage to get an unedited version of the spreadsheet to tell you that it can't calculate due</t>
  </si>
  <si>
    <t xml:space="preserve">to “dud equations” then please get in touch with me.  You've found a corner case that I missed during</t>
  </si>
  <si>
    <t xml:space="preserve">testing.  The “dud equations” error message is one that I wrote while developing the spreadsheet so</t>
  </si>
  <si>
    <t xml:space="preserve">that I could track down all the errors I made while writing it.  So be aware that if you start editing the</t>
  </si>
  <si>
    <t xml:space="preserve">equations to extend the spreadsheet's capabilities, the message “dud equations” will likely appear.</t>
  </si>
  <si>
    <t xml:space="preserve">Slug flow in a simple road tunnel by quadratic equations.  Solution of the equations in</t>
  </si>
  <si>
    <t xml:space="preserve">section IV of PIARC report 05.02.B, “Vehicle emissions, air demand, environment,</t>
  </si>
  <si>
    <t xml:space="preserve">longitudinal ventilation”.  Handles stationary traffic, moving traffic (vehicle speed must</t>
  </si>
  <si>
    <t xml:space="preserve">not be negative) jet fans and wind.  Selects the solution from a range of different</t>
  </si>
  <si>
    <t xml:space="preserve">quadratics, depending on the inputs.  The check calculation uses the source formula.</t>
  </si>
  <si>
    <t xml:space="preserve">Slug flow spreadsheet v1.3</t>
  </si>
  <si>
    <t xml:space="preserve">Single tunnel of constant area with losses, friction, jet fans, traffic drag and</t>
  </si>
  <si>
    <t xml:space="preserve">Intermediate calculations (not printed)</t>
  </si>
  <si>
    <t xml:space="preserve">portal pressures.</t>
  </si>
  <si>
    <t xml:space="preserve">Friction term</t>
  </si>
  <si>
    <t xml:space="preserve">—</t>
  </si>
  <si>
    <t xml:space="preserve">Car density</t>
  </si>
  <si>
    <t xml:space="preserve">veh/km</t>
  </si>
  <si>
    <t xml:space="preserve">LCV density</t>
  </si>
  <si>
    <t xml:space="preserve">HGV density</t>
  </si>
  <si>
    <t xml:space="preserve">Car term</t>
  </si>
  <si>
    <t xml:space="preserve">Fixed loss term</t>
  </si>
  <si>
    <t xml:space="preserve">Sanity checks of the input data (not printed)</t>
  </si>
  <si>
    <t xml:space="preserve">Tunnel geometry input</t>
  </si>
  <si>
    <t xml:space="preserve">Traffic input</t>
  </si>
  <si>
    <t xml:space="preserve">LCV term</t>
  </si>
  <si>
    <t xml:space="preserve">Wind term</t>
  </si>
  <si>
    <t xml:space="preserve">m²/s²</t>
  </si>
  <si>
    <t xml:space="preserve">Check of values in the tunnel terms</t>
  </si>
  <si>
    <t xml:space="preserve">Check of values in the traffic terms</t>
  </si>
  <si>
    <t xml:space="preserve">Length</t>
  </si>
  <si>
    <t xml:space="preserve">m</t>
  </si>
  <si>
    <t xml:space="preserve">Traffic speed (+ve)</t>
  </si>
  <si>
    <t xml:space="preserve">km/h</t>
  </si>
  <si>
    <t xml:space="preserve">HGV term</t>
  </si>
  <si>
    <t xml:space="preserve">Traffic term</t>
  </si>
  <si>
    <t xml:space="preserve">'=AND(ISNUMBER(B14), B14 &gt;= 0)</t>
  </si>
  <si>
    <t xml:space="preserve">'=AND(ISNUMBER(F14), F14 &gt;= 0)</t>
  </si>
  <si>
    <t xml:space="preserve">Area</t>
  </si>
  <si>
    <t xml:space="preserve">m²</t>
  </si>
  <si>
    <t xml:space="preserve">Traffic speed</t>
  </si>
  <si>
    <t xml:space="preserve">m/s</t>
  </si>
  <si>
    <t xml:space="preserve">Jet fan term</t>
  </si>
  <si>
    <t xml:space="preserve">'=AND(ISNUMBER(B15), B15 &gt; 0)</t>
  </si>
  <si>
    <t xml:space="preserve">'=AND(ISNUMBER(F15), F15 &gt;= 0)</t>
  </si>
  <si>
    <t xml:space="preserve">Perimeter</t>
  </si>
  <si>
    <t xml:space="preserve">Calculation (vehicles slower than air)</t>
  </si>
  <si>
    <t xml:space="preserve">Check calc of pressures</t>
  </si>
  <si>
    <t xml:space="preserve">'=AND(ISNUMBER(B16), B16 &gt; 0)</t>
  </si>
  <si>
    <t xml:space="preserve">'=AND(ISNUMBER(F16), F16 &gt;= 0)</t>
  </si>
  <si>
    <t xml:space="preserve">Darcy</t>
  </si>
  <si>
    <t xml:space="preserve">(Darcy/Fanning)</t>
  </si>
  <si>
    <t xml:space="preserve">A</t>
  </si>
  <si>
    <t xml:space="preserve">Friction pressure</t>
  </si>
  <si>
    <t xml:space="preserve">Pa</t>
  </si>
  <si>
    <t xml:space="preserve">'=AND(ISNUMBER(F17), F17 &gt;= 0)</t>
  </si>
  <si>
    <t xml:space="preserve">Car area</t>
  </si>
  <si>
    <t xml:space="preserve">B</t>
  </si>
  <si>
    <t xml:space="preserve">Wind pressure</t>
  </si>
  <si>
    <t xml:space="preserve">'=OR(B17 = "Fanning", B17 = "Darcy")</t>
  </si>
  <si>
    <t xml:space="preserve">'=AND(ISNUMBER(F18), F18 &gt; 0)</t>
  </si>
  <si>
    <t xml:space="preserve">Left portal loss</t>
  </si>
  <si>
    <t xml:space="preserve">Car drag factor</t>
  </si>
  <si>
    <t xml:space="preserve">C</t>
  </si>
  <si>
    <t xml:space="preserve">Traffic pressure</t>
  </si>
  <si>
    <t xml:space="preserve">'=AND(ISNUMBER(B18), B18 &gt;= 0)</t>
  </si>
  <si>
    <t xml:space="preserve">'=AND(ISNUMBER(F19), F19 &gt; 0)</t>
  </si>
  <si>
    <t xml:space="preserve">Right portal loss</t>
  </si>
  <si>
    <t xml:space="preserve">LCV area</t>
  </si>
  <si>
    <t xml:space="preserve">determinant</t>
  </si>
  <si>
    <t xml:space="preserve">Jet fan pressure</t>
  </si>
  <si>
    <t xml:space="preserve">'=AND(ISNUMBER(B19), B19 &gt;= 0)</t>
  </si>
  <si>
    <t xml:space="preserve">'=AND(ISNUMBER(F20), F20 &gt; 0)</t>
  </si>
  <si>
    <t xml:space="preserve">D_h (info only, not used)</t>
  </si>
  <si>
    <t xml:space="preserve">LCV drag factor</t>
  </si>
  <si>
    <t xml:space="preserve">v</t>
  </si>
  <si>
    <t xml:space="preserve">Sum of pressures (or 42)</t>
  </si>
  <si>
    <t xml:space="preserve">'=AND(ISNUMBER(B20), B20 &gt;= 0)</t>
  </si>
  <si>
    <t xml:space="preserve">'=AND(ISNUMBER(F21), F21 &gt; 0)</t>
  </si>
  <si>
    <t xml:space="preserve">HGV area</t>
  </si>
  <si>
    <t xml:space="preserve">Use this result?</t>
  </si>
  <si>
    <t xml:space="preserve">Valid fixed losses?</t>
  </si>
  <si>
    <t xml:space="preserve">'=AND(ISNUMBER(F22), F22 &gt; 0)</t>
  </si>
  <si>
    <t xml:space="preserve">Wind input</t>
  </si>
  <si>
    <t xml:space="preserve">HGV drag factor</t>
  </si>
  <si>
    <t xml:space="preserve">Calculation (vehicles faster than air)</t>
  </si>
  <si>
    <t xml:space="preserve">Check of values in the wind terms</t>
  </si>
  <si>
    <t xml:space="preserve">'=AND(ISNUMBER(F23), F23 &gt; 0)</t>
  </si>
  <si>
    <t xml:space="preserve">P at left portal</t>
  </si>
  <si>
    <t xml:space="preserve">Use  blockage correction in calc?</t>
  </si>
  <si>
    <t xml:space="preserve">N</t>
  </si>
  <si>
    <t xml:space="preserve">(Y/N)</t>
  </si>
  <si>
    <t xml:space="preserve">'=ISNUMBER(B24)</t>
  </si>
  <si>
    <t xml:space="preserve">'=OR(F24 = "Y", F24 = "N")</t>
  </si>
  <si>
    <t xml:space="preserve">P at right portal</t>
  </si>
  <si>
    <t xml:space="preserve">'=ISNUMBER(B25)</t>
  </si>
  <si>
    <t xml:space="preserve">Valid traffic terms?</t>
  </si>
  <si>
    <t xml:space="preserve">Valid wind?</t>
  </si>
  <si>
    <t xml:space="preserve">Jet fan input</t>
  </si>
  <si>
    <t xml:space="preserve">Check of values in the jet fan terms</t>
  </si>
  <si>
    <t xml:space="preserve">Count of fans</t>
  </si>
  <si>
    <t xml:space="preserve">'=AND(ISNUMBER(B28), B28 &gt;= 0)</t>
  </si>
  <si>
    <t xml:space="preserve">Static thrust</t>
  </si>
  <si>
    <t xml:space="preserve">N at 1.2 kg/m³</t>
  </si>
  <si>
    <t xml:space="preserve">Air velocity</t>
  </si>
  <si>
    <t xml:space="preserve">'=AND(ISNUMBER(B29), B29 &gt;= 0)</t>
  </si>
  <si>
    <t xml:space="preserve">Jet velocity</t>
  </si>
  <si>
    <t xml:space="preserve">Volume flow</t>
  </si>
  <si>
    <t xml:space="preserve">m³/s</t>
  </si>
  <si>
    <t xml:space="preserve">Calculation (reverse airflow)</t>
  </si>
  <si>
    <t xml:space="preserve">'=ISNUMBER(B30)</t>
  </si>
  <si>
    <t xml:space="preserve">Installation efficiency</t>
  </si>
  <si>
    <t xml:space="preserve">'=AND(ISNUMBER(B31), B31 &gt;= 0)</t>
  </si>
  <si>
    <t xml:space="preserve">  </t>
  </si>
  <si>
    <t xml:space="preserve">Independent check calc of pressures</t>
  </si>
  <si>
    <t xml:space="preserve">Valid jet fans?</t>
  </si>
  <si>
    <t xml:space="preserve">Valid input?</t>
  </si>
  <si>
    <t xml:space="preserve">Reason for invalid input:</t>
  </si>
  <si>
    <t xml:space="preserve"> </t>
  </si>
  <si>
    <t xml:space="preserve">Is the sum zero?</t>
  </si>
  <si>
    <t xml:space="preserve">A function to remove the path of a sheet tab name in LibreOffice.  This is fragile.</t>
  </si>
  <si>
    <t xml:space="preserve">Filename:</t>
  </si>
  <si>
    <t xml:space="preserve">System:</t>
  </si>
  <si>
    <t xml:space="preserve">Directory separator:</t>
  </si>
  <si>
    <t xml:space="preserve">Now strip off up to 100 strings ending in the directory separator.</t>
  </si>
  <si>
    <t xml:space="preserve">1st pass</t>
  </si>
  <si>
    <t xml:space="preserve">2nd </t>
  </si>
  <si>
    <t xml:space="preserve">3rd</t>
  </si>
  <si>
    <t xml:space="preserve">and so on.</t>
  </si>
  <si>
    <t xml:space="preserve">Spreadsheet name in LibreOffice:</t>
  </si>
  <si>
    <t xml:space="preserve">Spreadsheet name in Excel:</t>
  </si>
  <si>
    <t xml:space="preserve">Which program is editing this spreadsheet?</t>
  </si>
  <si>
    <t xml:space="preserve">Spreadsheet name to use:</t>
  </si>
  <si>
    <t xml:space="preserve">Licence</t>
  </si>
  <si>
    <t xml:space="preserve">Copyright (c) 2020-2023, Ewan Bennett (ewanbennett@fastmail.com)</t>
  </si>
  <si>
    <t xml:space="preserve">All rights reserved.</t>
  </si>
  <si>
    <t xml:space="preserve">Released under the BSD 2-clause licence (SPDX identifier: BSD-2-Clause):</t>
  </si>
  <si>
    <t xml:space="preserve">Redistribution and use in source and binary forms, with or without modification, are</t>
  </si>
  <si>
    <t xml:space="preserve">permitted provided that the following conditions are met:</t>
  </si>
  <si>
    <t xml:space="preserve">Redistributions of source code must retain the above copyright notice, this list of</t>
  </si>
  <si>
    <t xml:space="preserve">conditions and the following disclaimer.</t>
  </si>
  <si>
    <t xml:space="preserve">Redistributions in binary form must reproduce the above copyright notice, this</t>
  </si>
  <si>
    <t xml:space="preserve">list of conditions and the following disclaimer in the documentation and/or other</t>
  </si>
  <si>
    <t xml:space="preserve">materials provided with the distribution.</t>
  </si>
  <si>
    <t xml:space="preserve">THIS SOFTWARE IS PROVIDED BY THE COPYRIGHT HOLDERS AND CONTRIBUTORS "AS</t>
  </si>
  <si>
    <t xml:space="preserve">IS” AND ANY EXPRESS OR IMPLIED WARRANTIES, INCLUDING, BUT NOT LIMITED TO,</t>
  </si>
  <si>
    <t xml:space="preserve">THE IMPLIED WARRANTIES OF MERCHANTABILITY AND FITNESS FOR A PARTICULAR</t>
  </si>
  <si>
    <t xml:space="preserve">PURPOSE ARE DISCLAIMED. IN NO EVENT SHALL THE COPYRIGHT HOLDER OR</t>
  </si>
  <si>
    <t xml:space="preserve">CONTRIBUTORS BE LIABLE FOR ANY DIRECT, INDIRECT, INCIDENTAL, SPECIAL,</t>
  </si>
  <si>
    <t xml:space="preserve">EXEMPLARY, OR CONSEQUENTIAL DAMAGES (INCLUDING, BUT NOT LIMITED TO,</t>
  </si>
  <si>
    <t xml:space="preserve">PROCUREMENT OF SUBSTITUTE GOODS OR SERVICES; LOSS OF USE, DATA, OR</t>
  </si>
  <si>
    <t xml:space="preserve">PROFITS; OR BUSINESS INTERRUPTION) HOWEVER CAUSED AND ON ANY THEORY OF</t>
  </si>
  <si>
    <t xml:space="preserve">LIABILITY, WHETHER IN CONTRACT, STRICT LIABILITY, OR TORT (INCLUDING</t>
  </si>
  <si>
    <t xml:space="preserve">NEGLIGENCE OR OTHERWISE) ARISING IN ANY WAY OUT OF THE USE OF THIS</t>
  </si>
  <si>
    <t xml:space="preserve">SOFTWARE, EVEN IF ADVISED OF THE POSSIBILITY OF SUCH DAMAGE.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</si>
</sst>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C09]#,##0.00;[RED]\-[$$-C09]#,##0.00"/>
    <numFmt numFmtId="166" formatCode="General"/>
    <numFmt numFmtId="167" formatCode="0.000"/>
    <numFmt numFmtId="168" formatCode="&quot;TRUE&quot;;&quot;TRUE&quot;;&quot;FALSE&quot;"/>
    <numFmt numFmtId="169" formatCode="#,##0.00"/>
    <numFmt numFmtId="170" formatCode="0.00"/>
    <numFmt numFmtId="171" formatCode="dd/mm/yy"/>
    <numFmt numFmtId="172" formatCode="0.0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 Unicode MS"/>
      <family val="2"/>
      <charset val="1"/>
    </font>
    <font>
      <sz val="8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FF"/>
      <name val="Calibri"/>
      <family val="2"/>
      <charset val="1"/>
    </font>
    <font>
      <sz val="10"/>
      <color rgb="FF000000"/>
      <name val="Noto Sans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130320</xdr:colOff>
      <xdr:row>33</xdr:row>
      <xdr:rowOff>146160</xdr:rowOff>
    </xdr:from>
    <xdr:to>
      <xdr:col>1</xdr:col>
      <xdr:colOff>6945480</xdr:colOff>
      <xdr:row>63</xdr:row>
      <xdr:rowOff>102240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130320" y="5929560"/>
          <a:ext cx="7140600" cy="5213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34920</xdr:colOff>
      <xdr:row>69</xdr:row>
      <xdr:rowOff>7560</xdr:rowOff>
    </xdr:from>
    <xdr:to>
      <xdr:col>1</xdr:col>
      <xdr:colOff>6857640</xdr:colOff>
      <xdr:row>74</xdr:row>
      <xdr:rowOff>106200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360360" y="12100320"/>
          <a:ext cx="6822720" cy="974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34920</xdr:colOff>
      <xdr:row>78</xdr:row>
      <xdr:rowOff>75600</xdr:rowOff>
    </xdr:from>
    <xdr:to>
      <xdr:col>1</xdr:col>
      <xdr:colOff>6852600</xdr:colOff>
      <xdr:row>81</xdr:row>
      <xdr:rowOff>44640</xdr:rowOff>
    </xdr:to>
    <xdr:pic>
      <xdr:nvPicPr>
        <xdr:cNvPr id="2" name="Image 5" descr=""/>
        <xdr:cNvPicPr/>
      </xdr:nvPicPr>
      <xdr:blipFill>
        <a:blip r:embed="rId3"/>
        <a:stretch/>
      </xdr:blipFill>
      <xdr:spPr>
        <a:xfrm>
          <a:off x="360360" y="13745880"/>
          <a:ext cx="6817680" cy="494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9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6" activeCellId="0" sqref="B2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4.62"/>
    <col collapsed="false" customWidth="true" hidden="false" outlineLevel="0" max="2" min="2" style="0" width="106.63"/>
  </cols>
  <sheetData>
    <row r="1" customFormat="false" ht="13.8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0" t="s">
        <v>2</v>
      </c>
    </row>
    <row r="4" customFormat="false" ht="13.8" hidden="false" customHeight="false" outlineLevel="0" collapsed="false">
      <c r="A4" s="2" t="s">
        <v>3</v>
      </c>
      <c r="B4" s="3" t="s">
        <v>4</v>
      </c>
    </row>
    <row r="5" customFormat="false" ht="13.8" hidden="false" customHeight="false" outlineLevel="0" collapsed="false">
      <c r="A5" s="2" t="s">
        <v>5</v>
      </c>
      <c r="B5" s="3" t="s">
        <v>6</v>
      </c>
    </row>
    <row r="6" customFormat="false" ht="13.8" hidden="false" customHeight="false" outlineLevel="0" collapsed="false">
      <c r="A6" s="2" t="s">
        <v>7</v>
      </c>
      <c r="B6" s="3" t="s">
        <v>8</v>
      </c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9" customFormat="false" ht="13.8" hidden="false" customHeight="false" outlineLevel="0" collapsed="false">
      <c r="A9" s="1"/>
    </row>
    <row r="10" customFormat="false" ht="13.8" hidden="false" customHeight="false" outlineLevel="0" collapsed="false">
      <c r="A10" s="1" t="s">
        <v>9</v>
      </c>
    </row>
    <row r="12" customFormat="false" ht="13.8" hidden="false" customHeight="false" outlineLevel="0" collapsed="false">
      <c r="A12" s="2" t="s">
        <v>10</v>
      </c>
      <c r="B12" s="0" t="s">
        <v>11</v>
      </c>
    </row>
    <row r="13" customFormat="false" ht="13.8" hidden="false" customHeight="false" outlineLevel="0" collapsed="false">
      <c r="A13" s="2"/>
      <c r="B13" s="0" t="s">
        <v>12</v>
      </c>
    </row>
    <row r="14" customFormat="false" ht="13.8" hidden="false" customHeight="false" outlineLevel="0" collapsed="false">
      <c r="A14" s="2"/>
      <c r="B14" s="0" t="s">
        <v>13</v>
      </c>
    </row>
    <row r="15" customFormat="false" ht="13.8" hidden="false" customHeight="false" outlineLevel="0" collapsed="false">
      <c r="A15" s="2"/>
    </row>
    <row r="16" customFormat="false" ht="13.8" hidden="false" customHeight="false" outlineLevel="0" collapsed="false">
      <c r="A16" s="2" t="s">
        <v>14</v>
      </c>
      <c r="B16" s="0" t="s">
        <v>15</v>
      </c>
    </row>
    <row r="17" customFormat="false" ht="13.8" hidden="false" customHeight="false" outlineLevel="0" collapsed="false">
      <c r="A17" s="2"/>
      <c r="B17" s="0" t="s">
        <v>16</v>
      </c>
    </row>
    <row r="18" customFormat="false" ht="13.8" hidden="false" customHeight="false" outlineLevel="0" collapsed="false">
      <c r="A18" s="2"/>
      <c r="B18" s="0" t="s">
        <v>17</v>
      </c>
      <c r="E18" s="3"/>
    </row>
    <row r="19" customFormat="false" ht="13.8" hidden="false" customHeight="false" outlineLevel="0" collapsed="false">
      <c r="A19" s="2"/>
      <c r="E19" s="3"/>
    </row>
    <row r="20" customFormat="false" ht="13.8" hidden="false" customHeight="false" outlineLevel="0" collapsed="false">
      <c r="A20" s="2" t="s">
        <v>18</v>
      </c>
      <c r="B20" s="0" t="s">
        <v>19</v>
      </c>
      <c r="E20" s="3"/>
    </row>
    <row r="21" customFormat="false" ht="13.8" hidden="false" customHeight="false" outlineLevel="0" collapsed="false">
      <c r="A21" s="2"/>
      <c r="B21" s="0" t="s">
        <v>20</v>
      </c>
      <c r="E21" s="3"/>
    </row>
    <row r="22" customFormat="false" ht="13.8" hidden="false" customHeight="false" outlineLevel="0" collapsed="false">
      <c r="A22" s="2"/>
      <c r="B22" s="0" t="s">
        <v>21</v>
      </c>
      <c r="E22" s="3"/>
    </row>
    <row r="23" customFormat="false" ht="13.8" hidden="false" customHeight="false" outlineLevel="0" collapsed="false">
      <c r="A23" s="2"/>
      <c r="E23" s="3"/>
    </row>
    <row r="24" customFormat="false" ht="13.8" hidden="false" customHeight="false" outlineLevel="0" collapsed="false">
      <c r="A24" s="2" t="s">
        <v>22</v>
      </c>
      <c r="B24" s="0" t="s">
        <v>23</v>
      </c>
      <c r="E24" s="3"/>
    </row>
    <row r="25" customFormat="false" ht="13.8" hidden="false" customHeight="false" outlineLevel="0" collapsed="false">
      <c r="A25" s="2"/>
      <c r="E25" s="3"/>
    </row>
    <row r="26" customFormat="false" ht="13.8" hidden="false" customHeight="false" outlineLevel="0" collapsed="false">
      <c r="A26" s="2" t="s">
        <v>24</v>
      </c>
      <c r="B26" s="0" t="s">
        <v>25</v>
      </c>
      <c r="E26" s="3"/>
    </row>
    <row r="27" customFormat="false" ht="13.8" hidden="false" customHeight="false" outlineLevel="0" collapsed="false">
      <c r="A27" s="2"/>
      <c r="B27" s="0" t="s">
        <v>26</v>
      </c>
      <c r="E27" s="3"/>
    </row>
    <row r="28" customFormat="false" ht="13.8" hidden="false" customHeight="false" outlineLevel="0" collapsed="false">
      <c r="A28" s="2"/>
      <c r="B28" s="0" t="s">
        <v>27</v>
      </c>
      <c r="E28" s="3"/>
    </row>
    <row r="29" customFormat="false" ht="13.8" hidden="false" customHeight="false" outlineLevel="0" collapsed="false">
      <c r="A29" s="2"/>
      <c r="E29" s="3"/>
    </row>
    <row r="30" customFormat="false" ht="13.8" hidden="false" customHeight="false" outlineLevel="0" collapsed="false">
      <c r="A30" s="2" t="s">
        <v>28</v>
      </c>
      <c r="B30" s="0" t="s">
        <v>29</v>
      </c>
      <c r="E30" s="3"/>
    </row>
    <row r="31" customFormat="false" ht="13.8" hidden="false" customHeight="false" outlineLevel="0" collapsed="false">
      <c r="A31" s="2"/>
      <c r="B31" s="0" t="s">
        <v>30</v>
      </c>
      <c r="E31" s="3"/>
    </row>
    <row r="32" customFormat="false" ht="13.8" hidden="false" customHeight="false" outlineLevel="0" collapsed="false">
      <c r="A32" s="2"/>
      <c r="E32" s="3"/>
    </row>
    <row r="33" customFormat="false" ht="13.8" hidden="false" customHeight="false" outlineLevel="0" collapsed="false">
      <c r="A33" s="2" t="s">
        <v>31</v>
      </c>
      <c r="B33" s="0" t="s">
        <v>32</v>
      </c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67" customFormat="false" ht="13.8" hidden="false" customHeight="false" outlineLevel="0" collapsed="false">
      <c r="A67" s="2" t="s">
        <v>33</v>
      </c>
      <c r="B67" s="0" t="s">
        <v>34</v>
      </c>
    </row>
    <row r="68" customFormat="false" ht="13.8" hidden="false" customHeight="false" outlineLevel="0" collapsed="false">
      <c r="A68" s="2"/>
      <c r="B68" s="0" t="s">
        <v>35</v>
      </c>
    </row>
    <row r="69" customFormat="false" ht="13.8" hidden="false" customHeight="false" outlineLevel="0" collapsed="false">
      <c r="A69" s="2"/>
      <c r="B69" s="0" t="s">
        <v>36</v>
      </c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 t="s">
        <v>37</v>
      </c>
      <c r="B76" s="0" t="s">
        <v>38</v>
      </c>
    </row>
    <row r="77" customFormat="false" ht="13.8" hidden="false" customHeight="false" outlineLevel="0" collapsed="false">
      <c r="A77" s="2"/>
      <c r="B77" s="0" t="s">
        <v>39</v>
      </c>
    </row>
    <row r="78" customFormat="false" ht="13.8" hidden="false" customHeight="false" outlineLevel="0" collapsed="false">
      <c r="A78" s="2"/>
      <c r="B78" s="0" t="s">
        <v>40</v>
      </c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3" customFormat="false" ht="13.8" hidden="false" customHeight="false" outlineLevel="0" collapsed="false">
      <c r="A83" s="2" t="s">
        <v>41</v>
      </c>
      <c r="B83" s="0" t="s">
        <v>42</v>
      </c>
    </row>
    <row r="84" customFormat="false" ht="13.8" hidden="false" customHeight="false" outlineLevel="0" collapsed="false">
      <c r="B84" s="0" t="s">
        <v>43</v>
      </c>
    </row>
    <row r="86" customFormat="false" ht="16.05" hidden="false" customHeight="false" outlineLevel="0" collapsed="false">
      <c r="A86" s="2" t="s">
        <v>44</v>
      </c>
      <c r="B86" s="0" t="s">
        <v>45</v>
      </c>
    </row>
    <row r="87" customFormat="false" ht="13.8" hidden="false" customHeight="false" outlineLevel="0" collapsed="false">
      <c r="A87" s="2"/>
      <c r="B87" s="0" t="s">
        <v>46</v>
      </c>
    </row>
    <row r="89" customFormat="false" ht="13.8" hidden="false" customHeight="false" outlineLevel="0" collapsed="false">
      <c r="A89" s="2" t="s">
        <v>47</v>
      </c>
      <c r="B89" s="0" t="s">
        <v>48</v>
      </c>
    </row>
    <row r="90" customFormat="false" ht="13.8" hidden="false" customHeight="false" outlineLevel="0" collapsed="false">
      <c r="B90" s="0" t="s">
        <v>49</v>
      </c>
    </row>
    <row r="91" customFormat="false" ht="13.8" hidden="false" customHeight="false" outlineLevel="0" collapsed="false">
      <c r="B91" s="0" t="s">
        <v>50</v>
      </c>
    </row>
    <row r="92" customFormat="false" ht="13.8" hidden="false" customHeight="false" outlineLevel="0" collapsed="false">
      <c r="B92" s="0" t="s">
        <v>51</v>
      </c>
    </row>
    <row r="93" customFormat="false" ht="13.8" hidden="false" customHeight="false" outlineLevel="0" collapsed="false">
      <c r="B93" s="0" t="s">
        <v>52</v>
      </c>
    </row>
    <row r="95" customFormat="false" ht="13.8" hidden="false" customHeight="false" outlineLevel="0" collapsed="false">
      <c r="A95" s="2" t="s">
        <v>53</v>
      </c>
      <c r="B95" s="0" t="s">
        <v>54</v>
      </c>
    </row>
    <row r="96" customFormat="false" ht="13.8" hidden="false" customHeight="false" outlineLevel="0" collapsed="false">
      <c r="B96" s="0" t="s">
        <v>55</v>
      </c>
    </row>
    <row r="97" customFormat="false" ht="13.8" hidden="false" customHeight="false" outlineLevel="0" collapsed="false">
      <c r="B97" s="0" t="s">
        <v>56</v>
      </c>
    </row>
    <row r="98" customFormat="false" ht="13.8" hidden="false" customHeight="false" outlineLevel="0" collapsed="false">
      <c r="B98" s="0" t="s">
        <v>57</v>
      </c>
    </row>
    <row r="99" customFormat="false" ht="13.8" hidden="false" customHeight="false" outlineLevel="0" collapsed="false">
      <c r="B99" s="0" t="s">
        <v>58</v>
      </c>
    </row>
  </sheetData>
  <printOptions headings="false" gridLines="false" gridLinesSet="true" horizontalCentered="true" verticalCentered="true"/>
  <pageMargins left="1.41736111111111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9.2"/>
    <col collapsed="false" customWidth="true" hidden="false" outlineLevel="0" max="3" min="3" style="0" width="6.43"/>
    <col collapsed="false" customWidth="true" hidden="false" outlineLevel="0" max="4" min="4" style="0" width="10"/>
    <col collapsed="false" customWidth="true" hidden="false" outlineLevel="0" max="5" min="5" style="0" width="15.05"/>
    <col collapsed="false" customWidth="true" hidden="false" outlineLevel="0" max="6" min="6" style="0" width="9.78"/>
    <col collapsed="false" customWidth="true" hidden="false" outlineLevel="0" max="7" min="7" style="0" width="7.29"/>
    <col collapsed="false" customWidth="true" hidden="false" outlineLevel="0" max="10" min="10" style="0" width="9.2"/>
    <col collapsed="false" customWidth="true" hidden="false" outlineLevel="0" max="15" min="15" style="0" width="6.42"/>
  </cols>
  <sheetData>
    <row r="1" customFormat="false" ht="13.8" hidden="false" customHeight="false" outlineLevel="0" collapsed="false">
      <c r="A1" s="0" t="s">
        <v>59</v>
      </c>
    </row>
    <row r="2" customFormat="false" ht="13.8" hidden="false" customHeight="false" outlineLevel="0" collapsed="false">
      <c r="A2" s="0" t="s">
        <v>60</v>
      </c>
    </row>
    <row r="3" customFormat="false" ht="13.8" hidden="false" customHeight="false" outlineLevel="0" collapsed="false">
      <c r="A3" s="0" t="s">
        <v>61</v>
      </c>
    </row>
    <row r="4" customFormat="false" ht="13.8" hidden="false" customHeight="false" outlineLevel="0" collapsed="false">
      <c r="A4" s="0" t="s">
        <v>62</v>
      </c>
    </row>
    <row r="5" customFormat="false" ht="13.8" hidden="false" customHeight="false" outlineLevel="0" collapsed="false">
      <c r="A5" s="0" t="s">
        <v>63</v>
      </c>
    </row>
    <row r="6" customFormat="false" ht="13.8" hidden="false" customHeight="false" outlineLevel="0" collapsed="false">
      <c r="A6" s="4" t="s">
        <v>64</v>
      </c>
      <c r="G6" s="5" t="str">
        <f aca="false">L180</f>
        <v>'slug-flow-quadratics.xlsx'#$quadratics</v>
      </c>
      <c r="H6" s="5"/>
    </row>
    <row r="7" customFormat="false" ht="13.8" hidden="false" customHeight="false" outlineLevel="0" collapsed="false">
      <c r="A7" s="6" t="s">
        <v>65</v>
      </c>
      <c r="B7" s="7"/>
      <c r="C7" s="7"/>
      <c r="D7" s="7"/>
      <c r="E7" s="7"/>
      <c r="F7" s="7"/>
      <c r="G7" s="8"/>
      <c r="H7" s="9"/>
      <c r="I7" s="10" t="s">
        <v>66</v>
      </c>
      <c r="J7" s="11"/>
      <c r="K7" s="11"/>
      <c r="L7" s="11"/>
      <c r="M7" s="11"/>
      <c r="N7" s="11"/>
      <c r="O7" s="12"/>
    </row>
    <row r="8" customFormat="false" ht="13.8" hidden="false" customHeight="false" outlineLevel="0" collapsed="false">
      <c r="A8" s="13" t="s">
        <v>67</v>
      </c>
      <c r="B8" s="14"/>
      <c r="C8" s="14"/>
      <c r="D8" s="14"/>
      <c r="E8" s="14"/>
      <c r="F8" s="14"/>
      <c r="G8" s="9"/>
      <c r="H8" s="9"/>
      <c r="I8" s="15" t="s">
        <v>68</v>
      </c>
      <c r="J8" s="16" t="n">
        <f aca="false">$B$18*$B$14*$B$16/$B$15 / IF($B$17="Darcy", 4, IF($B$17="Fanning", 1, NA()))</f>
        <v>11.52</v>
      </c>
      <c r="K8" s="17" t="s">
        <v>69</v>
      </c>
      <c r="O8" s="18"/>
    </row>
    <row r="9" customFormat="false" ht="13.8" hidden="false" customHeight="false" outlineLevel="0" collapsed="false">
      <c r="A9" s="13"/>
      <c r="B9" s="14"/>
      <c r="C9" s="14"/>
      <c r="D9" s="14"/>
      <c r="E9" s="14"/>
      <c r="F9" s="14"/>
      <c r="G9" s="9"/>
      <c r="H9" s="9"/>
      <c r="I9" s="15" t="s">
        <v>70</v>
      </c>
      <c r="J9" s="16" t="n">
        <f aca="false">IF($F$14=0, F15, F15 / $F$14)</f>
        <v>40</v>
      </c>
      <c r="K9" s="17" t="s">
        <v>71</v>
      </c>
      <c r="O9" s="18"/>
    </row>
    <row r="10" customFormat="false" ht="13.8" hidden="false" customHeight="false" outlineLevel="0" collapsed="false">
      <c r="A10" s="13"/>
      <c r="B10" s="14"/>
      <c r="C10" s="14"/>
      <c r="D10" s="14"/>
      <c r="E10" s="14"/>
      <c r="F10" s="14"/>
      <c r="G10" s="9"/>
      <c r="H10" s="9"/>
      <c r="I10" s="15" t="s">
        <v>72</v>
      </c>
      <c r="J10" s="16" t="n">
        <f aca="false">IF($F$14=0, F16, F16 / $F$14)</f>
        <v>1.8</v>
      </c>
      <c r="K10" s="17" t="s">
        <v>71</v>
      </c>
      <c r="O10" s="18"/>
    </row>
    <row r="11" customFormat="false" ht="13.8" hidden="false" customHeight="false" outlineLevel="0" collapsed="false">
      <c r="A11" s="19"/>
      <c r="B11" s="20"/>
      <c r="C11" s="20"/>
      <c r="D11" s="20"/>
      <c r="E11" s="20"/>
      <c r="F11" s="20"/>
      <c r="G11" s="21"/>
      <c r="H11" s="9"/>
      <c r="I11" s="15" t="s">
        <v>73</v>
      </c>
      <c r="J11" s="16" t="n">
        <f aca="false">IF($F$14=0, F17, F17 / $F$14)</f>
        <v>4.6</v>
      </c>
      <c r="K11" s="17" t="s">
        <v>71</v>
      </c>
      <c r="O11" s="18"/>
    </row>
    <row r="12" customFormat="false" ht="13.8" hidden="false" customHeight="false" outlineLevel="0" collapsed="false">
      <c r="I12" s="15" t="s">
        <v>74</v>
      </c>
      <c r="J12" s="16" t="n">
        <f aca="false">$F$18 * $F$19 * $J$9 * $B$14/(1000 * $B$15 * IF($F$24 = "N", 1, (1 - $F$18/$B$15)^2) )</f>
        <v>1.28</v>
      </c>
      <c r="K12" s="17" t="s">
        <v>69</v>
      </c>
      <c r="M12" s="2" t="s">
        <v>75</v>
      </c>
      <c r="N12" s="22" t="n">
        <f aca="false">IF($S$22, $B$19 + $B$20 + $J$8, "Dud geom")</f>
        <v>13.02</v>
      </c>
      <c r="O12" s="23" t="s">
        <v>69</v>
      </c>
      <c r="P12" s="10" t="s">
        <v>76</v>
      </c>
      <c r="Q12" s="11"/>
      <c r="R12" s="24"/>
      <c r="S12" s="11"/>
      <c r="T12" s="11"/>
      <c r="U12" s="11"/>
      <c r="V12" s="11"/>
      <c r="W12" s="12"/>
    </row>
    <row r="13" customFormat="false" ht="13.8" hidden="false" customHeight="false" outlineLevel="0" collapsed="false">
      <c r="B13" s="25" t="s">
        <v>77</v>
      </c>
      <c r="F13" s="25" t="s">
        <v>78</v>
      </c>
      <c r="I13" s="15" t="s">
        <v>79</v>
      </c>
      <c r="J13" s="16" t="n">
        <f aca="false">$F$20 * $F$21 * $J$10 * $B$14/(1000 * $B$15 * IF($F$24 = "N", 1, (1 - $F$20/$B$15)^2) )</f>
        <v>0.2304</v>
      </c>
      <c r="K13" s="17" t="s">
        <v>69</v>
      </c>
      <c r="M13" s="2" t="s">
        <v>80</v>
      </c>
      <c r="N13" s="22" t="n">
        <f aca="false">IF($S$26, ($B$25 - $B$24)/0.6, "Dud wind")</f>
        <v>33.3333333333333</v>
      </c>
      <c r="O13" s="23" t="s">
        <v>81</v>
      </c>
      <c r="P13" s="26"/>
      <c r="R13" s="27" t="s">
        <v>82</v>
      </c>
      <c r="V13" s="27" t="s">
        <v>83</v>
      </c>
      <c r="W13" s="18"/>
    </row>
    <row r="14" customFormat="false" ht="13.8" hidden="false" customHeight="false" outlineLevel="0" collapsed="false">
      <c r="A14" s="28" t="s">
        <v>84</v>
      </c>
      <c r="B14" s="29" t="n">
        <v>2000</v>
      </c>
      <c r="C14" s="28" t="s">
        <v>85</v>
      </c>
      <c r="E14" s="28" t="s">
        <v>86</v>
      </c>
      <c r="F14" s="29" t="n">
        <v>50</v>
      </c>
      <c r="G14" s="28" t="s">
        <v>87</v>
      </c>
      <c r="H14" s="28"/>
      <c r="I14" s="15" t="s">
        <v>88</v>
      </c>
      <c r="J14" s="16" t="n">
        <f aca="false">$F$22 * $F$23 * $J$11 * $B$14/(1000 * $B$15 * IF($F$24 = "N", 1, (1 - $F$22/$B$15)^2) )</f>
        <v>0.9936</v>
      </c>
      <c r="K14" s="17" t="s">
        <v>69</v>
      </c>
      <c r="M14" s="2" t="s">
        <v>89</v>
      </c>
      <c r="N14" s="22" t="n">
        <f aca="false">IF($W$25,SUM($J$12:$J$14), "Dud traffic")</f>
        <v>2.504</v>
      </c>
      <c r="O14" s="23" t="s">
        <v>69</v>
      </c>
      <c r="P14" s="26"/>
      <c r="R14" s="30" t="s">
        <v>90</v>
      </c>
      <c r="S14" s="31" t="n">
        <f aca="false">AND(ISNUMBER(B14), B14 &gt;= 0)</f>
        <v>1</v>
      </c>
      <c r="V14" s="32" t="s">
        <v>91</v>
      </c>
      <c r="W14" s="33" t="n">
        <f aca="false">AND(ISNUMBER(F14), F14 &gt;= 0)</f>
        <v>1</v>
      </c>
    </row>
    <row r="15" customFormat="false" ht="13.8" hidden="false" customHeight="false" outlineLevel="0" collapsed="false">
      <c r="A15" s="28" t="s">
        <v>92</v>
      </c>
      <c r="B15" s="34" t="n">
        <v>50</v>
      </c>
      <c r="C15" s="28" t="s">
        <v>93</v>
      </c>
      <c r="E15" s="28" t="str">
        <f aca="false">IF($F$14=0, "Car density", "Car flowrate")</f>
        <v>Car flowrate</v>
      </c>
      <c r="F15" s="29" t="n">
        <v>2000</v>
      </c>
      <c r="G15" s="28" t="str">
        <f aca="false">IF($F$14=0, "cars/km", "cars/hr")</f>
        <v>cars/hr</v>
      </c>
      <c r="H15" s="28"/>
      <c r="I15" s="15" t="s">
        <v>94</v>
      </c>
      <c r="J15" s="16" t="n">
        <f aca="false">F14 / 3.6</f>
        <v>13.8888888888889</v>
      </c>
      <c r="K15" s="17" t="s">
        <v>95</v>
      </c>
      <c r="M15" s="2" t="s">
        <v>96</v>
      </c>
      <c r="N15" s="22" t="n">
        <f aca="false">IF($S$32, $B$28 * $B$29 * $B$31 / (0.6 * ABS($B$30) * $B$15), "Dud jet fans")</f>
        <v>7.3</v>
      </c>
      <c r="O15" s="23" t="s">
        <v>95</v>
      </c>
      <c r="P15" s="26"/>
      <c r="R15" s="30" t="s">
        <v>97</v>
      </c>
      <c r="S15" s="31" t="n">
        <f aca="false">AND(ISNUMBER(B15), B15 &gt; 0)</f>
        <v>1</v>
      </c>
      <c r="V15" s="32" t="s">
        <v>98</v>
      </c>
      <c r="W15" s="33" t="n">
        <f aca="false">AND(ISNUMBER(F15), F15 &gt;= 0)</f>
        <v>1</v>
      </c>
    </row>
    <row r="16" customFormat="false" ht="13.8" hidden="false" customHeight="false" outlineLevel="0" collapsed="false">
      <c r="A16" s="28" t="s">
        <v>99</v>
      </c>
      <c r="B16" s="29" t="n">
        <v>32</v>
      </c>
      <c r="C16" s="28" t="s">
        <v>85</v>
      </c>
      <c r="E16" s="28" t="str">
        <f aca="false">IF($F$14=0, "LCV density", "LCV flowrate")</f>
        <v>LCV flowrate</v>
      </c>
      <c r="F16" s="29" t="n">
        <v>90</v>
      </c>
      <c r="G16" s="28" t="str">
        <f aca="false">IF($F$14=0, "LCVs/km", "LCVs/hr")</f>
        <v>LCVs/hr</v>
      </c>
      <c r="H16" s="28"/>
      <c r="I16" s="35"/>
      <c r="J16" s="36" t="s">
        <v>100</v>
      </c>
      <c r="K16" s="11"/>
      <c r="L16" s="11"/>
      <c r="M16" s="11"/>
      <c r="N16" s="36" t="s">
        <v>101</v>
      </c>
      <c r="O16" s="12"/>
      <c r="P16" s="26"/>
      <c r="R16" s="30" t="s">
        <v>102</v>
      </c>
      <c r="S16" s="31" t="n">
        <f aca="false">AND(ISNUMBER(B16), B16 &gt; 0)</f>
        <v>1</v>
      </c>
      <c r="V16" s="32" t="s">
        <v>103</v>
      </c>
      <c r="W16" s="33" t="n">
        <f aca="false">AND(ISNUMBER(F16), F16 &gt;= 0)</f>
        <v>1</v>
      </c>
    </row>
    <row r="17" customFormat="false" ht="13.8" hidden="false" customHeight="false" outlineLevel="0" collapsed="false">
      <c r="A17" s="37" t="str">
        <f aca="false">IF(B17="Darcy", "Friction type", IF(B17="Fanning", "Friction type", "Dud friction type &gt;"))</f>
        <v>Friction type</v>
      </c>
      <c r="B17" s="38" t="s">
        <v>104</v>
      </c>
      <c r="C17" s="39" t="s">
        <v>105</v>
      </c>
      <c r="E17" s="28" t="str">
        <f aca="false">IF($F$14=0, "HGV density", "HGV flowrate")</f>
        <v>HGV flowrate</v>
      </c>
      <c r="F17" s="29" t="n">
        <v>230</v>
      </c>
      <c r="G17" s="28" t="str">
        <f aca="false">IF($F$14=0, "HGVs/km", "HGVs/hr")</f>
        <v>HGVs/hr</v>
      </c>
      <c r="H17" s="28"/>
      <c r="I17" s="15" t="s">
        <v>106</v>
      </c>
      <c r="J17" s="40" t="n">
        <f aca="false">-$N$12 - $N$14</f>
        <v>-15.524</v>
      </c>
      <c r="K17" s="28" t="s">
        <v>69</v>
      </c>
      <c r="M17" s="2" t="s">
        <v>107</v>
      </c>
      <c r="N17" s="41" t="n">
        <f aca="false">IF($S$22, $N$12 * 0.6 * J21^2,$U$34)</f>
        <v>0</v>
      </c>
      <c r="O17" s="23" t="s">
        <v>108</v>
      </c>
      <c r="P17" s="26"/>
      <c r="R17" s="2"/>
      <c r="S17" s="2"/>
      <c r="V17" s="32" t="s">
        <v>109</v>
      </c>
      <c r="W17" s="33" t="n">
        <f aca="false">AND(ISNUMBER(F17), F17 &gt;= 0)</f>
        <v>1</v>
      </c>
    </row>
    <row r="18" customFormat="false" ht="13.8" hidden="false" customHeight="false" outlineLevel="0" collapsed="false">
      <c r="A18" s="28" t="str">
        <f aca="false">IF(B17="Darcy", "Darcy fricfac λ", IF(B17="Fanning", "Fanning fricfac c_f", "Dud friction type ^"))</f>
        <v>Darcy fricfac λ</v>
      </c>
      <c r="B18" s="29" t="n">
        <v>0.036</v>
      </c>
      <c r="C18" s="28" t="s">
        <v>69</v>
      </c>
      <c r="E18" s="28" t="s">
        <v>110</v>
      </c>
      <c r="F18" s="29" t="n">
        <v>2</v>
      </c>
      <c r="G18" s="28" t="s">
        <v>93</v>
      </c>
      <c r="H18" s="28"/>
      <c r="I18" s="15" t="s">
        <v>111</v>
      </c>
      <c r="J18" s="42" t="n">
        <f aca="false">2 * $N$14 * $J$15 - $N$15</f>
        <v>62.2555555555556</v>
      </c>
      <c r="K18" s="28" t="s">
        <v>95</v>
      </c>
      <c r="M18" s="2" t="s">
        <v>112</v>
      </c>
      <c r="N18" s="41" t="n">
        <f aca="false">IF($S$26, $B$25 - $B$24, $U$34)</f>
        <v>20</v>
      </c>
      <c r="O18" s="23" t="s">
        <v>108</v>
      </c>
      <c r="P18" s="26"/>
      <c r="R18" s="30" t="s">
        <v>113</v>
      </c>
      <c r="S18" s="31" t="n">
        <f aca="false">OR(B17 = "Fanning", B17 = "Darcy")</f>
        <v>1</v>
      </c>
      <c r="V18" s="32" t="s">
        <v>114</v>
      </c>
      <c r="W18" s="33" t="n">
        <f aca="false">AND(ISNUMBER(F18), F18 &gt; 0)</f>
        <v>1</v>
      </c>
    </row>
    <row r="19" customFormat="false" ht="13.8" hidden="false" customHeight="false" outlineLevel="0" collapsed="false">
      <c r="A19" s="28" t="s">
        <v>115</v>
      </c>
      <c r="B19" s="29" t="n">
        <v>0.5</v>
      </c>
      <c r="C19" s="28" t="s">
        <v>69</v>
      </c>
      <c r="E19" s="28" t="s">
        <v>116</v>
      </c>
      <c r="F19" s="29" t="n">
        <v>0.4</v>
      </c>
      <c r="G19" s="28" t="s">
        <v>69</v>
      </c>
      <c r="H19" s="28"/>
      <c r="I19" s="15" t="s">
        <v>117</v>
      </c>
      <c r="J19" s="42" t="n">
        <f aca="false">-$N$14 * $J$15^2 + $N$15 * $B$30 - $N$13</f>
        <v>-297.358024691359</v>
      </c>
      <c r="K19" s="28" t="s">
        <v>81</v>
      </c>
      <c r="M19" s="2" t="s">
        <v>118</v>
      </c>
      <c r="N19" s="41" t="n">
        <f aca="false">IF($W$25, 0.6 * $N$14 * ($J$15 - J21)^2, $U$34)</f>
        <v>289.814814814815</v>
      </c>
      <c r="O19" s="23" t="s">
        <v>108</v>
      </c>
      <c r="P19" s="26"/>
      <c r="R19" s="30" t="s">
        <v>119</v>
      </c>
      <c r="S19" s="31" t="n">
        <f aca="false">AND(ISNUMBER(B18), B18 &gt;= 0)</f>
        <v>1</v>
      </c>
      <c r="V19" s="32" t="s">
        <v>120</v>
      </c>
      <c r="W19" s="33" t="n">
        <f aca="false">AND(ISNUMBER(F19), F19 &gt; 0)</f>
        <v>1</v>
      </c>
    </row>
    <row r="20" customFormat="false" ht="15.8" hidden="false" customHeight="false" outlineLevel="0" collapsed="false">
      <c r="A20" s="28" t="s">
        <v>121</v>
      </c>
      <c r="B20" s="29" t="n">
        <v>1</v>
      </c>
      <c r="C20" s="28" t="s">
        <v>69</v>
      </c>
      <c r="E20" s="28" t="s">
        <v>122</v>
      </c>
      <c r="F20" s="34" t="n">
        <v>4</v>
      </c>
      <c r="G20" s="28" t="s">
        <v>93</v>
      </c>
      <c r="H20" s="28"/>
      <c r="I20" s="15" t="s">
        <v>123</v>
      </c>
      <c r="J20" s="0" t="n">
        <f aca="false">J18^2 - 4*J17*J19</f>
        <v>-14588.9897037038</v>
      </c>
      <c r="K20" s="28" t="s">
        <v>95</v>
      </c>
      <c r="L20" s="43"/>
      <c r="M20" s="2" t="s">
        <v>124</v>
      </c>
      <c r="N20" s="41" t="n">
        <f aca="false">IF($S$32, -SIGN($B$30) * $B$28*$B$29*$B$31*(1 - J21/$B$30)/$B$15, $U$34)</f>
        <v>-131.4</v>
      </c>
      <c r="O20" s="23" t="s">
        <v>108</v>
      </c>
      <c r="P20" s="26"/>
      <c r="R20" s="30" t="s">
        <v>125</v>
      </c>
      <c r="S20" s="31" t="n">
        <f aca="false">AND(ISNUMBER(B19), B19 &gt;= 0)</f>
        <v>1</v>
      </c>
      <c r="V20" s="32" t="s">
        <v>126</v>
      </c>
      <c r="W20" s="33" t="n">
        <f aca="false">AND(ISNUMBER(F20), F20 &gt; 0)</f>
        <v>1</v>
      </c>
    </row>
    <row r="21" customFormat="false" ht="15.8" hidden="false" customHeight="false" outlineLevel="0" collapsed="false">
      <c r="A21" s="44" t="s">
        <v>127</v>
      </c>
      <c r="B21" s="45" t="n">
        <f aca="false">IFERROR(4 * B15/B16, "—")</f>
        <v>6.25</v>
      </c>
      <c r="C21" s="28" t="s">
        <v>85</v>
      </c>
      <c r="E21" s="28" t="s">
        <v>128</v>
      </c>
      <c r="F21" s="29" t="n">
        <v>0.8</v>
      </c>
      <c r="G21" s="28" t="s">
        <v>69</v>
      </c>
      <c r="H21" s="28"/>
      <c r="I21" s="15" t="s">
        <v>129</v>
      </c>
      <c r="J21" s="46" t="n">
        <f aca="false">IFERROR((-J18 - SQRT(J20)) / (2 * J17), 0)</f>
        <v>0</v>
      </c>
      <c r="K21" s="28" t="s">
        <v>95</v>
      </c>
      <c r="L21" s="43"/>
      <c r="M21" s="2" t="s">
        <v>130</v>
      </c>
      <c r="N21" s="47" t="n">
        <f aca="false">IFERROR(SUM(N17:N20), 42)</f>
        <v>178.414814814815</v>
      </c>
      <c r="O21" s="23" t="s">
        <v>108</v>
      </c>
      <c r="P21" s="26"/>
      <c r="R21" s="30" t="s">
        <v>131</v>
      </c>
      <c r="S21" s="31" t="n">
        <f aca="false">AND(ISNUMBER(B20), B20 &gt;= 0)</f>
        <v>1</v>
      </c>
      <c r="V21" s="32" t="s">
        <v>132</v>
      </c>
      <c r="W21" s="33" t="n">
        <f aca="false">AND(ISNUMBER(F21), F21 &gt; 0)</f>
        <v>1</v>
      </c>
    </row>
    <row r="22" customFormat="false" ht="15.8" hidden="false" customHeight="false" outlineLevel="0" collapsed="false">
      <c r="E22" s="28" t="s">
        <v>133</v>
      </c>
      <c r="F22" s="29" t="n">
        <v>6</v>
      </c>
      <c r="G22" s="28" t="s">
        <v>93</v>
      </c>
      <c r="H22" s="28"/>
      <c r="I22" s="48"/>
      <c r="J22" s="49"/>
      <c r="K22" s="49"/>
      <c r="L22" s="50"/>
      <c r="M22" s="51" t="s">
        <v>134</v>
      </c>
      <c r="N22" s="52" t="n">
        <f aca="false">IF(AND(ABS(N21) &lt; 0.00000001, J21&gt;=J15),TRUE())</f>
        <v>0</v>
      </c>
      <c r="O22" s="53"/>
      <c r="P22" s="26"/>
      <c r="R22" s="30" t="s">
        <v>135</v>
      </c>
      <c r="S22" s="54" t="n">
        <f aca="false">AND(S14:S21)</f>
        <v>1</v>
      </c>
      <c r="V22" s="32" t="s">
        <v>136</v>
      </c>
      <c r="W22" s="33" t="n">
        <f aca="false">AND(ISNUMBER(F22), F22 &gt; 0)</f>
        <v>1</v>
      </c>
    </row>
    <row r="23" customFormat="false" ht="15.8" hidden="false" customHeight="false" outlineLevel="0" collapsed="false">
      <c r="B23" s="25" t="s">
        <v>137</v>
      </c>
      <c r="E23" s="28" t="s">
        <v>138</v>
      </c>
      <c r="F23" s="29" t="n">
        <v>0.9</v>
      </c>
      <c r="G23" s="28" t="s">
        <v>69</v>
      </c>
      <c r="H23" s="28"/>
      <c r="I23" s="26"/>
      <c r="J23" s="25" t="s">
        <v>139</v>
      </c>
      <c r="L23" s="43"/>
      <c r="N23" s="25" t="s">
        <v>101</v>
      </c>
      <c r="O23" s="18"/>
      <c r="P23" s="26"/>
      <c r="R23" s="27" t="s">
        <v>140</v>
      </c>
      <c r="S23" s="2"/>
      <c r="V23" s="32" t="s">
        <v>141</v>
      </c>
      <c r="W23" s="33" t="n">
        <f aca="false">AND(ISNUMBER(F23), F23 &gt; 0)</f>
        <v>1</v>
      </c>
    </row>
    <row r="24" customFormat="false" ht="15.8" hidden="false" customHeight="false" outlineLevel="0" collapsed="false">
      <c r="A24" s="28" t="s">
        <v>142</v>
      </c>
      <c r="B24" s="29" t="n">
        <v>0</v>
      </c>
      <c r="C24" s="28" t="s">
        <v>108</v>
      </c>
      <c r="E24" s="55" t="s">
        <v>143</v>
      </c>
      <c r="F24" s="38" t="s">
        <v>144</v>
      </c>
      <c r="G24" s="56" t="s">
        <v>145</v>
      </c>
      <c r="H24" s="56"/>
      <c r="I24" s="15" t="s">
        <v>106</v>
      </c>
      <c r="J24" s="40" t="n">
        <f aca="false">-$N$12 + $N$14</f>
        <v>-10.516</v>
      </c>
      <c r="K24" s="28" t="s">
        <v>69</v>
      </c>
      <c r="L24" s="43"/>
      <c r="M24" s="2" t="s">
        <v>107</v>
      </c>
      <c r="N24" s="41" t="n">
        <f aca="false">IF($S$22, $N$12 * 0.6 * J28^2,$U$34)</f>
        <v>204.578965214207</v>
      </c>
      <c r="O24" s="23" t="s">
        <v>108</v>
      </c>
      <c r="P24" s="26"/>
      <c r="R24" s="30" t="s">
        <v>146</v>
      </c>
      <c r="S24" s="57" t="n">
        <f aca="false">ISNUMBER(B24)</f>
        <v>1</v>
      </c>
      <c r="V24" s="32" t="s">
        <v>147</v>
      </c>
      <c r="W24" s="58" t="n">
        <f aca="false">OR(F24 = "Y", F24 = "N")</f>
        <v>1</v>
      </c>
    </row>
    <row r="25" customFormat="false" ht="13.8" hidden="false" customHeight="false" outlineLevel="0" collapsed="false">
      <c r="A25" s="28" t="s">
        <v>148</v>
      </c>
      <c r="B25" s="29" t="n">
        <v>20</v>
      </c>
      <c r="C25" s="59" t="s">
        <v>108</v>
      </c>
      <c r="I25" s="15" t="s">
        <v>111</v>
      </c>
      <c r="J25" s="42" t="n">
        <f aca="false">-2 * $N$14 * $J$15 - $N$15</f>
        <v>-76.8555555555556</v>
      </c>
      <c r="K25" s="28" t="s">
        <v>95</v>
      </c>
      <c r="M25" s="2" t="s">
        <v>112</v>
      </c>
      <c r="N25" s="41" t="n">
        <f aca="false">IF($S$26, $B$25 - $B$24, $U$34)</f>
        <v>20</v>
      </c>
      <c r="O25" s="23" t="s">
        <v>108</v>
      </c>
      <c r="P25" s="26"/>
      <c r="R25" s="30" t="s">
        <v>149</v>
      </c>
      <c r="S25" s="57" t="n">
        <f aca="false">ISNUMBER(B25)</f>
        <v>1</v>
      </c>
      <c r="T25" s="60"/>
      <c r="U25" s="60"/>
      <c r="V25" s="61" t="s">
        <v>150</v>
      </c>
      <c r="W25" s="62" t="n">
        <f aca="false">AND(W14:W24)</f>
        <v>1</v>
      </c>
    </row>
    <row r="26" customFormat="false" ht="13.8" hidden="false" customHeight="false" outlineLevel="0" collapsed="false">
      <c r="I26" s="15" t="s">
        <v>117</v>
      </c>
      <c r="J26" s="42" t="n">
        <f aca="false">$N$14 * $J$15^2 + $N$15 * $B$30 - $N$13</f>
        <v>668.691358024692</v>
      </c>
      <c r="K26" s="28" t="s">
        <v>81</v>
      </c>
      <c r="M26" s="2" t="s">
        <v>118</v>
      </c>
      <c r="N26" s="41" t="n">
        <f aca="false">IF($W$25, -0.6 * $N$14 * ($J$15 - J28)^2, $U$34)</f>
        <v>-115.593177558951</v>
      </c>
      <c r="O26" s="23" t="s">
        <v>108</v>
      </c>
      <c r="P26" s="26"/>
      <c r="R26" s="30" t="s">
        <v>151</v>
      </c>
      <c r="S26" s="54" t="n">
        <f aca="false">AND(S24, S25)</f>
        <v>1</v>
      </c>
      <c r="W26" s="18"/>
    </row>
    <row r="27" customFormat="false" ht="15.8" hidden="false" customHeight="false" outlineLevel="0" collapsed="false">
      <c r="B27" s="25" t="s">
        <v>152</v>
      </c>
      <c r="H27" s="63"/>
      <c r="I27" s="15" t="s">
        <v>123</v>
      </c>
      <c r="J27" s="0" t="n">
        <f aca="false">J25^2 - 4*J24*J26</f>
        <v>34034.6097037037</v>
      </c>
      <c r="K27" s="28" t="s">
        <v>95</v>
      </c>
      <c r="L27" s="43"/>
      <c r="M27" s="2" t="s">
        <v>124</v>
      </c>
      <c r="N27" s="41" t="n">
        <f aca="false">IF($S$32, -SIGN($B$30) * $B$28*$B$29*$B$31*(1 - J28/$B$30)/$B$15, $U$34)</f>
        <v>-108.985787655256</v>
      </c>
      <c r="O27" s="23" t="s">
        <v>108</v>
      </c>
      <c r="P27" s="26"/>
      <c r="R27" s="27" t="s">
        <v>153</v>
      </c>
      <c r="S27" s="2"/>
      <c r="W27" s="18"/>
    </row>
    <row r="28" customFormat="false" ht="15.8" hidden="false" customHeight="false" outlineLevel="0" collapsed="false">
      <c r="A28" s="28" t="s">
        <v>154</v>
      </c>
      <c r="B28" s="29" t="n">
        <v>12</v>
      </c>
      <c r="C28" s="28" t="s">
        <v>69</v>
      </c>
      <c r="E28" s="64" t="str">
        <f aca="false">IF(NOT($U$33),"Can't calculate: " &amp; $U$34,IF($J$35&lt;0,$J$30,IF($J$28&lt;$J$15,$J$23,$J$16)))</f>
        <v>Calculation (vehicles faster than air)</v>
      </c>
      <c r="F28" s="65"/>
      <c r="G28" s="66"/>
      <c r="H28" s="67"/>
      <c r="I28" s="15" t="s">
        <v>129</v>
      </c>
      <c r="J28" s="46" t="n">
        <f aca="false">IFERROR((-J25 - SQRT(J27)) / (2 * J24), J15+1)</f>
        <v>5.11740007870859</v>
      </c>
      <c r="K28" s="28" t="s">
        <v>95</v>
      </c>
      <c r="L28" s="43"/>
      <c r="M28" s="2" t="s">
        <v>130</v>
      </c>
      <c r="N28" s="68" t="n">
        <f aca="false">IFERROR(SUM(N24:N27), 42)</f>
        <v>0</v>
      </c>
      <c r="O28" s="23" t="s">
        <v>108</v>
      </c>
      <c r="P28" s="26"/>
      <c r="R28" s="30" t="s">
        <v>155</v>
      </c>
      <c r="S28" s="57" t="n">
        <f aca="false">AND(ISNUMBER(B28), B28 &gt;= 0)</f>
        <v>1</v>
      </c>
      <c r="T28" s="69"/>
      <c r="W28" s="18"/>
    </row>
    <row r="29" customFormat="false" ht="15.8" hidden="false" customHeight="false" outlineLevel="0" collapsed="false">
      <c r="A29" s="28" t="s">
        <v>156</v>
      </c>
      <c r="B29" s="29" t="n">
        <v>730</v>
      </c>
      <c r="C29" s="39" t="s">
        <v>157</v>
      </c>
      <c r="E29" s="70" t="s">
        <v>158</v>
      </c>
      <c r="F29" s="71" t="n">
        <f aca="false">IF(NOT($U$33),"—",IF($N$22, $J$21, IF($N$29, $J$28, $J$35)))</f>
        <v>5.11740007870859</v>
      </c>
      <c r="G29" s="63" t="s">
        <v>95</v>
      </c>
      <c r="I29" s="48"/>
      <c r="J29" s="49"/>
      <c r="K29" s="49"/>
      <c r="L29" s="50"/>
      <c r="M29" s="51" t="s">
        <v>134</v>
      </c>
      <c r="N29" s="52" t="n">
        <f aca="false">IF(AND(ABS(N28) &lt; 0.00000001, J28&lt;J15, J28 &gt;=0),TRUE())</f>
        <v>1</v>
      </c>
      <c r="O29" s="53"/>
      <c r="P29" s="26"/>
      <c r="R29" s="30" t="s">
        <v>159</v>
      </c>
      <c r="S29" s="57" t="n">
        <f aca="false">AND(ISNUMBER(B29), B29 &gt;= 0)</f>
        <v>1</v>
      </c>
      <c r="T29" s="69"/>
      <c r="W29" s="18"/>
    </row>
    <row r="30" customFormat="false" ht="15.8" hidden="false" customHeight="false" outlineLevel="0" collapsed="false">
      <c r="A30" s="28" t="s">
        <v>160</v>
      </c>
      <c r="B30" s="29" t="n">
        <v>30</v>
      </c>
      <c r="C30" s="28" t="s">
        <v>95</v>
      </c>
      <c r="E30" s="72" t="s">
        <v>161</v>
      </c>
      <c r="F30" s="73" t="n">
        <f aca="false">IFERROR(F29 * B15, F29)</f>
        <v>255.87000393543</v>
      </c>
      <c r="G30" s="74" t="s">
        <v>162</v>
      </c>
      <c r="I30" s="26"/>
      <c r="J30" s="25" t="s">
        <v>163</v>
      </c>
      <c r="L30" s="43"/>
      <c r="N30" s="25" t="s">
        <v>101</v>
      </c>
      <c r="O30" s="18"/>
      <c r="P30" s="26"/>
      <c r="R30" s="30" t="s">
        <v>164</v>
      </c>
      <c r="S30" s="57" t="n">
        <f aca="false">ISNUMBER(B30)</f>
        <v>1</v>
      </c>
      <c r="T30" s="69"/>
      <c r="W30" s="18"/>
    </row>
    <row r="31" customFormat="false" ht="15.8" hidden="false" customHeight="false" outlineLevel="0" collapsed="false">
      <c r="A31" s="28" t="s">
        <v>165</v>
      </c>
      <c r="B31" s="29" t="n">
        <v>0.75</v>
      </c>
      <c r="C31" s="28" t="s">
        <v>69</v>
      </c>
      <c r="H31" s="28"/>
      <c r="I31" s="15" t="s">
        <v>106</v>
      </c>
      <c r="J31" s="40" t="n">
        <f aca="false">$N$12 + $N$14</f>
        <v>15.524</v>
      </c>
      <c r="K31" s="28" t="s">
        <v>69</v>
      </c>
      <c r="L31" s="43"/>
      <c r="M31" s="2" t="s">
        <v>107</v>
      </c>
      <c r="N31" s="41" t="n">
        <f aca="false">IF($S$22, -$N$12 * 0.6 * J35^2,$U$34)</f>
        <v>-781.2</v>
      </c>
      <c r="O31" s="23" t="s">
        <v>108</v>
      </c>
      <c r="P31" s="26"/>
      <c r="R31" s="30" t="s">
        <v>166</v>
      </c>
      <c r="S31" s="57" t="n">
        <f aca="false">AND(ISNUMBER(B31), B31 &gt;= 0)</f>
        <v>1</v>
      </c>
      <c r="T31" s="69"/>
      <c r="W31" s="18"/>
      <c r="AA31" s="0" t="s">
        <v>167</v>
      </c>
    </row>
    <row r="32" customFormat="false" ht="13.8" hidden="false" customHeight="false" outlineLevel="0" collapsed="false">
      <c r="E32" s="75" t="s">
        <v>168</v>
      </c>
      <c r="H32" s="28"/>
      <c r="I32" s="15" t="s">
        <v>111</v>
      </c>
      <c r="J32" s="42" t="n">
        <f aca="false">-2 * $N$14 * $J$15 - $N$15</f>
        <v>-76.8555555555556</v>
      </c>
      <c r="K32" s="28" t="s">
        <v>95</v>
      </c>
      <c r="M32" s="2" t="s">
        <v>112</v>
      </c>
      <c r="N32" s="41" t="n">
        <f aca="false">IF($S$26, $B$25 - $B$24, $U$34)</f>
        <v>20</v>
      </c>
      <c r="O32" s="23" t="s">
        <v>108</v>
      </c>
      <c r="P32" s="26"/>
      <c r="R32" s="30" t="s">
        <v>169</v>
      </c>
      <c r="S32" s="54" t="n">
        <f aca="false">AND(S28:S31)</f>
        <v>1</v>
      </c>
      <c r="W32" s="18"/>
    </row>
    <row r="33" customFormat="false" ht="13.8" hidden="false" customHeight="false" outlineLevel="0" collapsed="false">
      <c r="E33" s="2" t="s">
        <v>112</v>
      </c>
      <c r="F33" s="76" t="n">
        <f aca="false">IF(NOT($U$33),"—",$B$25-$B$24)</f>
        <v>20</v>
      </c>
      <c r="G33" s="28" t="s">
        <v>108</v>
      </c>
      <c r="H33" s="28"/>
      <c r="I33" s="15" t="s">
        <v>117</v>
      </c>
      <c r="J33" s="42" t="n">
        <f aca="false">$N$14 * $J$15^2 + $N$15 * $B$30 - $N$13</f>
        <v>668.691358024692</v>
      </c>
      <c r="K33" s="28" t="s">
        <v>81</v>
      </c>
      <c r="M33" s="2" t="s">
        <v>118</v>
      </c>
      <c r="N33" s="41" t="n">
        <f aca="false">IF($W$25, -0.6 * $N$14 * ($J$15 - J35)^2, $U$34)</f>
        <v>-22.7214814814816</v>
      </c>
      <c r="O33" s="23" t="s">
        <v>108</v>
      </c>
      <c r="P33" s="26"/>
      <c r="T33" s="77" t="s">
        <v>170</v>
      </c>
      <c r="U33" s="78" t="n">
        <f aca="false">AND(S22,S26,S32,W25)</f>
        <v>1</v>
      </c>
      <c r="W33" s="18"/>
    </row>
    <row r="34" customFormat="false" ht="13.8" hidden="false" customHeight="false" outlineLevel="0" collapsed="false">
      <c r="E34" s="2" t="s">
        <v>107</v>
      </c>
      <c r="F34" s="76" t="n">
        <f aca="false">IF(NOT($U$33),"—", 0.5 * 1.2 * ($B$19 + $B$20 + IF($B$17="Darcy",$B$18/4,IF($B$17="Fanning",$B$18,NA())) * $B$14 * $B$16 / $B$15) * $F$29 * ABS($F$29))</f>
        <v>204.578965214207</v>
      </c>
      <c r="G34" s="28" t="s">
        <v>108</v>
      </c>
      <c r="H34" s="28"/>
      <c r="I34" s="15" t="s">
        <v>123</v>
      </c>
      <c r="J34" s="0" t="n">
        <f aca="false">J32^2 - 4*J31*J33</f>
        <v>-35616.2821481482</v>
      </c>
      <c r="K34" s="28" t="s">
        <v>95</v>
      </c>
      <c r="M34" s="2" t="s">
        <v>124</v>
      </c>
      <c r="N34" s="41" t="n">
        <f aca="false">IF($S$32, -SIGN($B$30) * $B$28*$B$29*$B$31*(1 - J35/$B$30)/$B$15, $U$34)</f>
        <v>-87.6</v>
      </c>
      <c r="O34" s="23" t="s">
        <v>108</v>
      </c>
      <c r="P34" s="48"/>
      <c r="Q34" s="49"/>
      <c r="R34" s="49"/>
      <c r="S34" s="49"/>
      <c r="T34" s="51" t="s">
        <v>171</v>
      </c>
      <c r="U34" s="79" t="str">
        <f aca="false">IF(NOT(S22), "dud tunnel geometry", IF(NOT(S26), "dud wind", IF(NOT(S32), "dud jet fans", IF(NOT(W25), "dud traffic", "dud equations"))))</f>
        <v>dud equations</v>
      </c>
      <c r="V34" s="49"/>
      <c r="W34" s="53"/>
    </row>
    <row r="35" customFormat="false" ht="15.8" hidden="false" customHeight="false" outlineLevel="0" collapsed="false">
      <c r="E35" s="2" t="s">
        <v>118</v>
      </c>
      <c r="F35" s="76" t="n">
        <f aca="false">IF(NOT($U$33),"—", -0.5 * 1.2 * (IF($F$14=0, $F$15, $F$15/$F$14) * $F$18 * $F$19 / IF($F$24 = "N", 1, (1 - $F$18/$B$15)^2) + IF($F$14=0, $F$16, $F$16/$F$14) * $F$20 * $F$21 / IF($F$24 = "N", 1, (1 - $F$20/$B$15)^2) + IF($F$14=0, $F$17, $F$17/$F$14) * $F$22 * $F$23 / IF($F$24 = "N", 1, (1 - $F$22/$B$15)^2)) * $B$14 / (1000 *$B$15) * ($F$14/3.6 - $F$29) * ABS($F$14/3.6 - $F$29))</f>
        <v>-115.59317755895</v>
      </c>
      <c r="G35" s="28" t="s">
        <v>108</v>
      </c>
      <c r="H35" s="28"/>
      <c r="I35" s="15" t="s">
        <v>129</v>
      </c>
      <c r="J35" s="46" t="n">
        <f aca="false">IFERROR((-J32 - SQRT(J34)) / (2 * J31), 10)</f>
        <v>10</v>
      </c>
      <c r="K35" s="28" t="s">
        <v>95</v>
      </c>
      <c r="M35" s="2" t="s">
        <v>130</v>
      </c>
      <c r="N35" s="68" t="n">
        <f aca="false">IFERROR(SUM(N31:N34), 42)</f>
        <v>-871.521481481482</v>
      </c>
      <c r="O35" s="23" t="s">
        <v>108</v>
      </c>
    </row>
    <row r="36" customFormat="false" ht="13.8" hidden="false" customHeight="false" outlineLevel="0" collapsed="false">
      <c r="E36" s="2" t="s">
        <v>124</v>
      </c>
      <c r="F36" s="76" t="n">
        <f aca="false">IF(NOT($U$33),"—", -$B$28 * $B$29 * $B$31 / (ABS($B$30) * $B$15) * ($B$30 - $F$29))</f>
        <v>-108.985787655256</v>
      </c>
      <c r="G36" s="28" t="s">
        <v>108</v>
      </c>
      <c r="I36" s="48"/>
      <c r="J36" s="49"/>
      <c r="K36" s="49"/>
      <c r="L36" s="49"/>
      <c r="M36" s="51" t="s">
        <v>134</v>
      </c>
      <c r="N36" s="52" t="n">
        <f aca="false">IF(AND(ABS(N35) &lt; 0.00000001, J35 &lt; 0),TRUE())</f>
        <v>0</v>
      </c>
      <c r="O36" s="53"/>
    </row>
    <row r="37" customFormat="false" ht="13.8" hidden="false" customHeight="false" outlineLevel="0" collapsed="false">
      <c r="A37" s="0" t="s">
        <v>172</v>
      </c>
      <c r="B37" s="0" t="s">
        <v>172</v>
      </c>
      <c r="C37" s="0" t="s">
        <v>172</v>
      </c>
      <c r="D37" s="0" t="s">
        <v>172</v>
      </c>
      <c r="E37" s="2" t="s">
        <v>173</v>
      </c>
      <c r="F37" s="30" t="n">
        <f aca="false">IF(NOT($U$33),"—", ABS(SUM($F$33:$F$36)) &lt; 0.00000001)</f>
        <v>1</v>
      </c>
      <c r="G37" s="28"/>
    </row>
    <row r="38" customFormat="false" ht="13.8" hidden="false" customHeight="false" outlineLevel="0" collapsed="false">
      <c r="F38" s="80" t="n">
        <f aca="false">IF(NOT($U$33),"—", SUM($F$33:$F$36))</f>
        <v>3.6948222E-013</v>
      </c>
      <c r="G38" s="80"/>
    </row>
    <row r="71" customFormat="false" ht="13.8" hidden="false" customHeight="false" outlineLevel="0" collapsed="false">
      <c r="J71" s="1" t="s">
        <v>174</v>
      </c>
      <c r="K71" s="1"/>
    </row>
    <row r="72" customFormat="false" ht="13.8" hidden="false" customHeight="false" outlineLevel="0" collapsed="false">
      <c r="K72" s="2" t="s">
        <v>175</v>
      </c>
      <c r="L72" s="0" t="str">
        <f aca="true">CELL("filename", L72)</f>
        <v>'file:///Users/ecb/Documents/sandboxes/Hobyah/uploaded/slug-flow-quadratics.xlsx'#$quadratics</v>
      </c>
    </row>
    <row r="73" customFormat="false" ht="13.8" hidden="false" customHeight="false" outlineLevel="0" collapsed="false">
      <c r="K73" s="2" t="s">
        <v>176</v>
      </c>
      <c r="L73" s="0" t="str">
        <f aca="true">INFO("system")</f>
        <v>MACOSX</v>
      </c>
    </row>
    <row r="74" customFormat="false" ht="13.8" hidden="false" customHeight="false" outlineLevel="0" collapsed="false">
      <c r="K74" s="2" t="s">
        <v>177</v>
      </c>
      <c r="L74" s="0" t="str">
        <f aca="false">IF(OR(L73="LINUX", L73="MACOSX"), "/", "\")</f>
        <v>/</v>
      </c>
    </row>
    <row r="75" customFormat="false" ht="13.8" hidden="false" customHeight="false" outlineLevel="0" collapsed="false">
      <c r="K75" s="0" t="s">
        <v>178</v>
      </c>
    </row>
    <row r="76" customFormat="false" ht="13.8" hidden="false" customHeight="false" outlineLevel="0" collapsed="false">
      <c r="K76" s="0" t="s">
        <v>179</v>
      </c>
      <c r="L76" s="0" t="str">
        <f aca="false">RIGHT(L72, LEN(L72) - FIND($L$74,L72))</f>
        <v>//Users/ecb/Documents/sandboxes/Hobyah/uploaded/slug-flow-quadratics.xlsx'#$quadratics</v>
      </c>
    </row>
    <row r="77" customFormat="false" ht="13.8" hidden="false" customHeight="false" outlineLevel="0" collapsed="false">
      <c r="K77" s="0" t="s">
        <v>180</v>
      </c>
      <c r="L77" s="0" t="str">
        <f aca="false">IFERROR(RIGHT(L76,LEN(L76)-FIND($L$74,L76)), L76)</f>
        <v>/Users/ecb/Documents/sandboxes/Hobyah/uploaded/slug-flow-quadratics.xlsx'#$quadratics</v>
      </c>
    </row>
    <row r="78" customFormat="false" ht="13.8" hidden="false" customHeight="false" outlineLevel="0" collapsed="false">
      <c r="K78" s="0" t="s">
        <v>181</v>
      </c>
      <c r="L78" s="0" t="str">
        <f aca="false">IFERROR(RIGHT(L77,LEN(L77)-FIND($L$74,L77)), L77)</f>
        <v>Users/ecb/Documents/sandboxes/Hobyah/uploaded/slug-flow-quadratics.xlsx'#$quadratics</v>
      </c>
    </row>
    <row r="79" customFormat="false" ht="13.8" hidden="false" customHeight="false" outlineLevel="0" collapsed="false">
      <c r="K79" s="0" t="s">
        <v>182</v>
      </c>
      <c r="L79" s="0" t="str">
        <f aca="false">IFERROR(RIGHT(L78,LEN(L78)-FIND($L$74,L78)), L78)</f>
        <v>ecb/Documents/sandboxes/Hobyah/uploaded/slug-flow-quadratics.xlsx'#$quadratics</v>
      </c>
    </row>
    <row r="80" customFormat="false" ht="13.8" hidden="false" customHeight="false" outlineLevel="0" collapsed="false">
      <c r="L80" s="0" t="str">
        <f aca="false">IFERROR(RIGHT(L79,LEN(L79)-FIND($L$74,L79)), L79)</f>
        <v>Documents/sandboxes/Hobyah/uploaded/slug-flow-quadratics.xlsx'#$quadratics</v>
      </c>
    </row>
    <row r="81" customFormat="false" ht="13.8" hidden="false" customHeight="false" outlineLevel="0" collapsed="false">
      <c r="L81" s="0" t="str">
        <f aca="false">IFERROR(RIGHT(L80,LEN(L80)-FIND($L$74,L80)), L80)</f>
        <v>sandboxes/Hobyah/uploaded/slug-flow-quadratics.xlsx'#$quadratics</v>
      </c>
    </row>
    <row r="82" customFormat="false" ht="13.8" hidden="false" customHeight="false" outlineLevel="0" collapsed="false">
      <c r="L82" s="0" t="str">
        <f aca="false">IFERROR(RIGHT(L81,LEN(L81)-FIND($L$74,L81)), L81)</f>
        <v>Hobyah/uploaded/slug-flow-quadratics.xlsx'#$quadratics</v>
      </c>
    </row>
    <row r="83" customFormat="false" ht="13.8" hidden="false" customHeight="false" outlineLevel="0" collapsed="false">
      <c r="L83" s="0" t="str">
        <f aca="false">IFERROR(RIGHT(L82,LEN(L82)-FIND($L$74,L82)), L82)</f>
        <v>uploaded/slug-flow-quadratics.xlsx'#$quadratics</v>
      </c>
    </row>
    <row r="84" customFormat="false" ht="13.8" hidden="false" customHeight="false" outlineLevel="0" collapsed="false">
      <c r="L84" s="0" t="str">
        <f aca="false">IFERROR(RIGHT(L83,LEN(L83)-FIND($L$74,L83)), L83)</f>
        <v>slug-flow-quadratics.xlsx'#$quadratics</v>
      </c>
    </row>
    <row r="85" customFormat="false" ht="13.8" hidden="false" customHeight="false" outlineLevel="0" collapsed="false">
      <c r="L85" s="0" t="str">
        <f aca="false">IFERROR(RIGHT(L84,LEN(L84)-FIND($L$74,L84)), L84)</f>
        <v>slug-flow-quadratics.xlsx'#$quadratics</v>
      </c>
    </row>
    <row r="86" customFormat="false" ht="13.8" hidden="false" customHeight="false" outlineLevel="0" collapsed="false">
      <c r="L86" s="0" t="str">
        <f aca="false">IFERROR(RIGHT(L85,LEN(L85)-FIND($L$74,L85)), L85)</f>
        <v>slug-flow-quadratics.xlsx'#$quadratics</v>
      </c>
    </row>
    <row r="87" customFormat="false" ht="13.8" hidden="false" customHeight="false" outlineLevel="0" collapsed="false">
      <c r="L87" s="0" t="str">
        <f aca="false">IFERROR(RIGHT(L86,LEN(L86)-FIND($L$74,L86)), L86)</f>
        <v>slug-flow-quadratics.xlsx'#$quadratics</v>
      </c>
    </row>
    <row r="88" customFormat="false" ht="13.8" hidden="false" customHeight="false" outlineLevel="0" collapsed="false">
      <c r="L88" s="0" t="str">
        <f aca="false">IFERROR(RIGHT(L87,LEN(L87)-FIND($L$74,L87)), L87)</f>
        <v>slug-flow-quadratics.xlsx'#$quadratics</v>
      </c>
    </row>
    <row r="89" customFormat="false" ht="13.8" hidden="false" customHeight="false" outlineLevel="0" collapsed="false">
      <c r="L89" s="0" t="str">
        <f aca="false">IFERROR(RIGHT(L88,LEN(L88)-FIND($L$74,L88)), L88)</f>
        <v>slug-flow-quadratics.xlsx'#$quadratics</v>
      </c>
    </row>
    <row r="90" customFormat="false" ht="13.8" hidden="false" customHeight="false" outlineLevel="0" collapsed="false">
      <c r="L90" s="0" t="str">
        <f aca="false">IFERROR(RIGHT(L89,LEN(L89)-FIND($L$74,L89)), L89)</f>
        <v>slug-flow-quadratics.xlsx'#$quadratics</v>
      </c>
    </row>
    <row r="91" customFormat="false" ht="13.8" hidden="false" customHeight="false" outlineLevel="0" collapsed="false">
      <c r="L91" s="0" t="str">
        <f aca="false">IFERROR(RIGHT(L90,LEN(L90)-FIND($L$74,L90)), L90)</f>
        <v>slug-flow-quadratics.xlsx'#$quadratics</v>
      </c>
    </row>
    <row r="92" customFormat="false" ht="13.8" hidden="false" customHeight="false" outlineLevel="0" collapsed="false">
      <c r="L92" s="0" t="str">
        <f aca="false">IFERROR(RIGHT(L91,LEN(L91)-FIND($L$74,L91)), L91)</f>
        <v>slug-flow-quadratics.xlsx'#$quadratics</v>
      </c>
    </row>
    <row r="93" customFormat="false" ht="13.8" hidden="false" customHeight="false" outlineLevel="0" collapsed="false">
      <c r="L93" s="0" t="str">
        <f aca="false">IFERROR(RIGHT(L92,LEN(L92)-FIND($L$74,L92)), L92)</f>
        <v>slug-flow-quadratics.xlsx'#$quadratics</v>
      </c>
    </row>
    <row r="94" customFormat="false" ht="13.8" hidden="false" customHeight="false" outlineLevel="0" collapsed="false">
      <c r="L94" s="0" t="str">
        <f aca="false">IFERROR(RIGHT(L93,LEN(L93)-FIND($L$74,L93)), L93)</f>
        <v>slug-flow-quadratics.xlsx'#$quadratics</v>
      </c>
    </row>
    <row r="95" customFormat="false" ht="13.8" hidden="false" customHeight="false" outlineLevel="0" collapsed="false">
      <c r="L95" s="0" t="str">
        <f aca="false">IFERROR(RIGHT(L94,LEN(L94)-FIND($L$74,L94)), L94)</f>
        <v>slug-flow-quadratics.xlsx'#$quadratics</v>
      </c>
    </row>
    <row r="96" customFormat="false" ht="13.8" hidden="false" customHeight="false" outlineLevel="0" collapsed="false">
      <c r="L96" s="0" t="str">
        <f aca="false">IFERROR(RIGHT(L95,LEN(L95)-FIND($L$74,L95)), L95)</f>
        <v>slug-flow-quadratics.xlsx'#$quadratics</v>
      </c>
    </row>
    <row r="97" customFormat="false" ht="13.8" hidden="false" customHeight="false" outlineLevel="0" collapsed="false">
      <c r="L97" s="0" t="str">
        <f aca="false">IFERROR(RIGHT(L96,LEN(L96)-FIND($L$74,L96)), L96)</f>
        <v>slug-flow-quadratics.xlsx'#$quadratics</v>
      </c>
    </row>
    <row r="98" customFormat="false" ht="13.8" hidden="false" customHeight="false" outlineLevel="0" collapsed="false">
      <c r="L98" s="0" t="str">
        <f aca="false">IFERROR(RIGHT(L97,LEN(L97)-FIND($L$74,L97)), L97)</f>
        <v>slug-flow-quadratics.xlsx'#$quadratics</v>
      </c>
    </row>
    <row r="99" customFormat="false" ht="13.8" hidden="false" customHeight="false" outlineLevel="0" collapsed="false">
      <c r="L99" s="0" t="str">
        <f aca="false">IFERROR(RIGHT(L98,LEN(L98)-FIND($L$74,L98)), L98)</f>
        <v>slug-flow-quadratics.xlsx'#$quadratics</v>
      </c>
    </row>
    <row r="100" customFormat="false" ht="13.8" hidden="false" customHeight="false" outlineLevel="0" collapsed="false">
      <c r="L100" s="0" t="str">
        <f aca="false">IFERROR(RIGHT(L99,LEN(L99)-FIND($L$74,L99)), L99)</f>
        <v>slug-flow-quadratics.xlsx'#$quadratics</v>
      </c>
    </row>
    <row r="101" customFormat="false" ht="13.8" hidden="false" customHeight="false" outlineLevel="0" collapsed="false">
      <c r="L101" s="0" t="str">
        <f aca="false">IFERROR(RIGHT(L100,LEN(L100)-FIND($L$74,L100)), L100)</f>
        <v>slug-flow-quadratics.xlsx'#$quadratics</v>
      </c>
    </row>
    <row r="102" customFormat="false" ht="13.8" hidden="false" customHeight="false" outlineLevel="0" collapsed="false">
      <c r="L102" s="0" t="str">
        <f aca="false">IFERROR(RIGHT(L101,LEN(L101)-FIND($L$74,L101)), L101)</f>
        <v>slug-flow-quadratics.xlsx'#$quadratics</v>
      </c>
    </row>
    <row r="103" customFormat="false" ht="13.8" hidden="false" customHeight="false" outlineLevel="0" collapsed="false">
      <c r="L103" s="0" t="str">
        <f aca="false">IFERROR(RIGHT(L102,LEN(L102)-FIND($L$74,L102)), L102)</f>
        <v>slug-flow-quadratics.xlsx'#$quadratics</v>
      </c>
    </row>
    <row r="104" customFormat="false" ht="13.8" hidden="false" customHeight="false" outlineLevel="0" collapsed="false">
      <c r="L104" s="0" t="str">
        <f aca="false">IFERROR(RIGHT(L103,LEN(L103)-FIND($L$74,L103)), L103)</f>
        <v>slug-flow-quadratics.xlsx'#$quadratics</v>
      </c>
    </row>
    <row r="105" customFormat="false" ht="13.8" hidden="false" customHeight="false" outlineLevel="0" collapsed="false">
      <c r="L105" s="0" t="str">
        <f aca="false">IFERROR(RIGHT(L104,LEN(L104)-FIND($L$74,L104)), L104)</f>
        <v>slug-flow-quadratics.xlsx'#$quadratics</v>
      </c>
    </row>
    <row r="106" customFormat="false" ht="13.8" hidden="false" customHeight="false" outlineLevel="0" collapsed="false">
      <c r="L106" s="0" t="str">
        <f aca="false">IFERROR(RIGHT(L105,LEN(L105)-FIND($L$74,L105)), L105)</f>
        <v>slug-flow-quadratics.xlsx'#$quadratics</v>
      </c>
    </row>
    <row r="107" customFormat="false" ht="13.8" hidden="false" customHeight="false" outlineLevel="0" collapsed="false">
      <c r="L107" s="0" t="str">
        <f aca="false">IFERROR(RIGHT(L106,LEN(L106)-FIND($L$74,L106)), L106)</f>
        <v>slug-flow-quadratics.xlsx'#$quadratics</v>
      </c>
    </row>
    <row r="108" customFormat="false" ht="13.8" hidden="false" customHeight="false" outlineLevel="0" collapsed="false">
      <c r="L108" s="0" t="str">
        <f aca="false">IFERROR(RIGHT(L107,LEN(L107)-FIND($L$74,L107)), L107)</f>
        <v>slug-flow-quadratics.xlsx'#$quadratics</v>
      </c>
    </row>
    <row r="109" customFormat="false" ht="13.8" hidden="false" customHeight="false" outlineLevel="0" collapsed="false">
      <c r="L109" s="0" t="str">
        <f aca="false">IFERROR(RIGHT(L108,LEN(L108)-FIND($L$74,L108)), L108)</f>
        <v>slug-flow-quadratics.xlsx'#$quadratics</v>
      </c>
    </row>
    <row r="110" customFormat="false" ht="13.8" hidden="false" customHeight="false" outlineLevel="0" collapsed="false">
      <c r="L110" s="0" t="str">
        <f aca="false">IFERROR(RIGHT(L109,LEN(L109)-FIND($L$74,L109)), L109)</f>
        <v>slug-flow-quadratics.xlsx'#$quadratics</v>
      </c>
    </row>
    <row r="111" customFormat="false" ht="13.8" hidden="false" customHeight="false" outlineLevel="0" collapsed="false">
      <c r="L111" s="0" t="str">
        <f aca="false">IFERROR(RIGHT(L110,LEN(L110)-FIND($L$74,L110)), L110)</f>
        <v>slug-flow-quadratics.xlsx'#$quadratics</v>
      </c>
    </row>
    <row r="112" customFormat="false" ht="13.8" hidden="false" customHeight="false" outlineLevel="0" collapsed="false">
      <c r="L112" s="0" t="str">
        <f aca="false">IFERROR(RIGHT(L111,LEN(L111)-FIND($L$74,L111)), L111)</f>
        <v>slug-flow-quadratics.xlsx'#$quadratics</v>
      </c>
    </row>
    <row r="113" customFormat="false" ht="13.8" hidden="false" customHeight="false" outlineLevel="0" collapsed="false">
      <c r="L113" s="0" t="str">
        <f aca="false">IFERROR(RIGHT(L112,LEN(L112)-FIND($L$74,L112)), L112)</f>
        <v>slug-flow-quadratics.xlsx'#$quadratics</v>
      </c>
    </row>
    <row r="114" customFormat="false" ht="13.8" hidden="false" customHeight="false" outlineLevel="0" collapsed="false">
      <c r="L114" s="0" t="str">
        <f aca="false">IFERROR(RIGHT(L113,LEN(L113)-FIND($L$74,L113)), L113)</f>
        <v>slug-flow-quadratics.xlsx'#$quadratics</v>
      </c>
    </row>
    <row r="115" customFormat="false" ht="13.8" hidden="false" customHeight="false" outlineLevel="0" collapsed="false">
      <c r="L115" s="0" t="str">
        <f aca="false">IFERROR(RIGHT(L114,LEN(L114)-FIND($L$74,L114)), L114)</f>
        <v>slug-flow-quadratics.xlsx'#$quadratics</v>
      </c>
    </row>
    <row r="116" customFormat="false" ht="13.8" hidden="false" customHeight="false" outlineLevel="0" collapsed="false">
      <c r="L116" s="0" t="str">
        <f aca="false">IFERROR(RIGHT(L115,LEN(L115)-FIND($L$74,L115)), L115)</f>
        <v>slug-flow-quadratics.xlsx'#$quadratics</v>
      </c>
    </row>
    <row r="117" customFormat="false" ht="13.8" hidden="false" customHeight="false" outlineLevel="0" collapsed="false">
      <c r="L117" s="0" t="str">
        <f aca="false">IFERROR(RIGHT(L116,LEN(L116)-FIND($L$74,L116)), L116)</f>
        <v>slug-flow-quadratics.xlsx'#$quadratics</v>
      </c>
    </row>
    <row r="118" customFormat="false" ht="13.8" hidden="false" customHeight="false" outlineLevel="0" collapsed="false">
      <c r="L118" s="0" t="str">
        <f aca="false">IFERROR(RIGHT(L117,LEN(L117)-FIND($L$74,L117)), L117)</f>
        <v>slug-flow-quadratics.xlsx'#$quadratics</v>
      </c>
    </row>
    <row r="119" customFormat="false" ht="13.8" hidden="false" customHeight="false" outlineLevel="0" collapsed="false">
      <c r="L119" s="0" t="str">
        <f aca="false">IFERROR(RIGHT(L118,LEN(L118)-FIND($L$74,L118)), L118)</f>
        <v>slug-flow-quadratics.xlsx'#$quadratics</v>
      </c>
    </row>
    <row r="120" customFormat="false" ht="13.8" hidden="false" customHeight="false" outlineLevel="0" collapsed="false">
      <c r="L120" s="0" t="str">
        <f aca="false">IFERROR(RIGHT(L119,LEN(L119)-FIND($L$74,L119)), L119)</f>
        <v>slug-flow-quadratics.xlsx'#$quadratics</v>
      </c>
    </row>
    <row r="121" customFormat="false" ht="13.8" hidden="false" customHeight="false" outlineLevel="0" collapsed="false">
      <c r="L121" s="0" t="str">
        <f aca="false">IFERROR(RIGHT(L120,LEN(L120)-FIND($L$74,L120)), L120)</f>
        <v>slug-flow-quadratics.xlsx'#$quadratics</v>
      </c>
    </row>
    <row r="122" customFormat="false" ht="13.8" hidden="false" customHeight="false" outlineLevel="0" collapsed="false">
      <c r="L122" s="0" t="str">
        <f aca="false">IFERROR(RIGHT(L121,LEN(L121)-FIND($L$74,L121)), L121)</f>
        <v>slug-flow-quadratics.xlsx'#$quadratics</v>
      </c>
    </row>
    <row r="123" customFormat="false" ht="13.8" hidden="false" customHeight="false" outlineLevel="0" collapsed="false">
      <c r="L123" s="0" t="str">
        <f aca="false">IFERROR(RIGHT(L122,LEN(L122)-FIND($L$74,L122)), L122)</f>
        <v>slug-flow-quadratics.xlsx'#$quadratics</v>
      </c>
    </row>
    <row r="124" customFormat="false" ht="13.8" hidden="false" customHeight="false" outlineLevel="0" collapsed="false">
      <c r="L124" s="0" t="str">
        <f aca="false">IFERROR(RIGHT(L123,LEN(L123)-FIND($L$74,L123)), L123)</f>
        <v>slug-flow-quadratics.xlsx'#$quadratics</v>
      </c>
    </row>
    <row r="125" customFormat="false" ht="13.8" hidden="false" customHeight="false" outlineLevel="0" collapsed="false">
      <c r="L125" s="0" t="str">
        <f aca="false">IFERROR(RIGHT(L124,LEN(L124)-FIND($L$74,L124)), L124)</f>
        <v>slug-flow-quadratics.xlsx'#$quadratics</v>
      </c>
    </row>
    <row r="126" customFormat="false" ht="13.8" hidden="false" customHeight="false" outlineLevel="0" collapsed="false">
      <c r="L126" s="0" t="str">
        <f aca="false">IFERROR(RIGHT(L125,LEN(L125)-FIND($L$74,L125)), L125)</f>
        <v>slug-flow-quadratics.xlsx'#$quadratics</v>
      </c>
    </row>
    <row r="127" customFormat="false" ht="13.8" hidden="false" customHeight="false" outlineLevel="0" collapsed="false">
      <c r="L127" s="0" t="str">
        <f aca="false">IFERROR(RIGHT(L126,LEN(L126)-FIND($L$74,L126)), L126)</f>
        <v>slug-flow-quadratics.xlsx'#$quadratics</v>
      </c>
    </row>
    <row r="128" customFormat="false" ht="13.8" hidden="false" customHeight="false" outlineLevel="0" collapsed="false">
      <c r="L128" s="0" t="str">
        <f aca="false">IFERROR(RIGHT(L127,LEN(L127)-FIND($L$74,L127)), L127)</f>
        <v>slug-flow-quadratics.xlsx'#$quadratics</v>
      </c>
    </row>
    <row r="129" customFormat="false" ht="13.8" hidden="false" customHeight="false" outlineLevel="0" collapsed="false">
      <c r="L129" s="0" t="str">
        <f aca="false">IFERROR(RIGHT(L128,LEN(L128)-FIND($L$74,L128)), L128)</f>
        <v>slug-flow-quadratics.xlsx'#$quadratics</v>
      </c>
    </row>
    <row r="130" customFormat="false" ht="13.8" hidden="false" customHeight="false" outlineLevel="0" collapsed="false">
      <c r="L130" s="0" t="str">
        <f aca="false">IFERROR(RIGHT(L129,LEN(L129)-FIND($L$74,L129)), L129)</f>
        <v>slug-flow-quadratics.xlsx'#$quadratics</v>
      </c>
    </row>
    <row r="131" customFormat="false" ht="13.8" hidden="false" customHeight="false" outlineLevel="0" collapsed="false">
      <c r="L131" s="0" t="str">
        <f aca="false">IFERROR(RIGHT(L130,LEN(L130)-FIND($L$74,L130)), L130)</f>
        <v>slug-flow-quadratics.xlsx'#$quadratics</v>
      </c>
    </row>
    <row r="132" customFormat="false" ht="13.8" hidden="false" customHeight="false" outlineLevel="0" collapsed="false">
      <c r="L132" s="0" t="str">
        <f aca="false">IFERROR(RIGHT(L131,LEN(L131)-FIND($L$74,L131)), L131)</f>
        <v>slug-flow-quadratics.xlsx'#$quadratics</v>
      </c>
    </row>
    <row r="133" customFormat="false" ht="13.8" hidden="false" customHeight="false" outlineLevel="0" collapsed="false">
      <c r="L133" s="0" t="str">
        <f aca="false">IFERROR(RIGHT(L132,LEN(L132)-FIND($L$74,L132)), L132)</f>
        <v>slug-flow-quadratics.xlsx'#$quadratics</v>
      </c>
    </row>
    <row r="134" customFormat="false" ht="13.8" hidden="false" customHeight="false" outlineLevel="0" collapsed="false">
      <c r="L134" s="0" t="str">
        <f aca="false">IFERROR(RIGHT(L133,LEN(L133)-FIND($L$74,L133)), L133)</f>
        <v>slug-flow-quadratics.xlsx'#$quadratics</v>
      </c>
    </row>
    <row r="135" customFormat="false" ht="13.8" hidden="false" customHeight="false" outlineLevel="0" collapsed="false">
      <c r="L135" s="0" t="str">
        <f aca="false">IFERROR(RIGHT(L134,LEN(L134)-FIND($L$74,L134)), L134)</f>
        <v>slug-flow-quadratics.xlsx'#$quadratics</v>
      </c>
    </row>
    <row r="136" customFormat="false" ht="13.8" hidden="false" customHeight="false" outlineLevel="0" collapsed="false">
      <c r="L136" s="0" t="str">
        <f aca="false">IFERROR(RIGHT(L135,LEN(L135)-FIND($L$74,L135)), L135)</f>
        <v>slug-flow-quadratics.xlsx'#$quadratics</v>
      </c>
    </row>
    <row r="137" customFormat="false" ht="13.8" hidden="false" customHeight="false" outlineLevel="0" collapsed="false">
      <c r="L137" s="0" t="str">
        <f aca="false">IFERROR(RIGHT(L136,LEN(L136)-FIND($L$74,L136)), L136)</f>
        <v>slug-flow-quadratics.xlsx'#$quadratics</v>
      </c>
    </row>
    <row r="138" customFormat="false" ht="13.8" hidden="false" customHeight="false" outlineLevel="0" collapsed="false">
      <c r="L138" s="0" t="str">
        <f aca="false">IFERROR(RIGHT(L137,LEN(L137)-FIND($L$74,L137)), L137)</f>
        <v>slug-flow-quadratics.xlsx'#$quadratics</v>
      </c>
    </row>
    <row r="139" customFormat="false" ht="13.8" hidden="false" customHeight="false" outlineLevel="0" collapsed="false">
      <c r="L139" s="0" t="str">
        <f aca="false">IFERROR(RIGHT(L138,LEN(L138)-FIND($L$74,L138)), L138)</f>
        <v>slug-flow-quadratics.xlsx'#$quadratics</v>
      </c>
    </row>
    <row r="140" customFormat="false" ht="13.8" hidden="false" customHeight="false" outlineLevel="0" collapsed="false">
      <c r="L140" s="0" t="str">
        <f aca="false">IFERROR(RIGHT(L139,LEN(L139)-FIND($L$74,L139)), L139)</f>
        <v>slug-flow-quadratics.xlsx'#$quadratics</v>
      </c>
    </row>
    <row r="141" customFormat="false" ht="13.8" hidden="false" customHeight="false" outlineLevel="0" collapsed="false">
      <c r="L141" s="0" t="str">
        <f aca="false">IFERROR(RIGHT(L140,LEN(L140)-FIND($L$74,L140)), L140)</f>
        <v>slug-flow-quadratics.xlsx'#$quadratics</v>
      </c>
    </row>
    <row r="142" customFormat="false" ht="13.8" hidden="false" customHeight="false" outlineLevel="0" collapsed="false">
      <c r="L142" s="0" t="str">
        <f aca="false">IFERROR(RIGHT(L141,LEN(L141)-FIND($L$74,L141)), L141)</f>
        <v>slug-flow-quadratics.xlsx'#$quadratics</v>
      </c>
    </row>
    <row r="143" customFormat="false" ht="13.8" hidden="false" customHeight="false" outlineLevel="0" collapsed="false">
      <c r="L143" s="0" t="str">
        <f aca="false">IFERROR(RIGHT(L142,LEN(L142)-FIND($L$74,L142)), L142)</f>
        <v>slug-flow-quadratics.xlsx'#$quadratics</v>
      </c>
    </row>
    <row r="144" customFormat="false" ht="13.8" hidden="false" customHeight="false" outlineLevel="0" collapsed="false">
      <c r="L144" s="0" t="str">
        <f aca="false">IFERROR(RIGHT(L143,LEN(L143)-FIND($L$74,L143)), L143)</f>
        <v>slug-flow-quadratics.xlsx'#$quadratics</v>
      </c>
    </row>
    <row r="145" customFormat="false" ht="13.8" hidden="false" customHeight="false" outlineLevel="0" collapsed="false">
      <c r="L145" s="0" t="str">
        <f aca="false">IFERROR(RIGHT(L144,LEN(L144)-FIND($L$74,L144)), L144)</f>
        <v>slug-flow-quadratics.xlsx'#$quadratics</v>
      </c>
    </row>
    <row r="146" customFormat="false" ht="13.8" hidden="false" customHeight="false" outlineLevel="0" collapsed="false">
      <c r="L146" s="0" t="str">
        <f aca="false">IFERROR(RIGHT(L145,LEN(L145)-FIND($L$74,L145)), L145)</f>
        <v>slug-flow-quadratics.xlsx'#$quadratics</v>
      </c>
    </row>
    <row r="147" customFormat="false" ht="13.8" hidden="false" customHeight="false" outlineLevel="0" collapsed="false">
      <c r="L147" s="0" t="str">
        <f aca="false">IFERROR(RIGHT(L146,LEN(L146)-FIND($L$74,L146)), L146)</f>
        <v>slug-flow-quadratics.xlsx'#$quadratics</v>
      </c>
    </row>
    <row r="148" customFormat="false" ht="13.8" hidden="false" customHeight="false" outlineLevel="0" collapsed="false">
      <c r="L148" s="0" t="str">
        <f aca="false">IFERROR(RIGHT(L147,LEN(L147)-FIND($L$74,L147)), L147)</f>
        <v>slug-flow-quadratics.xlsx'#$quadratics</v>
      </c>
    </row>
    <row r="149" customFormat="false" ht="13.8" hidden="false" customHeight="false" outlineLevel="0" collapsed="false">
      <c r="L149" s="0" t="str">
        <f aca="false">IFERROR(RIGHT(L148,LEN(L148)-FIND($L$74,L148)), L148)</f>
        <v>slug-flow-quadratics.xlsx'#$quadratics</v>
      </c>
    </row>
    <row r="150" customFormat="false" ht="13.8" hidden="false" customHeight="false" outlineLevel="0" collapsed="false">
      <c r="L150" s="0" t="str">
        <f aca="false">IFERROR(RIGHT(L149,LEN(L149)-FIND($L$74,L149)), L149)</f>
        <v>slug-flow-quadratics.xlsx'#$quadratics</v>
      </c>
    </row>
    <row r="151" customFormat="false" ht="13.8" hidden="false" customHeight="false" outlineLevel="0" collapsed="false">
      <c r="L151" s="0" t="str">
        <f aca="false">IFERROR(RIGHT(L150,LEN(L150)-FIND($L$74,L150)), L150)</f>
        <v>slug-flow-quadratics.xlsx'#$quadratics</v>
      </c>
    </row>
    <row r="152" customFormat="false" ht="13.8" hidden="false" customHeight="false" outlineLevel="0" collapsed="false">
      <c r="L152" s="0" t="str">
        <f aca="false">IFERROR(RIGHT(L151,LEN(L151)-FIND($L$74,L151)), L151)</f>
        <v>slug-flow-quadratics.xlsx'#$quadratics</v>
      </c>
    </row>
    <row r="153" customFormat="false" ht="13.8" hidden="false" customHeight="false" outlineLevel="0" collapsed="false">
      <c r="L153" s="0" t="str">
        <f aca="false">IFERROR(RIGHT(L152,LEN(L152)-FIND($L$74,L152)), L152)</f>
        <v>slug-flow-quadratics.xlsx'#$quadratics</v>
      </c>
    </row>
    <row r="154" customFormat="false" ht="13.8" hidden="false" customHeight="false" outlineLevel="0" collapsed="false">
      <c r="L154" s="0" t="str">
        <f aca="false">IFERROR(RIGHT(L153,LEN(L153)-FIND($L$74,L153)), L153)</f>
        <v>slug-flow-quadratics.xlsx'#$quadratics</v>
      </c>
    </row>
    <row r="155" customFormat="false" ht="13.8" hidden="false" customHeight="false" outlineLevel="0" collapsed="false">
      <c r="L155" s="0" t="str">
        <f aca="false">IFERROR(RIGHT(L154,LEN(L154)-FIND($L$74,L154)), L154)</f>
        <v>slug-flow-quadratics.xlsx'#$quadratics</v>
      </c>
    </row>
    <row r="156" customFormat="false" ht="13.8" hidden="false" customHeight="false" outlineLevel="0" collapsed="false">
      <c r="L156" s="0" t="str">
        <f aca="false">IFERROR(RIGHT(L155,LEN(L155)-FIND($L$74,L155)), L155)</f>
        <v>slug-flow-quadratics.xlsx'#$quadratics</v>
      </c>
    </row>
    <row r="157" customFormat="false" ht="13.8" hidden="false" customHeight="false" outlineLevel="0" collapsed="false">
      <c r="L157" s="0" t="str">
        <f aca="false">IFERROR(RIGHT(L156,LEN(L156)-FIND($L$74,L156)), L156)</f>
        <v>slug-flow-quadratics.xlsx'#$quadratics</v>
      </c>
    </row>
    <row r="158" customFormat="false" ht="13.8" hidden="false" customHeight="false" outlineLevel="0" collapsed="false">
      <c r="L158" s="0" t="str">
        <f aca="false">IFERROR(RIGHT(L157,LEN(L157)-FIND($L$74,L157)), L157)</f>
        <v>slug-flow-quadratics.xlsx'#$quadratics</v>
      </c>
    </row>
    <row r="159" customFormat="false" ht="13.8" hidden="false" customHeight="false" outlineLevel="0" collapsed="false">
      <c r="L159" s="0" t="str">
        <f aca="false">IFERROR(RIGHT(L158,LEN(L158)-FIND($L$74,L158)), L158)</f>
        <v>slug-flow-quadratics.xlsx'#$quadratics</v>
      </c>
    </row>
    <row r="160" customFormat="false" ht="13.8" hidden="false" customHeight="false" outlineLevel="0" collapsed="false">
      <c r="L160" s="0" t="str">
        <f aca="false">IFERROR(RIGHT(L159,LEN(L159)-FIND($L$74,L159)), L159)</f>
        <v>slug-flow-quadratics.xlsx'#$quadratics</v>
      </c>
    </row>
    <row r="161" customFormat="false" ht="13.8" hidden="false" customHeight="false" outlineLevel="0" collapsed="false">
      <c r="L161" s="0" t="str">
        <f aca="false">IFERROR(RIGHT(L160,LEN(L160)-FIND($L$74,L160)), L160)</f>
        <v>slug-flow-quadratics.xlsx'#$quadratics</v>
      </c>
    </row>
    <row r="162" customFormat="false" ht="13.8" hidden="false" customHeight="false" outlineLevel="0" collapsed="false">
      <c r="L162" s="0" t="str">
        <f aca="false">IFERROR(RIGHT(L161,LEN(L161)-FIND($L$74,L161)), L161)</f>
        <v>slug-flow-quadratics.xlsx'#$quadratics</v>
      </c>
    </row>
    <row r="163" customFormat="false" ht="13.8" hidden="false" customHeight="false" outlineLevel="0" collapsed="false">
      <c r="L163" s="0" t="str">
        <f aca="false">IFERROR(RIGHT(L162,LEN(L162)-FIND($L$74,L162)), L162)</f>
        <v>slug-flow-quadratics.xlsx'#$quadratics</v>
      </c>
    </row>
    <row r="164" customFormat="false" ht="13.8" hidden="false" customHeight="false" outlineLevel="0" collapsed="false">
      <c r="L164" s="0" t="str">
        <f aca="false">IFERROR(RIGHT(L163,LEN(L163)-FIND($L$74,L163)), L163)</f>
        <v>slug-flow-quadratics.xlsx'#$quadratics</v>
      </c>
    </row>
    <row r="165" customFormat="false" ht="13.8" hidden="false" customHeight="false" outlineLevel="0" collapsed="false">
      <c r="L165" s="0" t="str">
        <f aca="false">IFERROR(RIGHT(L164,LEN(L164)-FIND($L$74,L164)), L164)</f>
        <v>slug-flow-quadratics.xlsx'#$quadratics</v>
      </c>
    </row>
    <row r="166" customFormat="false" ht="13.8" hidden="false" customHeight="false" outlineLevel="0" collapsed="false">
      <c r="L166" s="0" t="str">
        <f aca="false">IFERROR(RIGHT(L165,LEN(L165)-FIND($L$74,L165)), L165)</f>
        <v>slug-flow-quadratics.xlsx'#$quadratics</v>
      </c>
    </row>
    <row r="167" customFormat="false" ht="13.8" hidden="false" customHeight="false" outlineLevel="0" collapsed="false">
      <c r="L167" s="0" t="str">
        <f aca="false">IFERROR(RIGHT(L166,LEN(L166)-FIND($L$74,L166)), L166)</f>
        <v>slug-flow-quadratics.xlsx'#$quadratics</v>
      </c>
    </row>
    <row r="168" customFormat="false" ht="13.8" hidden="false" customHeight="false" outlineLevel="0" collapsed="false">
      <c r="L168" s="0" t="str">
        <f aca="false">IFERROR(RIGHT(L167,LEN(L167)-FIND($L$74,L167)), L167)</f>
        <v>slug-flow-quadratics.xlsx'#$quadratics</v>
      </c>
    </row>
    <row r="169" customFormat="false" ht="13.8" hidden="false" customHeight="false" outlineLevel="0" collapsed="false">
      <c r="L169" s="0" t="str">
        <f aca="false">IFERROR(RIGHT(L168,LEN(L168)-FIND($L$74,L168)), L168)</f>
        <v>slug-flow-quadratics.xlsx'#$quadratics</v>
      </c>
    </row>
    <row r="170" customFormat="false" ht="13.8" hidden="false" customHeight="false" outlineLevel="0" collapsed="false">
      <c r="L170" s="0" t="str">
        <f aca="false">IFERROR(RIGHT(L169,LEN(L169)-FIND($L$74,L169)), L169)</f>
        <v>slug-flow-quadratics.xlsx'#$quadratics</v>
      </c>
    </row>
    <row r="171" customFormat="false" ht="13.8" hidden="false" customHeight="false" outlineLevel="0" collapsed="false">
      <c r="L171" s="0" t="str">
        <f aca="false">IFERROR(RIGHT(L170,LEN(L170)-FIND($L$74,L170)), L170)</f>
        <v>slug-flow-quadratics.xlsx'#$quadratics</v>
      </c>
    </row>
    <row r="172" customFormat="false" ht="13.8" hidden="false" customHeight="false" outlineLevel="0" collapsed="false">
      <c r="L172" s="0" t="str">
        <f aca="false">IFERROR(RIGHT(L171,LEN(L171)-FIND($L$74,L171)), L171)</f>
        <v>slug-flow-quadratics.xlsx'#$quadratics</v>
      </c>
    </row>
    <row r="173" customFormat="false" ht="13.8" hidden="false" customHeight="false" outlineLevel="0" collapsed="false">
      <c r="L173" s="0" t="str">
        <f aca="false">IFERROR(RIGHT(L172,LEN(L172)-FIND($L$74,L172)), L172)</f>
        <v>slug-flow-quadratics.xlsx'#$quadratics</v>
      </c>
    </row>
    <row r="174" customFormat="false" ht="13.8" hidden="false" customHeight="false" outlineLevel="0" collapsed="false">
      <c r="L174" s="0" t="str">
        <f aca="false">IFERROR(RIGHT(L173,LEN(L173)-FIND($L$74,L173)), L173)</f>
        <v>slug-flow-quadratics.xlsx'#$quadratics</v>
      </c>
    </row>
    <row r="175" customFormat="false" ht="13.8" hidden="false" customHeight="false" outlineLevel="0" collapsed="false">
      <c r="L175" s="0" t="str">
        <f aca="false">IFERROR(RIGHT(L174,LEN(L174)-FIND($L$74,L174)), L174)</f>
        <v>slug-flow-quadratics.xlsx'#$quadratics</v>
      </c>
    </row>
    <row r="176" customFormat="false" ht="13.8" hidden="false" customHeight="false" outlineLevel="0" collapsed="false">
      <c r="L176" s="0" t="str">
        <f aca="false">IFERROR(RIGHT(L175,LEN(L175)-FIND($L$74,L175)), L175)</f>
        <v>slug-flow-quadratics.xlsx'#$quadratics</v>
      </c>
    </row>
    <row r="177" customFormat="false" ht="13.8" hidden="false" customHeight="false" outlineLevel="0" collapsed="false">
      <c r="K177" s="2" t="s">
        <v>183</v>
      </c>
      <c r="L177" s="0" t="str">
        <f aca="false">"'" &amp; L176</f>
        <v>'slug-flow-quadratics.xlsx'#$quadratics</v>
      </c>
    </row>
    <row r="178" customFormat="false" ht="13.8" hidden="false" customHeight="false" outlineLevel="0" collapsed="false">
      <c r="K178" s="2" t="s">
        <v>184</v>
      </c>
      <c r="L178" s="0" t="e">
        <f aca="true">MID(CELL("filename",J24),FIND("[",CELL("filename",J24)),999)</f>
        <v>#VALUE!</v>
      </c>
    </row>
    <row r="179" customFormat="false" ht="13.8" hidden="false" customHeight="false" outlineLevel="0" collapsed="false">
      <c r="K179" s="2" t="s">
        <v>185</v>
      </c>
      <c r="L179" s="0" t="str">
        <f aca="false">IF(IFERROR(FIND("'#$", L72), 0) = 0, "Excel", "LibreOffice")</f>
        <v>LibreOffice</v>
      </c>
    </row>
    <row r="180" customFormat="false" ht="13.8" hidden="false" customHeight="false" outlineLevel="0" collapsed="false">
      <c r="K180" s="2" t="s">
        <v>186</v>
      </c>
      <c r="L180" s="0" t="str">
        <f aca="false">IF(L179="LibreOffice", L177, L178)</f>
        <v>'slug-flow-quadratics.xlsx'#$quadratics</v>
      </c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F38:G38"/>
  </mergeCells>
  <printOptions headings="false" gridLines="false" gridLinesSet="true" horizontalCentered="true" verticalCentered="true"/>
  <pageMargins left="1.41736111111111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62"/>
    <col collapsed="false" customWidth="true" hidden="false" outlineLevel="0" max="2" min="2" style="0" width="66.22"/>
  </cols>
  <sheetData>
    <row r="1" customFormat="false" ht="13.8" hidden="false" customHeight="false" outlineLevel="0" collapsed="false">
      <c r="A1" s="1" t="s">
        <v>187</v>
      </c>
    </row>
    <row r="2" customFormat="false" ht="13.8" hidden="false" customHeight="false" outlineLevel="0" collapsed="false">
      <c r="A2" s="0" t="s">
        <v>188</v>
      </c>
    </row>
    <row r="4" customFormat="false" ht="13.8" hidden="false" customHeight="false" outlineLevel="0" collapsed="false">
      <c r="A4" s="0" t="s">
        <v>189</v>
      </c>
    </row>
    <row r="6" customFormat="false" ht="13.8" hidden="false" customHeight="false" outlineLevel="0" collapsed="false">
      <c r="A6" s="0" t="s">
        <v>190</v>
      </c>
    </row>
    <row r="8" customFormat="false" ht="13.8" hidden="false" customHeight="false" outlineLevel="0" collapsed="false">
      <c r="A8" s="0" t="s">
        <v>191</v>
      </c>
    </row>
    <row r="9" customFormat="false" ht="13.8" hidden="false" customHeight="false" outlineLevel="0" collapsed="false">
      <c r="A9" s="0" t="s">
        <v>192</v>
      </c>
    </row>
    <row r="11" customFormat="false" ht="13.8" hidden="false" customHeight="false" outlineLevel="0" collapsed="false">
      <c r="A11" s="0" t="n">
        <v>1</v>
      </c>
      <c r="B11" s="0" t="s">
        <v>193</v>
      </c>
    </row>
    <row r="12" customFormat="false" ht="13.8" hidden="false" customHeight="false" outlineLevel="0" collapsed="false">
      <c r="B12" s="0" t="s">
        <v>194</v>
      </c>
    </row>
    <row r="14" customFormat="false" ht="13.8" hidden="false" customHeight="false" outlineLevel="0" collapsed="false">
      <c r="A14" s="0" t="n">
        <v>2</v>
      </c>
      <c r="B14" s="0" t="s">
        <v>195</v>
      </c>
    </row>
    <row r="15" customFormat="false" ht="13.8" hidden="false" customHeight="false" outlineLevel="0" collapsed="false">
      <c r="B15" s="0" t="s">
        <v>196</v>
      </c>
    </row>
    <row r="16" customFormat="false" ht="13.8" hidden="false" customHeight="false" outlineLevel="0" collapsed="false">
      <c r="B16" s="0" t="s">
        <v>197</v>
      </c>
    </row>
    <row r="18" customFormat="false" ht="13.8" hidden="false" customHeight="false" outlineLevel="0" collapsed="false">
      <c r="A18" s="0" t="s">
        <v>198</v>
      </c>
    </row>
    <row r="19" customFormat="false" ht="13.8" hidden="false" customHeight="false" outlineLevel="0" collapsed="false">
      <c r="A19" s="0" t="s">
        <v>199</v>
      </c>
    </row>
    <row r="20" customFormat="false" ht="13.8" hidden="false" customHeight="false" outlineLevel="0" collapsed="false">
      <c r="A20" s="0" t="s">
        <v>200</v>
      </c>
    </row>
    <row r="21" customFormat="false" ht="13.8" hidden="false" customHeight="false" outlineLevel="0" collapsed="false">
      <c r="A21" s="0" t="s">
        <v>201</v>
      </c>
    </row>
    <row r="22" customFormat="false" ht="13.8" hidden="false" customHeight="false" outlineLevel="0" collapsed="false">
      <c r="A22" s="0" t="s">
        <v>202</v>
      </c>
    </row>
    <row r="23" customFormat="false" ht="13.8" hidden="false" customHeight="false" outlineLevel="0" collapsed="false">
      <c r="A23" s="0" t="s">
        <v>203</v>
      </c>
    </row>
    <row r="24" customFormat="false" ht="13.8" hidden="false" customHeight="false" outlineLevel="0" collapsed="false">
      <c r="A24" s="0" t="s">
        <v>204</v>
      </c>
    </row>
    <row r="25" customFormat="false" ht="13.8" hidden="false" customHeight="false" outlineLevel="0" collapsed="false">
      <c r="A25" s="0" t="s">
        <v>205</v>
      </c>
    </row>
    <row r="26" customFormat="false" ht="13.8" hidden="false" customHeight="false" outlineLevel="0" collapsed="false">
      <c r="A26" s="0" t="s">
        <v>206</v>
      </c>
    </row>
    <row r="27" customFormat="false" ht="13.8" hidden="false" customHeight="false" outlineLevel="0" collapsed="false">
      <c r="A27" s="0" t="s">
        <v>207</v>
      </c>
    </row>
    <row r="28" customFormat="false" ht="13.8" hidden="false" customHeight="false" outlineLevel="0" collapsed="false">
      <c r="A28" s="42" t="s">
        <v>208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true" verticalCentered="true"/>
  <pageMargins left="1.41736111111111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4605</TotalTime>
  <Application>LibreOffice/7.0.5.2$MacOSX_X86_64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2020-10-08T22:04:12Z</dcterms:created>
  <dc:creator>Ewan Bennett</dc:creator>
  <dc:description/>
  <dc:language>en-AU</dc:language>
  <cp:lastModifiedBy/>
  <cp:lastPrinted>2023-07-04T14:36:58Z</cp:lastPrinted>
  <dcterms:modified xsi:type="dcterms:W3CDTF">2023-07-14T18:47:28Z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