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8767bb5677b83e/ECE CONSULTORES/VM PRECIOS A FUTURO/"/>
    </mc:Choice>
  </mc:AlternateContent>
  <xr:revisionPtr revIDLastSave="25" documentId="8_{B3244113-4520-4554-8B4C-2768291C762B}" xr6:coauthVersionLast="47" xr6:coauthVersionMax="47" xr10:uidLastSave="{0D1652EE-ACF6-4C24-84FE-16B23051B749}"/>
  <bookViews>
    <workbookView xWindow="-110" yWindow="-110" windowWidth="19420" windowHeight="10300" xr2:uid="{01D25416-3606-4CF3-ADEB-58FCB3C46A56}"/>
  </bookViews>
  <sheets>
    <sheet name="3.0TD COMP" sheetId="2" r:id="rId1"/>
    <sheet name="6.1TD COMP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N17" i="3"/>
  <c r="C17" i="3"/>
  <c r="D32" i="3"/>
  <c r="D29" i="3"/>
  <c r="C29" i="3"/>
  <c r="E29" i="3"/>
  <c r="J29" i="2"/>
  <c r="K29" i="2"/>
  <c r="K28" i="2"/>
  <c r="J28" i="2"/>
  <c r="L28" i="2"/>
  <c r="M14" i="3"/>
  <c r="M15" i="3"/>
  <c r="G4" i="3"/>
  <c r="T7" i="2"/>
  <c r="L7" i="2"/>
  <c r="N7" i="2" s="1"/>
  <c r="G7" i="2"/>
  <c r="T6" i="2"/>
  <c r="L6" i="2"/>
  <c r="M6" i="2" s="1"/>
  <c r="G6" i="2"/>
  <c r="T5" i="2"/>
  <c r="L5" i="2"/>
  <c r="N5" i="2" s="1"/>
  <c r="M5" i="2"/>
  <c r="G5" i="2"/>
  <c r="A5" i="2"/>
  <c r="T4" i="2"/>
  <c r="L4" i="2"/>
  <c r="M4" i="2" s="1"/>
  <c r="N4" i="2" s="1"/>
  <c r="F13" i="2" s="1"/>
  <c r="G13" i="2" s="1"/>
  <c r="G4" i="2"/>
  <c r="T3" i="2"/>
  <c r="L3" i="2"/>
  <c r="G3" i="2"/>
  <c r="T2" i="2"/>
  <c r="L2" i="2"/>
  <c r="G2" i="2"/>
  <c r="M16" i="3"/>
  <c r="M13" i="3"/>
  <c r="M12" i="3"/>
  <c r="M11" i="3"/>
  <c r="G7" i="3"/>
  <c r="G6" i="3"/>
  <c r="H6" i="3"/>
  <c r="J6" i="3"/>
  <c r="F15" i="3"/>
  <c r="G15" i="3"/>
  <c r="G5" i="3"/>
  <c r="H5" i="3"/>
  <c r="J5" i="3"/>
  <c r="F14" i="3"/>
  <c r="G14" i="3"/>
  <c r="G3" i="3"/>
  <c r="G2" i="3"/>
  <c r="L17" i="2"/>
  <c r="N11" i="2"/>
  <c r="M17" i="3"/>
  <c r="O11" i="3"/>
  <c r="H2" i="3"/>
  <c r="J2" i="3"/>
  <c r="F11" i="3"/>
  <c r="T8" i="2"/>
  <c r="V8" i="2"/>
  <c r="M3" i="2"/>
  <c r="N3" i="2"/>
  <c r="F12" i="2"/>
  <c r="G12" i="2"/>
  <c r="M7" i="2"/>
  <c r="H4" i="3"/>
  <c r="J4" i="3"/>
  <c r="F13" i="3"/>
  <c r="G13" i="3"/>
  <c r="H7" i="3"/>
  <c r="J7" i="3"/>
  <c r="F16" i="3"/>
  <c r="G16" i="3"/>
  <c r="H3" i="3"/>
  <c r="J3" i="3"/>
  <c r="F12" i="3"/>
  <c r="G12" i="3"/>
  <c r="G17" i="3"/>
  <c r="H11" i="3"/>
  <c r="H22" i="3"/>
  <c r="C32" i="3"/>
  <c r="E32" i="3"/>
  <c r="H23" i="3"/>
  <c r="H18" i="3"/>
  <c r="H20" i="3"/>
  <c r="H19" i="3"/>
  <c r="H21" i="3"/>
  <c r="F16" i="2" l="1"/>
  <c r="G16" i="2" s="1"/>
  <c r="C4" i="2"/>
  <c r="F14" i="2"/>
  <c r="G14" i="2" s="1"/>
  <c r="C2" i="2"/>
  <c r="N6" i="2"/>
  <c r="M2" i="2"/>
  <c r="N2" i="2" s="1"/>
  <c r="F11" i="2" s="1"/>
  <c r="G11" i="2" s="1"/>
  <c r="G17" i="2" l="1"/>
  <c r="H11" i="2" s="1"/>
  <c r="C3" i="2"/>
  <c r="F15" i="2"/>
  <c r="G15" i="2" s="1"/>
  <c r="C5" i="2"/>
  <c r="D5" i="2" s="1"/>
  <c r="H23" i="2" l="1"/>
  <c r="H18" i="2"/>
  <c r="H22" i="2"/>
  <c r="H19" i="2" l="1"/>
  <c r="H20" i="2"/>
  <c r="H21" i="2"/>
</calcChain>
</file>

<file path=xl/sharedStrings.xml><?xml version="1.0" encoding="utf-8"?>
<sst xmlns="http://schemas.openxmlformats.org/spreadsheetml/2006/main" count="154" uniqueCount="64">
  <si>
    <t>FEE</t>
  </si>
  <si>
    <t>PRECIO</t>
  </si>
  <si>
    <t>PEAJES</t>
  </si>
  <si>
    <t>TOTAL</t>
  </si>
  <si>
    <t>APUNTALAMIENTO</t>
  </si>
  <si>
    <t>TOTAL CLIENTE</t>
  </si>
  <si>
    <t>3.0TD</t>
  </si>
  <si>
    <t>3.0TD Península</t>
  </si>
  <si>
    <t>AÑO</t>
  </si>
  <si>
    <t>AÑO 2021</t>
  </si>
  <si>
    <t>TOTAL ENERGÍA AL AÑO</t>
  </si>
  <si>
    <t>TEMPORADA ELECTRICA</t>
  </si>
  <si>
    <t>ALTA</t>
  </si>
  <si>
    <t>MEDIA ALTA</t>
  </si>
  <si>
    <t>BAJA</t>
  </si>
  <si>
    <t>MEDIA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</si>
  <si>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</si>
  <si>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</si>
  <si>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</si>
  <si>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</si>
  <si>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</si>
  <si>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</si>
  <si>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</si>
  <si>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</si>
  <si>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</si>
  <si>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</si>
  <si>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</si>
  <si>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</si>
  <si>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</si>
  <si>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ENERGÍA CONSUMIDA</t>
  </si>
  <si>
    <t>P1</t>
  </si>
  <si>
    <t>P2</t>
  </si>
  <si>
    <t>P3</t>
  </si>
  <si>
    <t>P4</t>
  </si>
  <si>
    <t>P5</t>
  </si>
  <si>
    <t>P6</t>
  </si>
  <si>
    <t>3.0TD Canarias</t>
  </si>
  <si>
    <t>PEAJES DEL CLIENTE</t>
  </si>
  <si>
    <t>PEAJES BOC 3.0TD</t>
  </si>
  <si>
    <t>TOTAL ENERGÍA DEL CLIENTE</t>
  </si>
  <si>
    <t>KWH CONSUMIDOS</t>
  </si>
  <si>
    <t>PERIODO</t>
  </si>
  <si>
    <t>NUEVO COSTE DE KWH</t>
  </si>
  <si>
    <t>TOTAL FACTURADO CON NUEVA COMERCIALIZADORA</t>
  </si>
  <si>
    <t>AHORRO</t>
  </si>
  <si>
    <t>POTENCIA CONTRATADA</t>
  </si>
  <si>
    <t>DÍAS</t>
  </si>
  <si>
    <t>FACTURADO NUEVO</t>
  </si>
  <si>
    <t>FACTURADO CLIENTE ACTUAL</t>
  </si>
  <si>
    <t>AHORRO EN ENERGÍA ESTE MES</t>
  </si>
  <si>
    <t>POTENCIAL AHORRO EN EL T2</t>
  </si>
  <si>
    <t>POTENCIAL AHORRO EN EL T3</t>
  </si>
  <si>
    <t>POTENCIAL AHORRO EN EL T4</t>
  </si>
  <si>
    <t>TOTAL APROXIMADO ( PTE A CIERRES)2025</t>
  </si>
  <si>
    <t>POTENCIAL AHORRO TODO  2026</t>
  </si>
  <si>
    <t>POTENCIAL AHORRO TODO  2027</t>
  </si>
  <si>
    <t>CUPS ES0031607030983001ZP0F</t>
  </si>
  <si>
    <t>SIN POTENCIA</t>
  </si>
  <si>
    <t>CON POTENCIA</t>
  </si>
  <si>
    <t>TU FACTURA DE GC</t>
  </si>
  <si>
    <t>FACTURA QUE TE PASE</t>
  </si>
  <si>
    <t>TOTAL DE TU FACTURA</t>
  </si>
  <si>
    <t>TOTAL DE FACTURA CON ESTOS PRECIOS</t>
  </si>
  <si>
    <t>FACTURA PROPUESTA CON ESTOS PRECIOS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</si>
</sst>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#,##0.000000\ &quot;€&quot;"/>
    <numFmt numFmtId="165" formatCode="#,##0.000000\ &quot;€&quot;;[Red]\-#,##0.000000\ &quot;€&quot;"/>
    <numFmt numFmtId="166" formatCode="#,##0.00\ &quot;€&quot;"/>
    <numFmt numFmtId="167" formatCode="#,##0.00\ _€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name val="Arial"/>
      <family val="2"/>
    </font>
    <font>
      <b/>
      <sz val="22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8.5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15" fillId="0" borderId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Protection="1">
      <protection locked="0"/>
    </xf>
    <xf numFmtId="0" fontId="3" fillId="2" borderId="3" xfId="0" applyFont="1" applyFill="1" applyBorder="1" applyProtection="1">
      <protection locked="0"/>
    </xf>
    <xf numFmtId="0" fontId="0" fillId="0" borderId="0" xfId="0" applyProtection="1">
      <protection locked="0"/>
    </xf>
    <xf numFmtId="0" fontId="5" fillId="2" borderId="1" xfId="0" applyFont="1" applyFill="1" applyBorder="1" applyProtection="1">
      <protection locked="0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7" fillId="2" borderId="1" xfId="0" applyFont="1" applyFill="1" applyBorder="1"/>
    <xf numFmtId="0" fontId="6" fillId="2" borderId="1" xfId="0" applyFont="1" applyFill="1" applyBorder="1" applyAlignment="1">
      <alignment horizontal="left" vertical="center"/>
    </xf>
    <xf numFmtId="1" fontId="8" fillId="8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5" fillId="2" borderId="7" xfId="0" applyFont="1" applyFill="1" applyBorder="1" applyProtection="1">
      <protection locked="0"/>
    </xf>
    <xf numFmtId="0" fontId="5" fillId="2" borderId="11" xfId="0" applyFont="1" applyFill="1" applyBorder="1" applyProtection="1">
      <protection locked="0"/>
    </xf>
    <xf numFmtId="0" fontId="6" fillId="7" borderId="12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5" fillId="2" borderId="14" xfId="0" applyFont="1" applyFill="1" applyBorder="1" applyProtection="1">
      <protection locked="0"/>
    </xf>
    <xf numFmtId="0" fontId="7" fillId="2" borderId="17" xfId="0" applyFont="1" applyFill="1" applyBorder="1"/>
    <xf numFmtId="0" fontId="6" fillId="2" borderId="20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/>
    </xf>
    <xf numFmtId="0" fontId="6" fillId="2" borderId="24" xfId="0" applyFont="1" applyFill="1" applyBorder="1" applyAlignment="1">
      <alignment horizontal="left" vertic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9" fillId="2" borderId="26" xfId="0" applyFont="1" applyFill="1" applyBorder="1" applyAlignment="1">
      <alignment horizontal="center" vertical="center"/>
    </xf>
    <xf numFmtId="8" fontId="0" fillId="0" borderId="0" xfId="0" applyNumberFormat="1"/>
    <xf numFmtId="165" fontId="10" fillId="0" borderId="27" xfId="0" applyNumberFormat="1" applyFont="1" applyBorder="1" applyAlignment="1">
      <alignment horizontal="center" vertical="center"/>
    </xf>
    <xf numFmtId="0" fontId="12" fillId="0" borderId="28" xfId="1" applyFont="1" applyBorder="1" applyAlignment="1">
      <alignment horizontal="center" vertical="top" wrapText="1"/>
    </xf>
    <xf numFmtId="167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6" fontId="13" fillId="0" borderId="1" xfId="0" applyNumberFormat="1" applyFont="1" applyBorder="1" applyAlignment="1">
      <alignment horizontal="center" vertical="center" wrapText="1"/>
    </xf>
    <xf numFmtId="166" fontId="14" fillId="0" borderId="1" xfId="0" applyNumberFormat="1" applyFont="1" applyBorder="1" applyAlignment="1">
      <alignment horizontal="center" vertical="center" wrapText="1"/>
    </xf>
    <xf numFmtId="166" fontId="13" fillId="2" borderId="0" xfId="0" applyNumberFormat="1" applyFont="1" applyFill="1"/>
    <xf numFmtId="0" fontId="0" fillId="8" borderId="0" xfId="0" applyFill="1"/>
    <xf numFmtId="0" fontId="17" fillId="0" borderId="1" xfId="0" applyFont="1" applyBorder="1" applyAlignment="1">
      <alignment horizontal="center" vertical="center" wrapText="1"/>
    </xf>
    <xf numFmtId="0" fontId="1" fillId="2" borderId="0" xfId="0" applyFont="1" applyFill="1"/>
    <xf numFmtId="0" fontId="1" fillId="8" borderId="0" xfId="0" applyFont="1" applyFill="1"/>
    <xf numFmtId="166" fontId="0" fillId="8" borderId="0" xfId="0" applyNumberFormat="1" applyFill="1"/>
    <xf numFmtId="164" fontId="1" fillId="2" borderId="0" xfId="0" applyNumberFormat="1" applyFont="1" applyFill="1"/>
    <xf numFmtId="0" fontId="1" fillId="0" borderId="0" xfId="0" applyFont="1"/>
    <xf numFmtId="166" fontId="17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20" xfId="0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left"/>
    </xf>
    <xf numFmtId="0" fontId="0" fillId="0" borderId="23" xfId="0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5" xfId="0" applyNumberFormat="1" applyFont="1" applyBorder="1" applyAlignment="1">
      <alignment horizontal="center" vertical="center" wrapText="1"/>
    </xf>
    <xf numFmtId="166" fontId="13" fillId="0" borderId="2" xfId="0" applyNumberFormat="1" applyFont="1" applyBorder="1" applyAlignment="1">
      <alignment horizontal="center" vertical="center" wrapText="1"/>
    </xf>
    <xf numFmtId="166" fontId="13" fillId="0" borderId="4" xfId="0" applyNumberFormat="1" applyFont="1" applyBorder="1" applyAlignment="1">
      <alignment horizontal="center" vertical="center" wrapText="1"/>
    </xf>
    <xf numFmtId="166" fontId="13" fillId="0" borderId="5" xfId="0" applyNumberFormat="1" applyFont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166" fontId="2" fillId="0" borderId="31" xfId="0" applyNumberFormat="1" applyFont="1" applyBorder="1" applyAlignment="1">
      <alignment horizontal="center" vertical="center" wrapText="1"/>
    </xf>
    <xf numFmtId="166" fontId="2" fillId="0" borderId="32" xfId="0" applyNumberFormat="1" applyFont="1" applyBorder="1" applyAlignment="1">
      <alignment horizontal="center" vertical="center" wrapText="1"/>
    </xf>
    <xf numFmtId="166" fontId="2" fillId="0" borderId="33" xfId="0" applyNumberFormat="1" applyFont="1" applyBorder="1" applyAlignment="1">
      <alignment horizontal="center" vertical="center" wrapText="1"/>
    </xf>
    <xf numFmtId="166" fontId="2" fillId="0" borderId="34" xfId="0" applyNumberFormat="1" applyFont="1" applyBorder="1" applyAlignment="1">
      <alignment horizontal="center" vertical="center" wrapText="1"/>
    </xf>
    <xf numFmtId="166" fontId="2" fillId="0" borderId="35" xfId="0" applyNumberFormat="1" applyFont="1" applyBorder="1" applyAlignment="1">
      <alignment horizontal="center" vertical="center" wrapText="1"/>
    </xf>
    <xf numFmtId="166" fontId="2" fillId="0" borderId="36" xfId="0" applyNumberFormat="1" applyFont="1" applyBorder="1" applyAlignment="1">
      <alignment horizontal="center" vertical="center" wrapText="1"/>
    </xf>
  </cellXfs>
  <cellStyles count="3">
    <cellStyle name="Excel Built-in Normal" xfId="2" xr:uid="{859D3E96-BC2A-4249-B772-15C3B984376C}"/>
    <cellStyle name="Normal" xfId="0" builtinId="0"/>
    <cellStyle name="Normal 2" xfId="1" xr:uid="{0E5B6EAC-6FFD-4E34-9A14-8575286EA1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718FF-DCB1-496A-BB9E-193C0BA22031}">
  <dimension ref="A1:AA52"/>
  <sheetViews>
    <sheetView tabSelected="1" topLeftCell="A8" workbookViewId="0">
      <selection activeCell="F11" sqref="F11:F16"/>
    </sheetView>
  </sheetViews>
  <sheetFormatPr baseColWidth="10" defaultColWidth="10.7265625" defaultRowHeight="14.5" x14ac:dyDescent="0.35"/>
  <cols>
    <col min="3" max="3" width="12.54296875" customWidth="1"/>
    <col min="8" max="8" width="15.1796875" customWidth="1"/>
    <col min="14" max="14" width="14.6328125" customWidth="1"/>
  </cols>
  <sheetData>
    <row r="1" spans="1:22" ht="15" thickBot="1" x14ac:dyDescent="0.4">
      <c r="G1" s="30" t="s">
        <v>37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Q1" s="31" t="s">
        <v>38</v>
      </c>
    </row>
    <row r="2" spans="1:22" ht="19" thickBot="1" x14ac:dyDescent="0.5">
      <c r="B2">
        <v>8411</v>
      </c>
      <c r="C2" s="35">
        <f>B2*N5</f>
        <v>668.54833499999995</v>
      </c>
      <c r="D2" s="35"/>
      <c r="E2">
        <v>6.6706000000000001E-2</v>
      </c>
      <c r="F2">
        <v>5.4790000000000004E-3</v>
      </c>
      <c r="G2" s="29">
        <f t="shared" ref="G2:G7" si="0">SUM(E2:F2)</f>
        <v>7.2184999999999999E-2</v>
      </c>
      <c r="I2" s="2">
        <v>0.02</v>
      </c>
      <c r="J2" s="2">
        <v>4.4200000000000003E-2</v>
      </c>
      <c r="K2" s="2">
        <v>4.3700000000000003E-2</v>
      </c>
      <c r="L2" s="2">
        <f t="shared" ref="L2:L7" si="1">SUM(I2:K2)</f>
        <v>0.10790000000000001</v>
      </c>
      <c r="M2" s="2">
        <f t="shared" ref="M2:M7" si="2">L2*5%</f>
        <v>5.3950000000000005E-3</v>
      </c>
      <c r="N2" s="3">
        <f t="shared" ref="N2:N7" si="3">L2+M2</f>
        <v>0.11329500000000001</v>
      </c>
      <c r="Q2" s="33">
        <v>4.3700000000000003E-2</v>
      </c>
      <c r="R2">
        <v>18.41</v>
      </c>
      <c r="S2">
        <v>30</v>
      </c>
      <c r="T2">
        <f t="shared" ref="T2:T7" si="4">Q2*R2*S2</f>
        <v>24.13551</v>
      </c>
    </row>
    <row r="3" spans="1:22" ht="19" thickBot="1" x14ac:dyDescent="0.5">
      <c r="B3">
        <v>6127</v>
      </c>
      <c r="C3" s="35">
        <f>B3*N6</f>
        <v>454.19451000000009</v>
      </c>
      <c r="D3" s="35"/>
      <c r="E3">
        <v>4.0143999999999999E-2</v>
      </c>
      <c r="F3">
        <v>5.4790000000000004E-3</v>
      </c>
      <c r="G3" s="29">
        <f t="shared" si="0"/>
        <v>4.5622999999999997E-2</v>
      </c>
      <c r="I3" s="2">
        <v>0.02</v>
      </c>
      <c r="J3" s="2">
        <v>4.4200000000000003E-2</v>
      </c>
      <c r="K3" s="2">
        <v>2.6599999999999999E-2</v>
      </c>
      <c r="L3" s="2">
        <f t="shared" si="1"/>
        <v>9.0800000000000006E-2</v>
      </c>
      <c r="M3" s="2">
        <f t="shared" si="2"/>
        <v>4.5400000000000006E-3</v>
      </c>
      <c r="N3" s="3">
        <f t="shared" si="3"/>
        <v>9.5340000000000008E-2</v>
      </c>
      <c r="Q3" s="33">
        <v>2.6599999999999999E-2</v>
      </c>
      <c r="R3">
        <v>18.41</v>
      </c>
      <c r="S3">
        <v>30</v>
      </c>
      <c r="T3">
        <f t="shared" si="4"/>
        <v>14.691179999999999</v>
      </c>
    </row>
    <row r="4" spans="1:22" ht="19" thickBot="1" x14ac:dyDescent="0.5">
      <c r="B4">
        <v>16505</v>
      </c>
      <c r="C4" s="35">
        <f>B4*N7</f>
        <v>1188.8551500000001</v>
      </c>
      <c r="D4" s="35"/>
      <c r="E4">
        <v>3.0953000000000001E-2</v>
      </c>
      <c r="F4">
        <v>5.4790000000000004E-3</v>
      </c>
      <c r="G4" s="29">
        <f t="shared" si="0"/>
        <v>3.6431999999999999E-2</v>
      </c>
      <c r="I4" s="2">
        <v>0.02</v>
      </c>
      <c r="J4" s="2">
        <v>4.4200000000000003E-2</v>
      </c>
      <c r="K4" s="2">
        <v>1.06E-2</v>
      </c>
      <c r="L4" s="2">
        <f t="shared" si="1"/>
        <v>7.4800000000000005E-2</v>
      </c>
      <c r="M4" s="2">
        <f t="shared" si="2"/>
        <v>3.7400000000000003E-3</v>
      </c>
      <c r="N4" s="3">
        <f t="shared" si="3"/>
        <v>7.8539999999999999E-2</v>
      </c>
      <c r="Q4" s="33">
        <v>1.06E-2</v>
      </c>
      <c r="R4">
        <v>18.41</v>
      </c>
      <c r="S4">
        <v>30</v>
      </c>
      <c r="T4">
        <f t="shared" si="4"/>
        <v>5.8543800000000008</v>
      </c>
    </row>
    <row r="5" spans="1:22" ht="19" thickBot="1" x14ac:dyDescent="0.5">
      <c r="A5">
        <f>280.07+4158.19</f>
        <v>4438.2599999999993</v>
      </c>
      <c r="C5" s="35">
        <f>SUM(C2:C4)</f>
        <v>2311.5979950000001</v>
      </c>
      <c r="D5" s="35">
        <f>A5-C5</f>
        <v>2126.6620049999992</v>
      </c>
      <c r="E5">
        <v>2.5276E-2</v>
      </c>
      <c r="F5">
        <v>5.4790000000000004E-3</v>
      </c>
      <c r="G5" s="29">
        <f t="shared" si="0"/>
        <v>3.0755000000000001E-2</v>
      </c>
      <c r="I5" s="2">
        <v>0.02</v>
      </c>
      <c r="J5" s="2">
        <v>4.4200000000000003E-2</v>
      </c>
      <c r="K5" s="2">
        <v>1.15E-2</v>
      </c>
      <c r="L5" s="2">
        <f t="shared" si="1"/>
        <v>7.5700000000000003E-2</v>
      </c>
      <c r="M5" s="2">
        <f t="shared" si="2"/>
        <v>3.7850000000000002E-3</v>
      </c>
      <c r="N5" s="3">
        <f t="shared" si="3"/>
        <v>7.9485E-2</v>
      </c>
      <c r="Q5" s="33">
        <v>1.15E-2</v>
      </c>
      <c r="R5">
        <v>18.41</v>
      </c>
      <c r="S5">
        <v>30</v>
      </c>
      <c r="T5">
        <f t="shared" si="4"/>
        <v>6.3514499999999998</v>
      </c>
    </row>
    <row r="6" spans="1:22" ht="19" thickBot="1" x14ac:dyDescent="0.5">
      <c r="E6">
        <v>4.7200000000000002E-3</v>
      </c>
      <c r="F6">
        <v>5.4790000000000004E-3</v>
      </c>
      <c r="G6" s="29">
        <f t="shared" si="0"/>
        <v>1.0199E-2</v>
      </c>
      <c r="I6" s="2">
        <v>0.02</v>
      </c>
      <c r="J6" s="2">
        <v>4.4200000000000003E-2</v>
      </c>
      <c r="K6" s="2">
        <v>6.4000000000000003E-3</v>
      </c>
      <c r="L6" s="2">
        <f t="shared" si="1"/>
        <v>7.060000000000001E-2</v>
      </c>
      <c r="M6" s="2">
        <f t="shared" si="2"/>
        <v>3.5300000000000006E-3</v>
      </c>
      <c r="N6" s="3">
        <f t="shared" si="3"/>
        <v>7.4130000000000015E-2</v>
      </c>
      <c r="Q6" s="33">
        <v>6.4000000000000003E-3</v>
      </c>
      <c r="R6">
        <v>18.41</v>
      </c>
      <c r="S6">
        <v>30</v>
      </c>
      <c r="T6">
        <f t="shared" si="4"/>
        <v>3.5347200000000005</v>
      </c>
    </row>
    <row r="7" spans="1:22" ht="19" thickBot="1" x14ac:dyDescent="0.5">
      <c r="E7">
        <v>2.6440000000000001E-3</v>
      </c>
      <c r="F7">
        <v>5.4790000000000004E-3</v>
      </c>
      <c r="G7" s="29">
        <f t="shared" si="0"/>
        <v>8.123E-3</v>
      </c>
      <c r="I7" s="2">
        <v>0.02</v>
      </c>
      <c r="J7" s="2">
        <v>4.4200000000000003E-2</v>
      </c>
      <c r="K7" s="2">
        <v>4.4000000000000003E-3</v>
      </c>
      <c r="L7" s="2">
        <f t="shared" si="1"/>
        <v>6.8600000000000008E-2</v>
      </c>
      <c r="M7" s="2">
        <f t="shared" si="2"/>
        <v>3.4300000000000008E-3</v>
      </c>
      <c r="N7" s="3">
        <f t="shared" si="3"/>
        <v>7.2030000000000011E-2</v>
      </c>
      <c r="Q7" s="33">
        <v>4.4000000000000003E-3</v>
      </c>
      <c r="R7">
        <v>18.41</v>
      </c>
      <c r="S7">
        <v>30</v>
      </c>
      <c r="T7" s="32">
        <f t="shared" si="4"/>
        <v>2.4301200000000001</v>
      </c>
    </row>
    <row r="8" spans="1:22" x14ac:dyDescent="0.35">
      <c r="T8">
        <f>SUM(T2:T7)</f>
        <v>56.99736</v>
      </c>
      <c r="U8">
        <v>59.09</v>
      </c>
      <c r="V8" s="36">
        <f>U8-T8</f>
        <v>2.0926400000000029</v>
      </c>
    </row>
    <row r="9" spans="1:22" x14ac:dyDescent="0.35">
      <c r="C9" s="80" t="s">
        <v>56</v>
      </c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</row>
    <row r="10" spans="1:22" ht="87" x14ac:dyDescent="0.35">
      <c r="C10" s="38" t="s">
        <v>39</v>
      </c>
      <c r="D10" s="38" t="s">
        <v>41</v>
      </c>
      <c r="E10" s="38" t="s">
        <v>40</v>
      </c>
      <c r="F10" s="38" t="s">
        <v>42</v>
      </c>
      <c r="G10" s="38" t="s">
        <v>43</v>
      </c>
      <c r="H10" s="38" t="s">
        <v>49</v>
      </c>
      <c r="I10" s="39" t="s">
        <v>38</v>
      </c>
      <c r="J10" s="38" t="s">
        <v>45</v>
      </c>
      <c r="K10" s="38" t="s">
        <v>46</v>
      </c>
      <c r="L10" s="38" t="s">
        <v>47</v>
      </c>
      <c r="M10" s="38" t="s">
        <v>48</v>
      </c>
      <c r="N10" s="38" t="s">
        <v>44</v>
      </c>
    </row>
    <row r="11" spans="1:22" ht="15.5" x14ac:dyDescent="0.35">
      <c r="C11" s="40"/>
      <c r="D11" s="40" t="s">
        <v>30</v>
      </c>
      <c r="E11" s="40"/>
      <c r="F11" s="41">
        <f t="shared" ref="F11:F16" si="5">N2</f>
        <v>0.11329500000000001</v>
      </c>
      <c r="G11" s="43">
        <f t="shared" ref="G11:G16" si="6">E11*F11</f>
        <v>0</v>
      </c>
      <c r="H11" s="81">
        <f>C17-G17</f>
        <v>433.70803999999998</v>
      </c>
      <c r="I11" s="42">
        <v>4.3700000000000003E-2</v>
      </c>
      <c r="J11" s="40">
        <v>250</v>
      </c>
      <c r="K11" s="40">
        <v>31</v>
      </c>
      <c r="L11" s="43">
        <f t="shared" ref="L11:L16" si="7">I11*J11*K11</f>
        <v>338.67500000000001</v>
      </c>
      <c r="M11" s="40"/>
      <c r="N11" s="84">
        <f>M17-L17</f>
        <v>2.0255999999999403</v>
      </c>
    </row>
    <row r="12" spans="1:22" ht="15.5" x14ac:dyDescent="0.35">
      <c r="C12" s="40"/>
      <c r="D12" s="40" t="s">
        <v>31</v>
      </c>
      <c r="E12" s="40"/>
      <c r="F12" s="41">
        <f t="shared" si="5"/>
        <v>9.5340000000000008E-2</v>
      </c>
      <c r="G12" s="43">
        <f t="shared" si="6"/>
        <v>0</v>
      </c>
      <c r="H12" s="82"/>
      <c r="I12" s="42">
        <v>2.6599999999999999E-2</v>
      </c>
      <c r="J12" s="40">
        <v>250</v>
      </c>
      <c r="K12" s="40">
        <v>31</v>
      </c>
      <c r="L12" s="43">
        <f t="shared" si="7"/>
        <v>206.14999999999998</v>
      </c>
      <c r="M12" s="40"/>
      <c r="N12" s="85"/>
    </row>
    <row r="13" spans="1:22" ht="15.5" x14ac:dyDescent="0.35">
      <c r="C13" s="40"/>
      <c r="D13" s="40" t="s">
        <v>32</v>
      </c>
      <c r="E13" s="40"/>
      <c r="F13" s="41">
        <f t="shared" si="5"/>
        <v>7.8539999999999999E-2</v>
      </c>
      <c r="G13" s="43">
        <f t="shared" si="6"/>
        <v>0</v>
      </c>
      <c r="H13" s="82"/>
      <c r="I13" s="42">
        <v>1.06E-2</v>
      </c>
      <c r="J13" s="40">
        <v>250</v>
      </c>
      <c r="K13" s="40">
        <v>31</v>
      </c>
      <c r="L13" s="43">
        <f t="shared" si="7"/>
        <v>82.149999999999991</v>
      </c>
      <c r="M13" s="40"/>
      <c r="N13" s="85"/>
    </row>
    <row r="14" spans="1:22" ht="15.5" x14ac:dyDescent="0.35">
      <c r="C14" s="40"/>
      <c r="D14" s="40" t="s">
        <v>33</v>
      </c>
      <c r="E14" s="40">
        <v>1636</v>
      </c>
      <c r="F14" s="41">
        <f t="shared" si="5"/>
        <v>7.9485E-2</v>
      </c>
      <c r="G14" s="43">
        <f t="shared" si="6"/>
        <v>130.03746000000001</v>
      </c>
      <c r="H14" s="82"/>
      <c r="I14" s="42">
        <v>1.15E-2</v>
      </c>
      <c r="J14" s="40">
        <v>250</v>
      </c>
      <c r="K14" s="40">
        <v>31</v>
      </c>
      <c r="L14" s="43">
        <f t="shared" si="7"/>
        <v>89.125</v>
      </c>
      <c r="M14" s="40"/>
      <c r="N14" s="85"/>
    </row>
    <row r="15" spans="1:22" ht="15.5" x14ac:dyDescent="0.35">
      <c r="C15" s="40"/>
      <c r="D15" s="40" t="s">
        <v>34</v>
      </c>
      <c r="E15" s="40">
        <v>1224</v>
      </c>
      <c r="F15" s="41">
        <f t="shared" si="5"/>
        <v>7.4130000000000015E-2</v>
      </c>
      <c r="G15" s="43">
        <f t="shared" si="6"/>
        <v>90.735120000000023</v>
      </c>
      <c r="H15" s="82"/>
      <c r="I15" s="42">
        <v>6.4000000000000003E-3</v>
      </c>
      <c r="J15" s="40">
        <v>250</v>
      </c>
      <c r="K15" s="40">
        <v>31</v>
      </c>
      <c r="L15" s="43">
        <f t="shared" si="7"/>
        <v>49.6</v>
      </c>
      <c r="M15" s="40"/>
      <c r="N15" s="85"/>
    </row>
    <row r="16" spans="1:22" ht="15.5" x14ac:dyDescent="0.35">
      <c r="C16" s="40" t="s">
        <v>3</v>
      </c>
      <c r="D16" s="40" t="s">
        <v>35</v>
      </c>
      <c r="E16" s="40">
        <v>1246</v>
      </c>
      <c r="F16" s="41">
        <f t="shared" si="5"/>
        <v>7.2030000000000011E-2</v>
      </c>
      <c r="G16" s="43">
        <f t="shared" si="6"/>
        <v>89.749380000000016</v>
      </c>
      <c r="H16" s="82"/>
      <c r="I16" s="42">
        <v>4.4000000000000003E-3</v>
      </c>
      <c r="J16" s="40">
        <v>396</v>
      </c>
      <c r="K16" s="40">
        <v>31</v>
      </c>
      <c r="L16" s="43">
        <f t="shared" si="7"/>
        <v>54.014400000000002</v>
      </c>
      <c r="M16" s="40"/>
      <c r="N16" s="85"/>
    </row>
    <row r="17" spans="1:27" ht="15.5" x14ac:dyDescent="0.35">
      <c r="C17" s="45">
        <v>744.23</v>
      </c>
      <c r="D17" s="40"/>
      <c r="E17" s="40"/>
      <c r="F17" s="40"/>
      <c r="G17" s="44">
        <f>SUM(G12:G16)</f>
        <v>310.52196000000004</v>
      </c>
      <c r="H17" s="83"/>
      <c r="I17" s="40"/>
      <c r="J17" s="40"/>
      <c r="K17" s="40"/>
      <c r="L17" s="43">
        <f>SUM(L11:L16)</f>
        <v>819.71440000000007</v>
      </c>
      <c r="M17" s="48">
        <v>821.74</v>
      </c>
      <c r="N17" s="86"/>
    </row>
    <row r="18" spans="1:27" x14ac:dyDescent="0.35">
      <c r="C18" s="78" t="s">
        <v>50</v>
      </c>
      <c r="D18" s="78"/>
      <c r="E18" s="78"/>
      <c r="F18" s="78"/>
      <c r="G18" s="78"/>
      <c r="H18" s="37">
        <f>H11*3</f>
        <v>1301.1241199999999</v>
      </c>
      <c r="I18" s="47"/>
      <c r="J18" s="47"/>
      <c r="K18" s="47"/>
      <c r="L18" s="47"/>
      <c r="M18" s="47"/>
      <c r="N18" s="47"/>
    </row>
    <row r="19" spans="1:27" x14ac:dyDescent="0.35">
      <c r="C19" s="79" t="s">
        <v>51</v>
      </c>
      <c r="D19" s="79"/>
      <c r="E19" s="79"/>
      <c r="F19" s="79"/>
      <c r="G19" s="79"/>
      <c r="H19" s="37">
        <f>H18*0.75</f>
        <v>975.84308999999996</v>
      </c>
      <c r="I19" s="47"/>
      <c r="N19" s="47"/>
    </row>
    <row r="20" spans="1:27" x14ac:dyDescent="0.35">
      <c r="C20" s="79" t="s">
        <v>52</v>
      </c>
      <c r="D20" s="79"/>
      <c r="E20" s="79"/>
      <c r="F20" s="79"/>
      <c r="G20" s="79"/>
      <c r="H20" s="37">
        <f>H18*0.7</f>
        <v>910.78688399999987</v>
      </c>
      <c r="I20" s="47"/>
      <c r="N20" s="47"/>
    </row>
    <row r="21" spans="1:27" ht="15.5" x14ac:dyDescent="0.35">
      <c r="C21" s="77" t="s">
        <v>53</v>
      </c>
      <c r="D21" s="77"/>
      <c r="E21" s="77"/>
      <c r="F21" s="77"/>
      <c r="G21" s="77"/>
      <c r="H21" s="46">
        <f>SUM(H18:H20)</f>
        <v>3187.7540939999999</v>
      </c>
      <c r="I21" s="47"/>
      <c r="N21" s="47"/>
    </row>
    <row r="22" spans="1:27" ht="15.5" x14ac:dyDescent="0.35">
      <c r="C22" s="77" t="s">
        <v>54</v>
      </c>
      <c r="D22" s="77"/>
      <c r="E22" s="77"/>
      <c r="F22" s="77"/>
      <c r="G22" s="77"/>
      <c r="H22" s="46">
        <f>(H11*12)*0.85</f>
        <v>4423.8220080000001</v>
      </c>
      <c r="I22" s="47"/>
      <c r="N22" s="47"/>
    </row>
    <row r="23" spans="1:27" ht="15.5" x14ac:dyDescent="0.35">
      <c r="C23" s="77" t="s">
        <v>55</v>
      </c>
      <c r="D23" s="77"/>
      <c r="E23" s="77"/>
      <c r="F23" s="77"/>
      <c r="G23" s="77"/>
      <c r="H23" s="46">
        <f>H11*12</f>
        <v>5204.4964799999998</v>
      </c>
      <c r="I23" s="47"/>
      <c r="N23" s="47"/>
    </row>
    <row r="24" spans="1:27" x14ac:dyDescent="0.35">
      <c r="A24" s="34"/>
    </row>
    <row r="27" spans="1:27" x14ac:dyDescent="0.35">
      <c r="J27" s="47"/>
      <c r="K27" s="47"/>
      <c r="L27" s="47" t="s">
        <v>60</v>
      </c>
      <c r="M27" s="47"/>
    </row>
    <row r="28" spans="1:27" x14ac:dyDescent="0.35">
      <c r="J28" s="47">
        <f>2415.69+193.25+25.17</f>
        <v>2634.11</v>
      </c>
      <c r="K28" s="47">
        <f>4181+3020+8697</f>
        <v>15898</v>
      </c>
      <c r="L28" s="49">
        <f>J28/K28</f>
        <v>0.16568813687256259</v>
      </c>
      <c r="M28" s="50" t="s">
        <v>57</v>
      </c>
    </row>
    <row r="29" spans="1:27" s="6" customFormat="1" ht="28.5" thickBot="1" x14ac:dyDescent="0.65">
      <c r="A29" s="74" t="s">
        <v>6</v>
      </c>
      <c r="B29" s="4"/>
      <c r="C29" s="56" t="s">
        <v>7</v>
      </c>
      <c r="D29" s="56"/>
      <c r="E29" s="56"/>
      <c r="F29" s="56"/>
      <c r="G29" s="56"/>
      <c r="H29" s="56"/>
      <c r="I29" s="56"/>
      <c r="J29" s="47">
        <f>4861.33-843.7</f>
        <v>4017.63</v>
      </c>
      <c r="K29" s="49">
        <f>J29/K28</f>
        <v>0.25271291986413386</v>
      </c>
      <c r="L29" s="50" t="s">
        <v>58</v>
      </c>
      <c r="M29" s="50"/>
      <c r="N29" s="56"/>
      <c r="O29" s="56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s="6" customFormat="1" ht="16.5" customHeight="1" x14ac:dyDescent="0.35">
      <c r="A30" s="75"/>
      <c r="B30" s="7" t="s">
        <v>8</v>
      </c>
      <c r="C30" s="57" t="s">
        <v>9</v>
      </c>
      <c r="D30" s="57"/>
      <c r="E30" s="57"/>
      <c r="F30" s="57"/>
      <c r="G30" s="57"/>
      <c r="H30" s="57"/>
      <c r="I30" s="57"/>
      <c r="J30"/>
      <c r="K30"/>
      <c r="L30"/>
      <c r="M30" s="47"/>
      <c r="N30" s="57"/>
      <c r="O30" s="58" t="s">
        <v>10</v>
      </c>
    </row>
    <row r="31" spans="1:27" s="6" customFormat="1" ht="16.5" customHeight="1" x14ac:dyDescent="0.35">
      <c r="A31" s="75"/>
      <c r="B31" s="7" t="s">
        <v>11</v>
      </c>
      <c r="C31" s="8" t="s">
        <v>12</v>
      </c>
      <c r="D31" s="8" t="s">
        <v>12</v>
      </c>
      <c r="E31" s="9" t="s">
        <v>13</v>
      </c>
      <c r="F31" s="10" t="s">
        <v>14</v>
      </c>
      <c r="G31" s="10" t="s">
        <v>14</v>
      </c>
      <c r="H31" s="11" t="s">
        <v>15</v>
      </c>
      <c r="I31" s="8" t="s">
        <v>12</v>
      </c>
      <c r="J31" s="11" t="s">
        <v>15</v>
      </c>
      <c r="K31" s="11" t="s">
        <v>15</v>
      </c>
      <c r="L31" s="10" t="s">
        <v>14</v>
      </c>
      <c r="M31" s="9" t="s">
        <v>13</v>
      </c>
      <c r="N31" s="8" t="s">
        <v>12</v>
      </c>
      <c r="O31" s="58"/>
    </row>
    <row r="32" spans="1:27" s="6" customFormat="1" ht="12.75" customHeight="1" x14ac:dyDescent="0.35">
      <c r="A32" s="75"/>
      <c r="B32" s="7" t="s">
        <v>16</v>
      </c>
      <c r="C32" s="59" t="s">
        <v>17</v>
      </c>
      <c r="D32" s="59" t="s">
        <v>18</v>
      </c>
      <c r="E32" s="59" t="s">
        <v>19</v>
      </c>
      <c r="F32" s="59" t="s">
        <v>20</v>
      </c>
      <c r="G32" s="59" t="s">
        <v>21</v>
      </c>
      <c r="H32" s="59" t="s">
        <v>22</v>
      </c>
      <c r="I32" s="59" t="s">
        <v>23</v>
      </c>
      <c r="J32" s="59" t="s">
        <v>24</v>
      </c>
      <c r="K32" s="59" t="s">
        <v>25</v>
      </c>
      <c r="L32" s="59" t="s">
        <v>26</v>
      </c>
      <c r="M32" s="59" t="s">
        <v>27</v>
      </c>
      <c r="N32" s="59" t="s">
        <v>28</v>
      </c>
      <c r="O32" s="58"/>
    </row>
    <row r="33" spans="1:27" s="6" customFormat="1" x14ac:dyDescent="0.35">
      <c r="A33" s="75"/>
      <c r="B33" s="12" t="s">
        <v>29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8"/>
    </row>
    <row r="34" spans="1:27" s="6" customFormat="1" ht="19" customHeight="1" x14ac:dyDescent="0.35">
      <c r="A34" s="75"/>
      <c r="B34" s="13" t="s">
        <v>30</v>
      </c>
      <c r="C34" s="14"/>
      <c r="D34" s="14"/>
      <c r="E34" s="15"/>
      <c r="F34" s="15"/>
      <c r="G34" s="15"/>
      <c r="H34" s="15"/>
      <c r="I34" s="14"/>
      <c r="J34" s="15"/>
      <c r="K34" s="15"/>
      <c r="L34" s="15"/>
      <c r="M34" s="15"/>
      <c r="N34" s="14"/>
      <c r="O34" s="58"/>
    </row>
    <row r="35" spans="1:27" s="6" customFormat="1" ht="19" customHeight="1" x14ac:dyDescent="0.35">
      <c r="A35" s="75"/>
      <c r="B35" s="13" t="s">
        <v>31</v>
      </c>
      <c r="C35" s="14"/>
      <c r="D35" s="14"/>
      <c r="E35" s="14"/>
      <c r="F35" s="15"/>
      <c r="G35" s="15"/>
      <c r="H35" s="15"/>
      <c r="I35" s="14"/>
      <c r="J35" s="15"/>
      <c r="K35" s="15"/>
      <c r="L35" s="15"/>
      <c r="M35" s="14"/>
      <c r="N35" s="14"/>
      <c r="O35" s="58"/>
    </row>
    <row r="36" spans="1:27" s="6" customFormat="1" ht="19" customHeight="1" x14ac:dyDescent="0.35">
      <c r="A36" s="75"/>
      <c r="B36" s="13" t="s">
        <v>32</v>
      </c>
      <c r="C36" s="15"/>
      <c r="D36" s="15"/>
      <c r="E36" s="14"/>
      <c r="F36" s="15"/>
      <c r="G36" s="15"/>
      <c r="H36" s="14"/>
      <c r="I36" s="15"/>
      <c r="J36" s="14"/>
      <c r="K36" s="14"/>
      <c r="L36" s="15"/>
      <c r="M36" s="14"/>
      <c r="N36" s="15"/>
      <c r="O36" s="58"/>
    </row>
    <row r="37" spans="1:27" s="6" customFormat="1" ht="19" customHeight="1" x14ac:dyDescent="0.35">
      <c r="A37" s="75"/>
      <c r="B37" s="13" t="s">
        <v>33</v>
      </c>
      <c r="C37" s="15"/>
      <c r="D37" s="15"/>
      <c r="E37" s="15"/>
      <c r="F37" s="14"/>
      <c r="G37" s="14"/>
      <c r="H37" s="14"/>
      <c r="I37" s="15"/>
      <c r="J37" s="14"/>
      <c r="K37" s="14"/>
      <c r="L37" s="14"/>
      <c r="M37" s="15"/>
      <c r="N37" s="15"/>
      <c r="O37" s="58"/>
    </row>
    <row r="38" spans="1:27" s="6" customFormat="1" ht="19" customHeight="1" x14ac:dyDescent="0.35">
      <c r="A38" s="75"/>
      <c r="B38" s="13" t="s">
        <v>34</v>
      </c>
      <c r="C38" s="15"/>
      <c r="D38" s="15"/>
      <c r="E38" s="15"/>
      <c r="F38" s="14"/>
      <c r="G38" s="14"/>
      <c r="H38" s="15"/>
      <c r="I38" s="15"/>
      <c r="J38" s="15"/>
      <c r="K38" s="15"/>
      <c r="L38" s="14"/>
      <c r="M38" s="15"/>
      <c r="N38" s="15"/>
      <c r="O38" s="58"/>
    </row>
    <row r="39" spans="1:27" s="6" customFormat="1" ht="19" customHeight="1" x14ac:dyDescent="0.35">
      <c r="A39" s="76"/>
      <c r="B39" s="13" t="s">
        <v>35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58"/>
    </row>
    <row r="42" spans="1:27" s="6" customFormat="1" ht="28.5" thickBot="1" x14ac:dyDescent="0.65">
      <c r="A42" s="62" t="s">
        <v>6</v>
      </c>
      <c r="B42" s="5"/>
      <c r="C42" s="64" t="s">
        <v>36</v>
      </c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s="6" customFormat="1" ht="16.5" customHeight="1" thickBot="1" x14ac:dyDescent="0.4">
      <c r="A43" s="62"/>
      <c r="B43" s="17" t="s">
        <v>8</v>
      </c>
      <c r="C43" s="66" t="s">
        <v>9</v>
      </c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8" t="s">
        <v>10</v>
      </c>
    </row>
    <row r="44" spans="1:27" s="6" customFormat="1" ht="16.5" customHeight="1" thickBot="1" x14ac:dyDescent="0.4">
      <c r="A44" s="62"/>
      <c r="B44" s="18" t="s">
        <v>11</v>
      </c>
      <c r="C44" s="19" t="s">
        <v>15</v>
      </c>
      <c r="D44" s="19" t="s">
        <v>15</v>
      </c>
      <c r="E44" s="19" t="s">
        <v>15</v>
      </c>
      <c r="F44" s="20" t="s">
        <v>14</v>
      </c>
      <c r="G44" s="20" t="s">
        <v>14</v>
      </c>
      <c r="H44" s="20" t="s">
        <v>14</v>
      </c>
      <c r="I44" s="21" t="s">
        <v>12</v>
      </c>
      <c r="J44" s="21" t="s">
        <v>12</v>
      </c>
      <c r="K44" s="21" t="s">
        <v>12</v>
      </c>
      <c r="L44" s="21" t="s">
        <v>12</v>
      </c>
      <c r="M44" s="22" t="s">
        <v>13</v>
      </c>
      <c r="N44" s="22" t="s">
        <v>13</v>
      </c>
      <c r="O44" s="69"/>
    </row>
    <row r="45" spans="1:27" s="6" customFormat="1" ht="12.75" customHeight="1" x14ac:dyDescent="0.35">
      <c r="A45" s="62"/>
      <c r="B45" s="23" t="s">
        <v>16</v>
      </c>
      <c r="C45" s="72" t="s">
        <v>17</v>
      </c>
      <c r="D45" s="72" t="s">
        <v>18</v>
      </c>
      <c r="E45" s="72" t="s">
        <v>19</v>
      </c>
      <c r="F45" s="72" t="s">
        <v>20</v>
      </c>
      <c r="G45" s="72" t="s">
        <v>21</v>
      </c>
      <c r="H45" s="72" t="s">
        <v>22</v>
      </c>
      <c r="I45" s="72" t="s">
        <v>23</v>
      </c>
      <c r="J45" s="72" t="s">
        <v>24</v>
      </c>
      <c r="K45" s="72" t="s">
        <v>25</v>
      </c>
      <c r="L45" s="72" t="s">
        <v>26</v>
      </c>
      <c r="M45" s="72" t="s">
        <v>27</v>
      </c>
      <c r="N45" s="60" t="s">
        <v>28</v>
      </c>
      <c r="O45" s="69"/>
    </row>
    <row r="46" spans="1:27" s="6" customFormat="1" ht="23.5" customHeight="1" thickBot="1" x14ac:dyDescent="0.4">
      <c r="A46" s="62"/>
      <c r="B46" s="24" t="s">
        <v>29</v>
      </c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61"/>
      <c r="O46" s="69"/>
    </row>
    <row r="47" spans="1:27" s="6" customFormat="1" ht="19" customHeight="1" x14ac:dyDescent="0.35">
      <c r="A47" s="62"/>
      <c r="B47" s="25" t="s">
        <v>30</v>
      </c>
      <c r="C47" s="15"/>
      <c r="D47" s="15"/>
      <c r="E47" s="15"/>
      <c r="F47" s="15"/>
      <c r="G47" s="15"/>
      <c r="H47" s="15"/>
      <c r="I47" s="16"/>
      <c r="J47" s="16"/>
      <c r="K47" s="16"/>
      <c r="L47" s="16"/>
      <c r="M47" s="15"/>
      <c r="N47" s="15"/>
      <c r="O47" s="70"/>
    </row>
    <row r="48" spans="1:27" s="6" customFormat="1" ht="19" customHeight="1" x14ac:dyDescent="0.35">
      <c r="A48" s="62"/>
      <c r="B48" s="26" t="s">
        <v>31</v>
      </c>
      <c r="C48" s="16"/>
      <c r="D48" s="16"/>
      <c r="E48" s="16"/>
      <c r="F48" s="15"/>
      <c r="G48" s="15"/>
      <c r="H48" s="15"/>
      <c r="I48" s="15"/>
      <c r="J48" s="15"/>
      <c r="K48" s="15"/>
      <c r="L48" s="15"/>
      <c r="M48" s="16"/>
      <c r="N48" s="16"/>
      <c r="O48" s="70"/>
    </row>
    <row r="49" spans="1:15" s="6" customFormat="1" ht="19" customHeight="1" x14ac:dyDescent="0.35">
      <c r="A49" s="62"/>
      <c r="B49" s="27" t="s">
        <v>32</v>
      </c>
      <c r="C49" s="15"/>
      <c r="D49" s="15"/>
      <c r="E49" s="15"/>
      <c r="F49" s="15"/>
      <c r="G49" s="15"/>
      <c r="H49" s="15"/>
      <c r="I49" s="16"/>
      <c r="J49" s="16"/>
      <c r="K49" s="16"/>
      <c r="L49" s="16"/>
      <c r="M49" s="16"/>
      <c r="N49" s="16"/>
      <c r="O49" s="70"/>
    </row>
    <row r="50" spans="1:15" s="6" customFormat="1" ht="19" customHeight="1" x14ac:dyDescent="0.35">
      <c r="A50" s="62"/>
      <c r="B50" s="28" t="s">
        <v>33</v>
      </c>
      <c r="C50" s="16"/>
      <c r="D50" s="16"/>
      <c r="E50" s="16"/>
      <c r="F50" s="16"/>
      <c r="G50" s="16"/>
      <c r="H50" s="16"/>
      <c r="I50" s="15"/>
      <c r="J50" s="15"/>
      <c r="K50" s="15"/>
      <c r="L50" s="15"/>
      <c r="M50" s="15"/>
      <c r="N50" s="15"/>
      <c r="O50" s="70"/>
    </row>
    <row r="51" spans="1:15" s="6" customFormat="1" ht="19" customHeight="1" x14ac:dyDescent="0.35">
      <c r="A51" s="62"/>
      <c r="B51" s="26" t="s">
        <v>34</v>
      </c>
      <c r="C51" s="15"/>
      <c r="D51" s="15"/>
      <c r="E51" s="15"/>
      <c r="F51" s="16"/>
      <c r="G51" s="16"/>
      <c r="H51" s="16"/>
      <c r="I51" s="15"/>
      <c r="J51" s="15"/>
      <c r="K51" s="15"/>
      <c r="L51" s="15"/>
      <c r="M51" s="15"/>
      <c r="N51" s="15"/>
      <c r="O51" s="70"/>
    </row>
    <row r="52" spans="1:15" s="6" customFormat="1" ht="19" customHeight="1" thickBot="1" x14ac:dyDescent="0.4">
      <c r="A52" s="63"/>
      <c r="B52" s="27" t="s">
        <v>35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71"/>
    </row>
  </sheetData>
  <mergeCells count="26">
    <mergeCell ref="C9:N9"/>
    <mergeCell ref="H11:H17"/>
    <mergeCell ref="N11:N17"/>
    <mergeCell ref="C21:G21"/>
    <mergeCell ref="C22:G22"/>
    <mergeCell ref="A29:A39"/>
    <mergeCell ref="C23:G23"/>
    <mergeCell ref="C18:G18"/>
    <mergeCell ref="C19:G19"/>
    <mergeCell ref="C20:G20"/>
    <mergeCell ref="N45:N46"/>
    <mergeCell ref="A42:A52"/>
    <mergeCell ref="C42:O42"/>
    <mergeCell ref="C43:N43"/>
    <mergeCell ref="O43:O52"/>
    <mergeCell ref="C45:C46"/>
    <mergeCell ref="D45:D46"/>
    <mergeCell ref="E45:E46"/>
    <mergeCell ref="F45:F46"/>
    <mergeCell ref="G45:G46"/>
    <mergeCell ref="H45:H46"/>
    <mergeCell ref="I45:I46"/>
    <mergeCell ref="J45:J46"/>
    <mergeCell ref="K45:K46"/>
    <mergeCell ref="L45:L46"/>
    <mergeCell ref="M45:M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4B6A-2108-425D-B517-BE788215148C}">
  <dimension ref="C1:O32"/>
  <sheetViews>
    <sheetView zoomScale="89" workbookViewId="0">
      <selection activeCell="E11" sqref="E11"/>
    </sheetView>
  </sheetViews>
  <sheetFormatPr baseColWidth="10" defaultColWidth="10.7265625" defaultRowHeight="14.5" x14ac:dyDescent="0.35"/>
  <cols>
    <col min="3" max="3" width="15.7265625" customWidth="1"/>
    <col min="7" max="7" width="11.81640625" customWidth="1"/>
    <col min="8" max="8" width="14.90625" customWidth="1"/>
    <col min="9" max="9" width="3.7265625" customWidth="1"/>
    <col min="10" max="10" width="14.08984375" customWidth="1"/>
  </cols>
  <sheetData>
    <row r="1" spans="3:15" x14ac:dyDescent="0.3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/>
      <c r="J1" s="1" t="s">
        <v>5</v>
      </c>
    </row>
    <row r="2" spans="3:15" ht="18.5" x14ac:dyDescent="0.45">
      <c r="D2" s="2">
        <v>1.2500000000000001E-2</v>
      </c>
      <c r="E2" s="2">
        <v>5.2999999999999999E-2</v>
      </c>
      <c r="F2" s="2">
        <v>5.4417680000000003E-2</v>
      </c>
      <c r="G2" s="2">
        <f t="shared" ref="G2:G7" si="0">SUM(D2:F2)</f>
        <v>0.11991768</v>
      </c>
      <c r="H2" s="2">
        <f t="shared" ref="H2:H7" si="1">G2*5%</f>
        <v>5.9958839999999999E-3</v>
      </c>
      <c r="I2" s="2" t="s">
        <v>30</v>
      </c>
      <c r="J2" s="3">
        <f t="shared" ref="J2:J7" si="2">G2+H2</f>
        <v>0.12591356400000001</v>
      </c>
    </row>
    <row r="3" spans="3:15" ht="18.5" x14ac:dyDescent="0.45">
      <c r="D3" s="2">
        <v>1.2500000000000001E-2</v>
      </c>
      <c r="E3" s="2">
        <v>5.2999999999999999E-2</v>
      </c>
      <c r="F3" s="2">
        <v>2.823755E-2</v>
      </c>
      <c r="G3" s="2">
        <f t="shared" si="0"/>
        <v>9.3737550000000003E-2</v>
      </c>
      <c r="H3" s="2">
        <f t="shared" si="1"/>
        <v>4.6868775000000005E-3</v>
      </c>
      <c r="I3" s="2" t="s">
        <v>31</v>
      </c>
      <c r="J3" s="3">
        <f t="shared" si="2"/>
        <v>9.8424427500000009E-2</v>
      </c>
    </row>
    <row r="4" spans="3:15" ht="18.5" x14ac:dyDescent="0.45">
      <c r="D4" s="2">
        <v>1.2500000000000001E-2</v>
      </c>
      <c r="E4" s="2">
        <v>5.2999999999999999E-2</v>
      </c>
      <c r="F4" s="2">
        <v>9.6990600000000007E-3</v>
      </c>
      <c r="G4" s="2">
        <f>SUM(D4:F4)</f>
        <v>7.5199059999999998E-2</v>
      </c>
      <c r="H4" s="2">
        <f t="shared" si="1"/>
        <v>3.7599529999999999E-3</v>
      </c>
      <c r="I4" s="2" t="s">
        <v>32</v>
      </c>
      <c r="J4" s="3">
        <f t="shared" si="2"/>
        <v>7.8959012999999995E-2</v>
      </c>
    </row>
    <row r="5" spans="3:15" ht="18.5" x14ac:dyDescent="0.45">
      <c r="D5" s="2">
        <v>1.2500000000000001E-2</v>
      </c>
      <c r="E5" s="2">
        <v>5.2999999999999999E-2</v>
      </c>
      <c r="F5" s="2">
        <v>6.1537600000000003E-3</v>
      </c>
      <c r="G5" s="2">
        <f t="shared" si="0"/>
        <v>7.1653759999999997E-2</v>
      </c>
      <c r="H5" s="2">
        <f t="shared" si="1"/>
        <v>3.5826880000000001E-3</v>
      </c>
      <c r="I5" s="2" t="s">
        <v>33</v>
      </c>
      <c r="J5" s="3">
        <f t="shared" si="2"/>
        <v>7.5236447999999997E-2</v>
      </c>
    </row>
    <row r="6" spans="3:15" ht="18.5" x14ac:dyDescent="0.45">
      <c r="D6" s="2">
        <v>1.2500000000000001E-2</v>
      </c>
      <c r="E6" s="2">
        <v>5.2999999999999999E-2</v>
      </c>
      <c r="F6" s="2">
        <v>1.4254000000000001E-3</v>
      </c>
      <c r="G6" s="2">
        <f t="shared" si="0"/>
        <v>6.6925399999999996E-2</v>
      </c>
      <c r="H6" s="2">
        <f t="shared" si="1"/>
        <v>3.3462700000000001E-3</v>
      </c>
      <c r="I6" s="2" t="s">
        <v>34</v>
      </c>
      <c r="J6" s="3">
        <f t="shared" si="2"/>
        <v>7.0271669999999994E-2</v>
      </c>
    </row>
    <row r="7" spans="3:15" ht="18.5" x14ac:dyDescent="0.45">
      <c r="D7" s="2">
        <v>1.2500000000000001E-2</v>
      </c>
      <c r="E7" s="2">
        <v>5.2999999999999999E-2</v>
      </c>
      <c r="F7" s="2">
        <v>7.6299999999999996E-3</v>
      </c>
      <c r="G7" s="2">
        <f t="shared" si="0"/>
        <v>7.3130000000000001E-2</v>
      </c>
      <c r="H7" s="2">
        <f t="shared" si="1"/>
        <v>3.6565E-3</v>
      </c>
      <c r="I7" s="2" t="s">
        <v>35</v>
      </c>
      <c r="J7" s="3">
        <f t="shared" si="2"/>
        <v>7.6786500000000008E-2</v>
      </c>
    </row>
    <row r="9" spans="3:15" x14ac:dyDescent="0.35">
      <c r="C9" s="87"/>
      <c r="D9" s="88"/>
      <c r="E9" s="88"/>
      <c r="F9" s="88"/>
      <c r="G9" s="88"/>
      <c r="H9" s="88"/>
      <c r="I9" s="88"/>
      <c r="J9" s="88"/>
      <c r="K9" s="88"/>
      <c r="L9" s="88"/>
      <c r="M9" s="88"/>
      <c r="N9" s="89"/>
    </row>
    <row r="10" spans="3:15" ht="72.5" x14ac:dyDescent="0.35">
      <c r="C10" s="38" t="s">
        <v>39</v>
      </c>
      <c r="D10" s="38" t="s">
        <v>41</v>
      </c>
      <c r="E10" s="38" t="s">
        <v>40</v>
      </c>
      <c r="F10" s="38" t="s">
        <v>42</v>
      </c>
      <c r="G10" s="38" t="s">
        <v>43</v>
      </c>
      <c r="H10" s="90" t="s">
        <v>49</v>
      </c>
      <c r="I10" s="91"/>
      <c r="J10" s="39" t="s">
        <v>38</v>
      </c>
      <c r="K10" s="38" t="s">
        <v>45</v>
      </c>
      <c r="L10" s="38" t="s">
        <v>46</v>
      </c>
      <c r="M10" s="38" t="s">
        <v>47</v>
      </c>
      <c r="N10" s="38" t="s">
        <v>48</v>
      </c>
      <c r="O10" s="38" t="s">
        <v>44</v>
      </c>
    </row>
    <row r="11" spans="3:15" ht="18.649999999999999" customHeight="1" x14ac:dyDescent="0.35">
      <c r="C11" s="40"/>
      <c r="D11" s="40" t="s">
        <v>30</v>
      </c>
      <c r="E11" s="40">
        <v>2260</v>
      </c>
      <c r="F11" s="41">
        <f>J2</f>
        <v>0.12591356400000001</v>
      </c>
      <c r="G11" s="40"/>
      <c r="H11" s="92">
        <f>C17-G17</f>
        <v>445.87300087999989</v>
      </c>
      <c r="I11" s="93"/>
      <c r="J11" s="42">
        <v>5.122811E-2</v>
      </c>
      <c r="K11" s="40">
        <v>38.090000000000003</v>
      </c>
      <c r="L11" s="40">
        <v>31</v>
      </c>
      <c r="M11" s="43">
        <f t="shared" ref="M11:M16" si="3">J11*K11*L11</f>
        <v>60.489640006900004</v>
      </c>
      <c r="N11" s="40"/>
      <c r="O11" s="84">
        <f>N17-M17</f>
        <v>20.038733764899973</v>
      </c>
    </row>
    <row r="12" spans="3:15" ht="18.649999999999999" customHeight="1" x14ac:dyDescent="0.35">
      <c r="C12" s="40"/>
      <c r="D12" s="40" t="s">
        <v>31</v>
      </c>
      <c r="E12" s="40">
        <v>1488</v>
      </c>
      <c r="F12" s="41">
        <f t="shared" ref="F12:F14" si="4">J3</f>
        <v>9.8424427500000009E-2</v>
      </c>
      <c r="G12" s="43">
        <f>E12*F12</f>
        <v>146.45554812</v>
      </c>
      <c r="H12" s="94"/>
      <c r="I12" s="95"/>
      <c r="J12" s="42">
        <v>2.5637279999999998E-2</v>
      </c>
      <c r="K12" s="40">
        <v>38.090000000000003</v>
      </c>
      <c r="L12" s="40">
        <v>31</v>
      </c>
      <c r="M12" s="43">
        <f t="shared" si="3"/>
        <v>30.272243851199999</v>
      </c>
      <c r="N12" s="40"/>
      <c r="O12" s="85"/>
    </row>
    <row r="13" spans="3:15" ht="18.649999999999999" customHeight="1" x14ac:dyDescent="0.35">
      <c r="C13" s="40"/>
      <c r="D13" s="40" t="s">
        <v>32</v>
      </c>
      <c r="E13" s="40"/>
      <c r="F13" s="41">
        <f t="shared" si="4"/>
        <v>7.8959012999999995E-2</v>
      </c>
      <c r="G13" s="43">
        <f>E13*F13</f>
        <v>0</v>
      </c>
      <c r="H13" s="94"/>
      <c r="I13" s="95"/>
      <c r="J13" s="42">
        <v>1.86284E-2</v>
      </c>
      <c r="K13" s="40">
        <v>38.090000000000003</v>
      </c>
      <c r="L13" s="40">
        <v>31</v>
      </c>
      <c r="M13" s="43">
        <f t="shared" si="3"/>
        <v>21.996228436000003</v>
      </c>
      <c r="N13" s="40"/>
      <c r="O13" s="85"/>
    </row>
    <row r="14" spans="3:15" ht="18.649999999999999" customHeight="1" x14ac:dyDescent="0.35">
      <c r="C14" s="40"/>
      <c r="D14" s="40" t="s">
        <v>33</v>
      </c>
      <c r="E14" s="40"/>
      <c r="F14" s="41">
        <f t="shared" si="4"/>
        <v>7.5236447999999997E-2</v>
      </c>
      <c r="G14" s="43">
        <f>E14*F14</f>
        <v>0</v>
      </c>
      <c r="H14" s="94"/>
      <c r="I14" s="95"/>
      <c r="J14" s="42">
        <v>1.86284E-2</v>
      </c>
      <c r="K14" s="40">
        <v>38.090000000000003</v>
      </c>
      <c r="L14" s="40">
        <v>31</v>
      </c>
      <c r="M14" s="43">
        <f t="shared" si="3"/>
        <v>21.996228436000003</v>
      </c>
      <c r="N14" s="40"/>
      <c r="O14" s="85"/>
    </row>
    <row r="15" spans="3:15" ht="18.649999999999999" customHeight="1" x14ac:dyDescent="0.35">
      <c r="C15" s="40"/>
      <c r="D15" s="40" t="s">
        <v>34</v>
      </c>
      <c r="E15" s="40"/>
      <c r="F15" s="41">
        <f>J6</f>
        <v>7.0271669999999994E-2</v>
      </c>
      <c r="G15" s="43">
        <f>E15*F15</f>
        <v>0</v>
      </c>
      <c r="H15" s="94"/>
      <c r="I15" s="95"/>
      <c r="J15" s="42">
        <v>1.86284E-2</v>
      </c>
      <c r="K15" s="40">
        <v>38.090000000000003</v>
      </c>
      <c r="L15" s="40">
        <v>31</v>
      </c>
      <c r="M15" s="43">
        <f t="shared" si="3"/>
        <v>21.996228436000003</v>
      </c>
      <c r="N15" s="40"/>
      <c r="O15" s="85"/>
    </row>
    <row r="16" spans="3:15" ht="18.649999999999999" customHeight="1" x14ac:dyDescent="0.35">
      <c r="C16" s="40" t="s">
        <v>3</v>
      </c>
      <c r="D16" s="40" t="s">
        <v>35</v>
      </c>
      <c r="E16" s="40">
        <v>4574</v>
      </c>
      <c r="F16" s="41">
        <f>J7</f>
        <v>7.6786500000000008E-2</v>
      </c>
      <c r="G16" s="43">
        <f>E16*F16</f>
        <v>351.22145100000006</v>
      </c>
      <c r="H16" s="94"/>
      <c r="I16" s="95"/>
      <c r="J16" s="42">
        <v>8.5380200000000003E-3</v>
      </c>
      <c r="K16" s="40">
        <v>49.95</v>
      </c>
      <c r="L16" s="40">
        <v>31</v>
      </c>
      <c r="M16" s="43">
        <f t="shared" si="3"/>
        <v>13.220697069000002</v>
      </c>
      <c r="N16" s="40"/>
      <c r="O16" s="85"/>
    </row>
    <row r="17" spans="3:15" ht="18.649999999999999" customHeight="1" x14ac:dyDescent="0.35">
      <c r="C17" s="45">
        <f>337+190.5+416.05</f>
        <v>943.55</v>
      </c>
      <c r="D17" s="40"/>
      <c r="E17" s="40"/>
      <c r="F17" s="40"/>
      <c r="G17" s="44">
        <f>SUM(G12:G16)</f>
        <v>497.67699912000006</v>
      </c>
      <c r="H17" s="96"/>
      <c r="I17" s="97"/>
      <c r="J17" s="40"/>
      <c r="K17" s="40"/>
      <c r="L17" s="40"/>
      <c r="M17" s="55">
        <f>SUM(M11:M16)</f>
        <v>169.97126623510002</v>
      </c>
      <c r="N17" s="54">
        <f>93.14+48.78+21.22+16.73+6.25+3.89</f>
        <v>190.01</v>
      </c>
      <c r="O17" s="86"/>
    </row>
    <row r="18" spans="3:15" x14ac:dyDescent="0.35">
      <c r="C18" s="78" t="s">
        <v>50</v>
      </c>
      <c r="D18" s="78"/>
      <c r="E18" s="78"/>
      <c r="F18" s="78"/>
      <c r="G18" s="78"/>
      <c r="H18" s="37">
        <f>H11*3+O11*3</f>
        <v>1397.7352039346997</v>
      </c>
    </row>
    <row r="19" spans="3:15" x14ac:dyDescent="0.35">
      <c r="C19" s="79" t="s">
        <v>51</v>
      </c>
      <c r="D19" s="79"/>
      <c r="E19" s="79"/>
      <c r="F19" s="79"/>
      <c r="G19" s="79"/>
      <c r="H19" s="37">
        <f>H18*0.75</f>
        <v>1048.3014029510248</v>
      </c>
    </row>
    <row r="20" spans="3:15" x14ac:dyDescent="0.35">
      <c r="C20" s="79" t="s">
        <v>52</v>
      </c>
      <c r="D20" s="79"/>
      <c r="E20" s="79"/>
      <c r="F20" s="79"/>
      <c r="G20" s="79"/>
      <c r="H20" s="37">
        <f>H18*0.7</f>
        <v>978.41464275428973</v>
      </c>
    </row>
    <row r="21" spans="3:15" ht="15.5" x14ac:dyDescent="0.35">
      <c r="C21" s="77" t="s">
        <v>53</v>
      </c>
      <c r="D21" s="77"/>
      <c r="E21" s="77"/>
      <c r="F21" s="77"/>
      <c r="G21" s="77"/>
      <c r="H21" s="46">
        <f>SUM(H18:H20)</f>
        <v>3424.4512496400143</v>
      </c>
    </row>
    <row r="22" spans="3:15" ht="15.5" x14ac:dyDescent="0.35">
      <c r="C22" s="77" t="s">
        <v>54</v>
      </c>
      <c r="D22" s="77"/>
      <c r="E22" s="77"/>
      <c r="F22" s="77"/>
      <c r="G22" s="77"/>
      <c r="H22" s="46">
        <f>(H11*12)*0.85</f>
        <v>4547.9046089759986</v>
      </c>
    </row>
    <row r="23" spans="3:15" ht="15.5" x14ac:dyDescent="0.35">
      <c r="C23" s="77" t="s">
        <v>55</v>
      </c>
      <c r="D23" s="77"/>
      <c r="E23" s="77"/>
      <c r="F23" s="77"/>
      <c r="G23" s="77"/>
      <c r="H23" s="46">
        <f>H11*12</f>
        <v>5350.4760105599989</v>
      </c>
    </row>
    <row r="28" spans="3:15" x14ac:dyDescent="0.35">
      <c r="D28" s="53" t="s">
        <v>61</v>
      </c>
    </row>
    <row r="29" spans="3:15" x14ac:dyDescent="0.35">
      <c r="C29" s="51">
        <f>24279.48-705.28-4.24</f>
        <v>23569.96</v>
      </c>
      <c r="D29" s="47">
        <f>45865+43950+87390</f>
        <v>177205</v>
      </c>
      <c r="E29" s="49">
        <f>C29/D29</f>
        <v>0.13300956519285573</v>
      </c>
      <c r="F29" s="50" t="s">
        <v>59</v>
      </c>
    </row>
    <row r="31" spans="3:15" x14ac:dyDescent="0.35">
      <c r="D31" s="53" t="s">
        <v>62</v>
      </c>
    </row>
    <row r="32" spans="3:15" x14ac:dyDescent="0.35">
      <c r="C32" s="36">
        <f>G17+M17+75.29+94.83+1.91+1143.5</f>
        <v>1983.1782653550999</v>
      </c>
      <c r="D32" s="47">
        <f>45865+43950+87390</f>
        <v>177205</v>
      </c>
      <c r="E32" s="52">
        <f>C32/D32</f>
        <v>1.1191435147739058E-2</v>
      </c>
      <c r="F32" s="53" t="s">
        <v>63</v>
      </c>
    </row>
  </sheetData>
  <mergeCells count="10">
    <mergeCell ref="C9:N9"/>
    <mergeCell ref="C21:G21"/>
    <mergeCell ref="C22:G22"/>
    <mergeCell ref="C23:G23"/>
    <mergeCell ref="O11:O17"/>
    <mergeCell ref="C18:G18"/>
    <mergeCell ref="C19:G19"/>
    <mergeCell ref="C20:G20"/>
    <mergeCell ref="H10:I10"/>
    <mergeCell ref="H11:I17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3.0TD COMP</vt:lpstr>
      <vt:lpstr>6.1TD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 Rocha</dc:creator>
  <cp:lastModifiedBy>PEDRO QUEVEDO LEY</cp:lastModifiedBy>
  <dcterms:created xsi:type="dcterms:W3CDTF">2025-01-10T09:36:45Z</dcterms:created>
  <dcterms:modified xsi:type="dcterms:W3CDTF">2025-03-19T19:13:48Z</dcterms:modified>
</cp:coreProperties>
</file>