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\swaps\Clase 15 swaps\"/>
    </mc:Choice>
  </mc:AlternateContent>
  <xr:revisionPtr revIDLastSave="0" documentId="13_ncr:1_{1B89C05C-DC0B-45FF-8421-C063D1D2D3B4}" xr6:coauthVersionLast="47" xr6:coauthVersionMax="47" xr10:uidLastSave="{00000000-0000-0000-0000-000000000000}"/>
  <bookViews>
    <workbookView xWindow="28680" yWindow="-120" windowWidth="29040" windowHeight="15720" activeTab="2" xr2:uid="{44B9DA55-9423-4F61-A421-FFF29B59D1F7}"/>
  </bookViews>
  <sheets>
    <sheet name="P36 Example" sheetId="1" r:id="rId1"/>
    <sheet name="Example 2" sheetId="2" r:id="rId2"/>
    <sheet name="Example 2 Solver" sheetId="3" r:id="rId3"/>
    <sheet name="Example 2 Solver (2)" sheetId="4" state="hidden" r:id="rId4"/>
  </sheets>
  <definedNames>
    <definedName name="solver_adj" localSheetId="2" hidden="1">'Example 2 Solver'!$C$3</definedName>
    <definedName name="solver_adj" localSheetId="3" hidden="1">'Example 2 Solver (2)'!$C$3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'Example 2 Solver'!$C$22</definedName>
    <definedName name="solver_opt" localSheetId="3" hidden="1">'Example 2 Solver (2)'!$C$22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" i="4" l="1"/>
  <c r="X13" i="4"/>
  <c r="S4" i="4"/>
  <c r="X5" i="4"/>
  <c r="X12" i="4"/>
  <c r="S5" i="4"/>
  <c r="N15" i="4"/>
  <c r="N12" i="4"/>
  <c r="P7" i="4"/>
  <c r="P6" i="4"/>
  <c r="P5" i="4"/>
  <c r="N13" i="4" s="1"/>
  <c r="P13" i="4" s="1"/>
  <c r="Q13" i="4" s="1"/>
  <c r="Q12" i="4"/>
  <c r="Q5" i="4"/>
  <c r="Q4" i="4"/>
  <c r="K12" i="4"/>
  <c r="J12" i="4"/>
  <c r="S6" i="4"/>
  <c r="S7" i="4"/>
  <c r="X7" i="4"/>
  <c r="X6" i="4"/>
  <c r="P12" i="4"/>
  <c r="O15" i="4"/>
  <c r="X11" i="4"/>
  <c r="AA3" i="4"/>
  <c r="Z3" i="4"/>
  <c r="O5" i="4"/>
  <c r="X4" i="4"/>
  <c r="U3" i="4"/>
  <c r="O6" i="4" l="1"/>
  <c r="X14" i="4" s="1"/>
  <c r="AA10" i="4"/>
  <c r="V3" i="4"/>
  <c r="F15" i="4"/>
  <c r="G15" i="4" s="1"/>
  <c r="F14" i="4"/>
  <c r="G14" i="4" s="1"/>
  <c r="F13" i="4"/>
  <c r="G13" i="4" s="1"/>
  <c r="F12" i="4"/>
  <c r="G12" i="4" s="1"/>
  <c r="F7" i="4"/>
  <c r="F6" i="4"/>
  <c r="F5" i="4"/>
  <c r="F4" i="4"/>
  <c r="C4" i="4"/>
  <c r="J4" i="4" s="1"/>
  <c r="K12" i="3"/>
  <c r="J12" i="3"/>
  <c r="C16" i="1"/>
  <c r="F15" i="3"/>
  <c r="G15" i="3" s="1"/>
  <c r="F14" i="3"/>
  <c r="G14" i="3" s="1"/>
  <c r="F13" i="3"/>
  <c r="G13" i="3" s="1"/>
  <c r="F12" i="3"/>
  <c r="G12" i="3" s="1"/>
  <c r="F7" i="3"/>
  <c r="F6" i="3"/>
  <c r="F5" i="3"/>
  <c r="J4" i="3"/>
  <c r="F4" i="3"/>
  <c r="C4" i="3"/>
  <c r="K16" i="3" s="1"/>
  <c r="K16" i="2"/>
  <c r="K12" i="2"/>
  <c r="F13" i="1"/>
  <c r="F7" i="2"/>
  <c r="F15" i="2"/>
  <c r="G15" i="2" s="1"/>
  <c r="J12" i="2"/>
  <c r="F14" i="2"/>
  <c r="G14" i="2" s="1"/>
  <c r="F13" i="2"/>
  <c r="G13" i="2" s="1"/>
  <c r="F12" i="2"/>
  <c r="G12" i="2" s="1"/>
  <c r="C4" i="2"/>
  <c r="F6" i="2"/>
  <c r="F5" i="2"/>
  <c r="J4" i="2"/>
  <c r="F4" i="2"/>
  <c r="J4" i="1"/>
  <c r="F5" i="1"/>
  <c r="F6" i="1"/>
  <c r="F7" i="1"/>
  <c r="F8" i="1"/>
  <c r="F9" i="1"/>
  <c r="F10" i="1"/>
  <c r="F11" i="1"/>
  <c r="F12" i="1"/>
  <c r="F4" i="1"/>
  <c r="C18" i="1" s="1"/>
  <c r="X15" i="4" l="1"/>
  <c r="O7" i="4" s="1"/>
  <c r="Q6" i="4"/>
  <c r="N14" i="4"/>
  <c r="P14" i="4" s="1"/>
  <c r="G16" i="4"/>
  <c r="K16" i="4"/>
  <c r="G16" i="2"/>
  <c r="C20" i="2" s="1"/>
  <c r="G16" i="3"/>
  <c r="C22" i="2"/>
  <c r="P15" i="4" l="1"/>
  <c r="Q15" i="4" s="1"/>
  <c r="Q7" i="4"/>
  <c r="Q14" i="4"/>
  <c r="C20" i="4"/>
  <c r="C22" i="4" s="1"/>
  <c r="C20" i="3"/>
  <c r="C22" i="3" s="1"/>
  <c r="Q16" i="4" l="1"/>
</calcChain>
</file>

<file path=xl/sharedStrings.xml><?xml version="1.0" encoding="utf-8"?>
<sst xmlns="http://schemas.openxmlformats.org/spreadsheetml/2006/main" count="119" uniqueCount="29">
  <si>
    <t>Notional Principal</t>
  </si>
  <si>
    <t>Annual Fixed Rate</t>
  </si>
  <si>
    <t>Floating Rate</t>
  </si>
  <si>
    <t>Fixed Rate Bond</t>
  </si>
  <si>
    <t>Floating Rate Bond</t>
  </si>
  <si>
    <t>Time</t>
  </si>
  <si>
    <t>Cash Flow</t>
  </si>
  <si>
    <t>Present Value</t>
  </si>
  <si>
    <t>Market Reference Rate</t>
  </si>
  <si>
    <t>six-month</t>
  </si>
  <si>
    <t>Swap Position</t>
  </si>
  <si>
    <t>Treasury Curve</t>
  </si>
  <si>
    <t>Interest Rate</t>
  </si>
  <si>
    <t>Final Value</t>
  </si>
  <si>
    <t>Pay Fixed</t>
  </si>
  <si>
    <t>Pay Float</t>
  </si>
  <si>
    <t xml:space="preserve">Pay Float ( Long) </t>
  </si>
  <si>
    <t>Pay Fixed (Short)</t>
  </si>
  <si>
    <t>Tenor</t>
  </si>
  <si>
    <t>Cupon</t>
  </si>
  <si>
    <t>Coupon</t>
  </si>
  <si>
    <t>Amortization</t>
  </si>
  <si>
    <t>Par</t>
  </si>
  <si>
    <t>Zero</t>
  </si>
  <si>
    <t>Forward</t>
  </si>
  <si>
    <t>Discounted Factor</t>
  </si>
  <si>
    <t>Zero 1 año</t>
  </si>
  <si>
    <t>Zero 2 años</t>
  </si>
  <si>
    <t>Zero 1,5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</si>
</sst>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5" formatCode="_ * #,##0.00_ ;_ * \-#,##0.00_ ;_ * &quot;-&quot;_ ;_ @_ "/>
    <numFmt numFmtId="167" formatCode="0.00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2" fontId="0" fillId="0" borderId="1" xfId="1" applyFont="1" applyBorder="1"/>
    <xf numFmtId="0" fontId="0" fillId="0" borderId="1" xfId="0" applyBorder="1"/>
    <xf numFmtId="10" fontId="0" fillId="0" borderId="6" xfId="0" applyNumberForma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42" fontId="0" fillId="0" borderId="12" xfId="1" applyFont="1" applyBorder="1"/>
    <xf numFmtId="0" fontId="0" fillId="2" borderId="9" xfId="0" applyFill="1" applyBorder="1"/>
    <xf numFmtId="0" fontId="0" fillId="2" borderId="11" xfId="0" applyFill="1" applyBorder="1"/>
    <xf numFmtId="42" fontId="3" fillId="3" borderId="11" xfId="0" applyNumberFormat="1" applyFont="1" applyFill="1" applyBorder="1"/>
    <xf numFmtId="0" fontId="3" fillId="3" borderId="14" xfId="0" applyFont="1" applyFill="1" applyBorder="1"/>
    <xf numFmtId="42" fontId="3" fillId="3" borderId="16" xfId="0" applyNumberFormat="1" applyFont="1" applyFill="1" applyBorder="1"/>
    <xf numFmtId="42" fontId="5" fillId="0" borderId="2" xfId="1" applyFont="1" applyBorder="1"/>
    <xf numFmtId="10" fontId="5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6" fillId="4" borderId="2" xfId="0" applyFont="1" applyFill="1" applyBorder="1"/>
    <xf numFmtId="0" fontId="2" fillId="4" borderId="9" xfId="0" applyFont="1" applyFill="1" applyBorder="1"/>
    <xf numFmtId="0" fontId="2" fillId="4" borderId="13" xfId="0" applyFont="1" applyFill="1" applyBorder="1"/>
    <xf numFmtId="0" fontId="2" fillId="4" borderId="15" xfId="0" applyFont="1" applyFill="1" applyBorder="1"/>
    <xf numFmtId="0" fontId="0" fillId="4" borderId="11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17" xfId="0" applyBorder="1"/>
    <xf numFmtId="0" fontId="2" fillId="4" borderId="11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0" fillId="0" borderId="3" xfId="0" applyBorder="1"/>
    <xf numFmtId="10" fontId="0" fillId="0" borderId="4" xfId="0" applyNumberFormat="1" applyBorder="1"/>
    <xf numFmtId="10" fontId="0" fillId="0" borderId="8" xfId="0" applyNumberFormat="1" applyBorder="1"/>
    <xf numFmtId="42" fontId="0" fillId="0" borderId="6" xfId="1" applyFont="1" applyBorder="1"/>
    <xf numFmtId="0" fontId="0" fillId="0" borderId="18" xfId="0" applyBorder="1"/>
    <xf numFmtId="42" fontId="0" fillId="0" borderId="19" xfId="1" applyFont="1" applyBorder="1"/>
    <xf numFmtId="42" fontId="0" fillId="0" borderId="20" xfId="1" applyFont="1" applyBorder="1"/>
    <xf numFmtId="0" fontId="0" fillId="0" borderId="21" xfId="0" applyBorder="1"/>
    <xf numFmtId="42" fontId="0" fillId="0" borderId="22" xfId="0" applyNumberFormat="1" applyBorder="1"/>
    <xf numFmtId="0" fontId="0" fillId="0" borderId="19" xfId="0" applyBorder="1"/>
    <xf numFmtId="42" fontId="0" fillId="0" borderId="22" xfId="1" applyFont="1" applyBorder="1"/>
    <xf numFmtId="0" fontId="0" fillId="2" borderId="0" xfId="0" applyFill="1" applyBorder="1"/>
    <xf numFmtId="10" fontId="0" fillId="0" borderId="1" xfId="0" applyNumberFormat="1" applyBorder="1"/>
    <xf numFmtId="0" fontId="0" fillId="2" borderId="23" xfId="0" applyFill="1" applyBorder="1"/>
    <xf numFmtId="10" fontId="0" fillId="0" borderId="0" xfId="3" applyNumberFormat="1" applyFont="1"/>
    <xf numFmtId="167" fontId="0" fillId="0" borderId="0" xfId="3" applyNumberFormat="1" applyFont="1"/>
    <xf numFmtId="165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43" fontId="0" fillId="0" borderId="0" xfId="3" applyNumberFormat="1" applyFont="1"/>
    <xf numFmtId="167" fontId="0" fillId="0" borderId="1" xfId="0" applyNumberFormat="1" applyBorder="1"/>
    <xf numFmtId="42" fontId="0" fillId="0" borderId="0" xfId="1" applyFont="1"/>
    <xf numFmtId="42" fontId="0" fillId="0" borderId="0" xfId="0" applyNumberFormat="1"/>
  </cellXfs>
  <cellStyles count="4">
    <cellStyle name="Millares [0]" xfId="2" builtinId="6"/>
    <cellStyle name="Moneda [0]" xfId="1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133350</xdr:rowOff>
    </xdr:from>
    <xdr:to>
      <xdr:col>18</xdr:col>
      <xdr:colOff>54203</xdr:colOff>
      <xdr:row>19</xdr:row>
      <xdr:rowOff>9699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1C6538-CC52-0076-B154-E77D741C5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275" y="133350"/>
          <a:ext cx="4445228" cy="3381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8</xdr:row>
      <xdr:rowOff>187325</xdr:rowOff>
    </xdr:from>
    <xdr:to>
      <xdr:col>14</xdr:col>
      <xdr:colOff>692150</xdr:colOff>
      <xdr:row>14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50324A3-2669-9A22-8922-0B4A87C8079C}"/>
            </a:ext>
          </a:extLst>
        </xdr:cNvPr>
        <xdr:cNvSpPr txBox="1"/>
      </xdr:nvSpPr>
      <xdr:spPr>
        <a:xfrm>
          <a:off x="9864725" y="1768475"/>
          <a:ext cx="264795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 la pata</a:t>
          </a:r>
          <a:r>
            <a:rPr lang="es-CL" sz="1100" baseline="0"/>
            <a:t> flotante recibimos el cash flow completo y no hay otros flujos porque la tasa flotante se vuelve a recalcular con la nueva MRR (en este caso la nueva tasa flotante a 6 meses)</a:t>
          </a:r>
        </a:p>
        <a:p>
          <a:endParaRPr lang="es-CL" sz="1100" baseline="0"/>
        </a:p>
        <a:p>
          <a:endParaRPr lang="es-CL" sz="1100"/>
        </a:p>
      </xdr:txBody>
    </xdr:sp>
    <xdr:clientData/>
  </xdr:twoCellAnchor>
  <xdr:oneCellAnchor>
    <xdr:from>
      <xdr:col>13</xdr:col>
      <xdr:colOff>215900</xdr:colOff>
      <xdr:row>6</xdr:row>
      <xdr:rowOff>38100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9030AEA-F774-C7E3-AFFA-47AFFEF6E2C1}"/>
            </a:ext>
          </a:extLst>
        </xdr:cNvPr>
        <xdr:cNvSpPr txBox="1"/>
      </xdr:nvSpPr>
      <xdr:spPr>
        <a:xfrm>
          <a:off x="1127442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12</xdr:col>
      <xdr:colOff>349250</xdr:colOff>
      <xdr:row>5</xdr:row>
      <xdr:rowOff>95250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DFB3B5F-61CB-46BD-C41B-39E045705389}"/>
            </a:ext>
          </a:extLst>
        </xdr:cNvPr>
        <xdr:cNvSpPr txBox="1"/>
      </xdr:nvSpPr>
      <xdr:spPr>
        <a:xfrm>
          <a:off x="10645775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168275</xdr:rowOff>
    </xdr:from>
    <xdr:to>
      <xdr:col>14</xdr:col>
      <xdr:colOff>695325</xdr:colOff>
      <xdr:row>15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76A3CF6-0345-4A94-BF82-82AD8B22ED26}"/>
            </a:ext>
          </a:extLst>
        </xdr:cNvPr>
        <xdr:cNvSpPr txBox="1"/>
      </xdr:nvSpPr>
      <xdr:spPr>
        <a:xfrm>
          <a:off x="9867900" y="1939925"/>
          <a:ext cx="264795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 la pata</a:t>
          </a:r>
          <a:r>
            <a:rPr lang="es-CL" sz="1100" baseline="0"/>
            <a:t> flotante "recibimos el cash flow completo" y no hay otros flujos porque la tasa flotante se vuelve a recalcular</a:t>
          </a:r>
        </a:p>
        <a:p>
          <a:r>
            <a:rPr lang="es-CL" sz="1100" baseline="0"/>
            <a:t> con la nueva MRR (en este caso la nueva tasa flotante a 6 meses)</a:t>
          </a:r>
        </a:p>
        <a:p>
          <a:endParaRPr lang="es-CL" sz="1100" baseline="0"/>
        </a:p>
        <a:p>
          <a:endParaRPr lang="es-CL" sz="1100"/>
        </a:p>
      </xdr:txBody>
    </xdr:sp>
    <xdr:clientData/>
  </xdr:twoCellAnchor>
  <xdr:oneCellAnchor>
    <xdr:from>
      <xdr:col>13</xdr:col>
      <xdr:colOff>215900</xdr:colOff>
      <xdr:row>6</xdr:row>
      <xdr:rowOff>38100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04D378E-9F9B-4386-A31E-80C78CC05EFD}"/>
            </a:ext>
          </a:extLst>
        </xdr:cNvPr>
        <xdr:cNvSpPr txBox="1"/>
      </xdr:nvSpPr>
      <xdr:spPr>
        <a:xfrm>
          <a:off x="1127760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12</xdr:col>
      <xdr:colOff>349250</xdr:colOff>
      <xdr:row>5</xdr:row>
      <xdr:rowOff>95250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5E71B69-F804-4B53-B95F-8CD7017A4B5B}"/>
            </a:ext>
          </a:extLst>
        </xdr:cNvPr>
        <xdr:cNvSpPr txBox="1"/>
      </xdr:nvSpPr>
      <xdr:spPr>
        <a:xfrm>
          <a:off x="1064895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215900</xdr:colOff>
      <xdr:row>6</xdr:row>
      <xdr:rowOff>38100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C5E844-D721-4F1D-AD28-7E3102EA7790}"/>
            </a:ext>
          </a:extLst>
        </xdr:cNvPr>
        <xdr:cNvSpPr txBox="1"/>
      </xdr:nvSpPr>
      <xdr:spPr>
        <a:xfrm>
          <a:off x="11264900" y="125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12</xdr:col>
      <xdr:colOff>349250</xdr:colOff>
      <xdr:row>5</xdr:row>
      <xdr:rowOff>95250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17312B7-DCE9-43C5-8E23-A5B9DB9BB9B9}"/>
            </a:ext>
          </a:extLst>
        </xdr:cNvPr>
        <xdr:cNvSpPr txBox="1"/>
      </xdr:nvSpPr>
      <xdr:spPr>
        <a:xfrm>
          <a:off x="1063625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14</xdr:col>
      <xdr:colOff>215900</xdr:colOff>
      <xdr:row>6</xdr:row>
      <xdr:rowOff>38100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62DE8E5-3286-432F-B724-2963F65C308F}"/>
            </a:ext>
          </a:extLst>
        </xdr:cNvPr>
        <xdr:cNvSpPr txBox="1"/>
      </xdr:nvSpPr>
      <xdr:spPr>
        <a:xfrm>
          <a:off x="1127760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12</xdr:col>
      <xdr:colOff>349250</xdr:colOff>
      <xdr:row>13</xdr:row>
      <xdr:rowOff>95250</xdr:rowOff>
    </xdr:from>
    <xdr:ext cx="184731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55D16B8-DD5B-4FF5-882A-A4CF7243AF21}"/>
            </a:ext>
          </a:extLst>
        </xdr:cNvPr>
        <xdr:cNvSpPr txBox="1"/>
      </xdr:nvSpPr>
      <xdr:spPr>
        <a:xfrm>
          <a:off x="1064895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CA34-43EC-4686-A521-818209AC02B0}">
  <dimension ref="B1:K18"/>
  <sheetViews>
    <sheetView workbookViewId="0">
      <selection activeCell="D38" sqref="D38"/>
    </sheetView>
  </sheetViews>
  <sheetFormatPr baseColWidth="10" defaultRowHeight="14.5" x14ac:dyDescent="0.35"/>
  <cols>
    <col min="1" max="1" width="5.7265625" customWidth="1"/>
    <col min="2" max="2" width="21.54296875" bestFit="1" customWidth="1"/>
    <col min="3" max="3" width="16.08984375" customWidth="1"/>
    <col min="7" max="7" width="12.36328125" bestFit="1" customWidth="1"/>
    <col min="9" max="9" width="8.08984375" customWidth="1"/>
    <col min="10" max="10" width="12.6328125" bestFit="1" customWidth="1"/>
    <col min="11" max="11" width="12.36328125" bestFit="1" customWidth="1"/>
  </cols>
  <sheetData>
    <row r="1" spans="2:11" ht="15" thickBot="1" x14ac:dyDescent="0.4"/>
    <row r="2" spans="2:11" ht="16.5" thickBot="1" x14ac:dyDescent="0.45">
      <c r="B2" s="18" t="s">
        <v>0</v>
      </c>
      <c r="C2" s="15">
        <v>200000000</v>
      </c>
      <c r="E2" s="10" t="s">
        <v>3</v>
      </c>
      <c r="F2" s="23"/>
      <c r="G2" s="11"/>
      <c r="I2" s="10" t="s">
        <v>4</v>
      </c>
      <c r="J2" s="23"/>
      <c r="K2" s="11"/>
    </row>
    <row r="3" spans="2:11" ht="16.5" thickBot="1" x14ac:dyDescent="0.45">
      <c r="B3" s="18" t="s">
        <v>1</v>
      </c>
      <c r="C3" s="16">
        <v>2.2499999999999999E-2</v>
      </c>
      <c r="E3" s="24" t="s">
        <v>5</v>
      </c>
      <c r="F3" s="25" t="s">
        <v>6</v>
      </c>
      <c r="G3" s="26" t="s">
        <v>7</v>
      </c>
      <c r="I3" s="24" t="s">
        <v>5</v>
      </c>
      <c r="J3" s="25" t="s">
        <v>6</v>
      </c>
      <c r="K3" s="26" t="s">
        <v>7</v>
      </c>
    </row>
    <row r="4" spans="2:11" ht="16.5" thickBot="1" x14ac:dyDescent="0.45">
      <c r="B4" s="18" t="s">
        <v>2</v>
      </c>
      <c r="C4" s="16">
        <v>1.95E-2</v>
      </c>
      <c r="E4" s="5">
        <v>0.5</v>
      </c>
      <c r="F4" s="1">
        <f>+$C$2*$C$3/2</f>
        <v>2250000</v>
      </c>
      <c r="G4" s="6"/>
      <c r="I4" s="5">
        <v>0.5</v>
      </c>
      <c r="J4" s="1">
        <f>+C2*C4/2</f>
        <v>1950000</v>
      </c>
      <c r="K4" s="6"/>
    </row>
    <row r="5" spans="2:11" ht="16.5" thickBot="1" x14ac:dyDescent="0.45">
      <c r="B5" s="18" t="s">
        <v>8</v>
      </c>
      <c r="C5" s="17" t="s">
        <v>9</v>
      </c>
      <c r="E5" s="5">
        <v>1</v>
      </c>
      <c r="F5" s="1">
        <f t="shared" ref="F5:F13" si="0">+$C$2*$C$3/2</f>
        <v>2250000</v>
      </c>
      <c r="G5" s="6"/>
      <c r="I5" s="5">
        <v>1</v>
      </c>
      <c r="J5" s="2"/>
      <c r="K5" s="6"/>
    </row>
    <row r="6" spans="2:11" x14ac:dyDescent="0.35">
      <c r="E6" s="5">
        <v>1.5</v>
      </c>
      <c r="F6" s="1">
        <f t="shared" si="0"/>
        <v>2250000</v>
      </c>
      <c r="G6" s="6"/>
      <c r="I6" s="5">
        <v>1.5</v>
      </c>
      <c r="J6" s="2"/>
      <c r="K6" s="6"/>
    </row>
    <row r="7" spans="2:11" x14ac:dyDescent="0.35">
      <c r="E7" s="5">
        <v>2</v>
      </c>
      <c r="F7" s="1">
        <f t="shared" si="0"/>
        <v>2250000</v>
      </c>
      <c r="G7" s="6"/>
      <c r="I7" s="5">
        <v>2</v>
      </c>
      <c r="J7" s="2"/>
      <c r="K7" s="6"/>
    </row>
    <row r="8" spans="2:11" x14ac:dyDescent="0.35">
      <c r="E8" s="5">
        <v>2.5</v>
      </c>
      <c r="F8" s="1">
        <f t="shared" si="0"/>
        <v>2250000</v>
      </c>
      <c r="G8" s="6"/>
      <c r="I8" s="5">
        <v>2.5</v>
      </c>
      <c r="J8" s="2"/>
      <c r="K8" s="6"/>
    </row>
    <row r="9" spans="2:11" x14ac:dyDescent="0.35">
      <c r="E9" s="5">
        <v>3</v>
      </c>
      <c r="F9" s="1">
        <f t="shared" si="0"/>
        <v>2250000</v>
      </c>
      <c r="G9" s="6"/>
      <c r="I9" s="5">
        <v>3</v>
      </c>
      <c r="J9" s="2"/>
      <c r="K9" s="6"/>
    </row>
    <row r="10" spans="2:11" x14ac:dyDescent="0.35">
      <c r="E10" s="5">
        <v>3.5</v>
      </c>
      <c r="F10" s="1">
        <f t="shared" si="0"/>
        <v>2250000</v>
      </c>
      <c r="G10" s="6"/>
      <c r="I10" s="5">
        <v>3.5</v>
      </c>
      <c r="J10" s="2"/>
      <c r="K10" s="6"/>
    </row>
    <row r="11" spans="2:11" x14ac:dyDescent="0.35">
      <c r="E11" s="5">
        <v>4</v>
      </c>
      <c r="F11" s="1">
        <f t="shared" si="0"/>
        <v>2250000</v>
      </c>
      <c r="G11" s="6"/>
      <c r="I11" s="5">
        <v>4</v>
      </c>
      <c r="J11" s="2"/>
      <c r="K11" s="6"/>
    </row>
    <row r="12" spans="2:11" x14ac:dyDescent="0.35">
      <c r="E12" s="5">
        <v>4.5</v>
      </c>
      <c r="F12" s="1">
        <f t="shared" si="0"/>
        <v>2250000</v>
      </c>
      <c r="G12" s="6"/>
      <c r="I12" s="5">
        <v>4.5</v>
      </c>
      <c r="J12" s="2"/>
      <c r="K12" s="6"/>
    </row>
    <row r="13" spans="2:11" ht="15" thickBot="1" x14ac:dyDescent="0.4">
      <c r="E13" s="7">
        <v>5</v>
      </c>
      <c r="F13" s="9">
        <f t="shared" si="0"/>
        <v>2250000</v>
      </c>
      <c r="G13" s="4"/>
      <c r="I13" s="7">
        <v>5</v>
      </c>
      <c r="J13" s="8"/>
      <c r="K13" s="4"/>
    </row>
    <row r="14" spans="2:11" ht="15" thickBot="1" x14ac:dyDescent="0.4"/>
    <row r="15" spans="2:11" ht="15" thickBot="1" x14ac:dyDescent="0.4">
      <c r="B15" s="19" t="s">
        <v>10</v>
      </c>
      <c r="C15" s="22"/>
    </row>
    <row r="16" spans="2:11" x14ac:dyDescent="0.35">
      <c r="B16" s="19" t="s">
        <v>14</v>
      </c>
      <c r="C16" s="12">
        <f>+J4-F4</f>
        <v>-300000</v>
      </c>
    </row>
    <row r="17" spans="2:3" ht="7" customHeight="1" x14ac:dyDescent="0.35">
      <c r="B17" s="20"/>
      <c r="C17" s="13"/>
    </row>
    <row r="18" spans="2:3" ht="15" thickBot="1" x14ac:dyDescent="0.4">
      <c r="B18" s="21" t="s">
        <v>15</v>
      </c>
      <c r="C18" s="14">
        <f>-C16</f>
        <v>300000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DAE5-CFB8-4556-BCD8-31D3C9D619C8}">
  <dimension ref="B1:K22"/>
  <sheetViews>
    <sheetView workbookViewId="0">
      <selection activeCell="E25" sqref="E25"/>
    </sheetView>
  </sheetViews>
  <sheetFormatPr baseColWidth="10" defaultRowHeight="14.5" x14ac:dyDescent="0.35"/>
  <cols>
    <col min="1" max="1" width="5.7265625" customWidth="1"/>
    <col min="2" max="2" width="21.54296875" bestFit="1" customWidth="1"/>
    <col min="3" max="3" width="16.08984375" customWidth="1"/>
    <col min="5" max="5" width="10.90625" customWidth="1"/>
    <col min="6" max="6" width="11.6328125" bestFit="1" customWidth="1"/>
    <col min="7" max="7" width="12.36328125" bestFit="1" customWidth="1"/>
    <col min="9" max="9" width="11.26953125" customWidth="1"/>
    <col min="10" max="10" width="12.6328125" bestFit="1" customWidth="1"/>
    <col min="11" max="11" width="12.36328125" bestFit="1" customWidth="1"/>
  </cols>
  <sheetData>
    <row r="1" spans="2:11" ht="15" thickBot="1" x14ac:dyDescent="0.4"/>
    <row r="2" spans="2:11" ht="16.5" thickBot="1" x14ac:dyDescent="0.45">
      <c r="B2" s="18" t="s">
        <v>0</v>
      </c>
      <c r="C2" s="15">
        <v>10000000</v>
      </c>
      <c r="E2" s="10" t="s">
        <v>3</v>
      </c>
      <c r="F2" s="23"/>
      <c r="G2" s="11"/>
      <c r="I2" s="10" t="s">
        <v>4</v>
      </c>
      <c r="J2" s="23"/>
      <c r="K2" s="11"/>
    </row>
    <row r="3" spans="2:11" ht="16.5" thickBot="1" x14ac:dyDescent="0.45">
      <c r="B3" s="18" t="s">
        <v>1</v>
      </c>
      <c r="C3" s="16">
        <v>4.7500000000000001E-2</v>
      </c>
      <c r="E3" s="24" t="s">
        <v>5</v>
      </c>
      <c r="F3" s="25" t="s">
        <v>6</v>
      </c>
      <c r="G3" s="26" t="s">
        <v>7</v>
      </c>
      <c r="I3" s="24" t="s">
        <v>5</v>
      </c>
      <c r="J3" s="25" t="s">
        <v>6</v>
      </c>
      <c r="K3" s="26" t="s">
        <v>7</v>
      </c>
    </row>
    <row r="4" spans="2:11" ht="16.5" thickBot="1" x14ac:dyDescent="0.45">
      <c r="B4" s="18" t="s">
        <v>2</v>
      </c>
      <c r="C4" s="16">
        <f>+C11</f>
        <v>4.2900000000000001E-2</v>
      </c>
      <c r="E4" s="5">
        <v>0.5</v>
      </c>
      <c r="F4" s="1">
        <f>+$C$2*$C$3/2</f>
        <v>237500</v>
      </c>
      <c r="G4" s="6"/>
      <c r="I4" s="5">
        <v>0.5</v>
      </c>
      <c r="J4" s="1">
        <f>+C2*C4/2</f>
        <v>214500</v>
      </c>
      <c r="K4" s="6"/>
    </row>
    <row r="5" spans="2:11" ht="16.5" thickBot="1" x14ac:dyDescent="0.45">
      <c r="B5" s="18" t="s">
        <v>8</v>
      </c>
      <c r="C5" s="17" t="s">
        <v>9</v>
      </c>
      <c r="E5" s="5">
        <v>1</v>
      </c>
      <c r="F5" s="1">
        <f t="shared" ref="F5:F6" si="0">+$C$2*$C$3/2</f>
        <v>237500</v>
      </c>
      <c r="G5" s="6"/>
      <c r="I5" s="5">
        <v>1</v>
      </c>
      <c r="J5" s="2"/>
      <c r="K5" s="6"/>
    </row>
    <row r="6" spans="2:11" x14ac:dyDescent="0.35">
      <c r="E6" s="5">
        <v>1.5</v>
      </c>
      <c r="F6" s="1">
        <f t="shared" si="0"/>
        <v>237500</v>
      </c>
      <c r="G6" s="6"/>
      <c r="I6" s="5">
        <v>1.5</v>
      </c>
      <c r="J6" s="2"/>
      <c r="K6" s="6"/>
    </row>
    <row r="7" spans="2:11" x14ac:dyDescent="0.35">
      <c r="E7" s="5">
        <v>2</v>
      </c>
      <c r="F7" s="1">
        <f>+$C$2*$C$3/2 +C2</f>
        <v>10237500</v>
      </c>
      <c r="G7" s="6"/>
      <c r="I7" s="5">
        <v>2</v>
      </c>
      <c r="J7" s="2"/>
      <c r="K7" s="6"/>
    </row>
    <row r="8" spans="2:11" ht="15" thickBot="1" x14ac:dyDescent="0.4"/>
    <row r="9" spans="2:11" ht="15" thickBot="1" x14ac:dyDescent="0.4">
      <c r="B9" s="19" t="s">
        <v>11</v>
      </c>
      <c r="C9" s="28"/>
    </row>
    <row r="10" spans="2:11" ht="15" thickBot="1" x14ac:dyDescent="0.4">
      <c r="B10" s="29" t="s">
        <v>5</v>
      </c>
      <c r="C10" s="30" t="s">
        <v>12</v>
      </c>
      <c r="E10" s="10" t="s">
        <v>3</v>
      </c>
      <c r="F10" s="23"/>
      <c r="G10" s="11"/>
      <c r="I10" s="10" t="s">
        <v>4</v>
      </c>
      <c r="J10" s="23"/>
      <c r="K10" s="11"/>
    </row>
    <row r="11" spans="2:11" x14ac:dyDescent="0.35">
      <c r="B11" s="31">
        <v>0.5</v>
      </c>
      <c r="C11" s="32">
        <v>4.2900000000000001E-2</v>
      </c>
      <c r="E11" s="24" t="s">
        <v>5</v>
      </c>
      <c r="F11" s="25" t="s">
        <v>6</v>
      </c>
      <c r="G11" s="26" t="s">
        <v>7</v>
      </c>
      <c r="I11" s="24" t="s">
        <v>5</v>
      </c>
      <c r="J11" s="25" t="s">
        <v>6</v>
      </c>
      <c r="K11" s="26" t="s">
        <v>7</v>
      </c>
    </row>
    <row r="12" spans="2:11" x14ac:dyDescent="0.35">
      <c r="B12" s="5">
        <v>1</v>
      </c>
      <c r="C12" s="3">
        <v>4.0800000000000003E-2</v>
      </c>
      <c r="E12" s="5">
        <v>0.5</v>
      </c>
      <c r="F12" s="1">
        <f>+$C$2*$C$3/2</f>
        <v>237500</v>
      </c>
      <c r="G12" s="34">
        <f>+F12/((1+C11)^E12)</f>
        <v>232563.8884709547</v>
      </c>
      <c r="I12" s="5">
        <v>0.5</v>
      </c>
      <c r="J12" s="1">
        <f>+C2*C4/2+C2</f>
        <v>10214500</v>
      </c>
      <c r="K12" s="34">
        <f>+J12*((1+C4)^I12)</f>
        <v>10431300.258823201</v>
      </c>
    </row>
    <row r="13" spans="2:11" x14ac:dyDescent="0.35">
      <c r="B13" s="5">
        <v>1.5</v>
      </c>
      <c r="C13" s="3">
        <v>0.04</v>
      </c>
      <c r="E13" s="5">
        <v>1</v>
      </c>
      <c r="F13" s="1">
        <f t="shared" ref="F13:F14" si="1">+$C$2*$C$3/2</f>
        <v>237500</v>
      </c>
      <c r="G13" s="34">
        <f t="shared" ref="G13:G15" si="2">+F13/((1+C12)^E13)</f>
        <v>228189.85395849348</v>
      </c>
      <c r="I13" s="5">
        <v>1</v>
      </c>
      <c r="J13" s="2"/>
      <c r="K13" s="34"/>
    </row>
    <row r="14" spans="2:11" ht="15" thickBot="1" x14ac:dyDescent="0.4">
      <c r="B14" s="7">
        <v>2</v>
      </c>
      <c r="C14" s="33">
        <v>3.9199999999999999E-2</v>
      </c>
      <c r="E14" s="5">
        <v>1.5</v>
      </c>
      <c r="F14" s="1">
        <f t="shared" si="1"/>
        <v>237500</v>
      </c>
      <c r="G14" s="34">
        <f t="shared" si="2"/>
        <v>223930.68315057069</v>
      </c>
      <c r="I14" s="5">
        <v>1.5</v>
      </c>
      <c r="J14" s="2"/>
      <c r="K14" s="34"/>
    </row>
    <row r="15" spans="2:11" ht="15" thickBot="1" x14ac:dyDescent="0.4">
      <c r="E15" s="35">
        <v>2</v>
      </c>
      <c r="F15" s="36">
        <f>+$C$2*$C$3/2 + C2</f>
        <v>10237500</v>
      </c>
      <c r="G15" s="37">
        <f t="shared" si="2"/>
        <v>9479722.8104048781</v>
      </c>
      <c r="I15" s="35">
        <v>2</v>
      </c>
      <c r="J15" s="40"/>
      <c r="K15" s="37"/>
    </row>
    <row r="16" spans="2:11" ht="15" thickBot="1" x14ac:dyDescent="0.4">
      <c r="E16" s="27" t="s">
        <v>13</v>
      </c>
      <c r="F16" s="38"/>
      <c r="G16" s="39">
        <f>+SUM(G12:G15)</f>
        <v>10164407.235984897</v>
      </c>
      <c r="I16" s="27" t="s">
        <v>13</v>
      </c>
      <c r="J16" s="38"/>
      <c r="K16" s="41">
        <f>+SUM(K12:K15)</f>
        <v>10431300.258823201</v>
      </c>
    </row>
    <row r="18" spans="2:3" ht="15" thickBot="1" x14ac:dyDescent="0.4"/>
    <row r="19" spans="2:3" ht="15" thickBot="1" x14ac:dyDescent="0.4">
      <c r="B19" s="19" t="s">
        <v>10</v>
      </c>
      <c r="C19" s="22"/>
    </row>
    <row r="20" spans="2:3" x14ac:dyDescent="0.35">
      <c r="B20" s="19" t="s">
        <v>14</v>
      </c>
      <c r="C20" s="12">
        <f>++K16-G16</f>
        <v>266893.02283830382</v>
      </c>
    </row>
    <row r="21" spans="2:3" x14ac:dyDescent="0.35">
      <c r="B21" s="20"/>
      <c r="C21" s="13"/>
    </row>
    <row r="22" spans="2:3" ht="15" thickBot="1" x14ac:dyDescent="0.4">
      <c r="B22" s="21" t="s">
        <v>15</v>
      </c>
      <c r="C22" s="14">
        <f>-C20</f>
        <v>-266893.02283830382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510A-215D-4D7A-870E-2E1C3D04B2A8}">
  <dimension ref="B1:K22"/>
  <sheetViews>
    <sheetView tabSelected="1" workbookViewId="0">
      <selection activeCell="F28" sqref="F27:F28"/>
    </sheetView>
  </sheetViews>
  <sheetFormatPr baseColWidth="10" defaultRowHeight="14.5" x14ac:dyDescent="0.35"/>
  <cols>
    <col min="1" max="1" width="5.7265625" customWidth="1"/>
    <col min="2" max="2" width="21.54296875" bestFit="1" customWidth="1"/>
    <col min="3" max="3" width="16.08984375" customWidth="1"/>
    <col min="5" max="5" width="10.90625" customWidth="1"/>
    <col min="6" max="6" width="11.6328125" bestFit="1" customWidth="1"/>
    <col min="7" max="7" width="12.36328125" bestFit="1" customWidth="1"/>
    <col min="9" max="9" width="11.26953125" customWidth="1"/>
    <col min="10" max="10" width="12.6328125" bestFit="1" customWidth="1"/>
    <col min="11" max="11" width="12.36328125" bestFit="1" customWidth="1"/>
  </cols>
  <sheetData>
    <row r="1" spans="2:11" ht="15" thickBot="1" x14ac:dyDescent="0.4"/>
    <row r="2" spans="2:11" ht="16.5" thickBot="1" x14ac:dyDescent="0.45">
      <c r="B2" s="18" t="s">
        <v>0</v>
      </c>
      <c r="C2" s="15">
        <v>10000000</v>
      </c>
      <c r="E2" s="10" t="s">
        <v>3</v>
      </c>
      <c r="F2" s="23"/>
      <c r="G2" s="11"/>
      <c r="I2" s="10" t="s">
        <v>4</v>
      </c>
      <c r="J2" s="23"/>
      <c r="K2" s="11"/>
    </row>
    <row r="3" spans="2:11" ht="16.5" thickBot="1" x14ac:dyDescent="0.45">
      <c r="B3" s="18" t="s">
        <v>1</v>
      </c>
      <c r="C3" s="16">
        <v>6.1514298520184703E-2</v>
      </c>
      <c r="E3" s="24" t="s">
        <v>5</v>
      </c>
      <c r="F3" s="25" t="s">
        <v>6</v>
      </c>
      <c r="G3" s="26" t="s">
        <v>7</v>
      </c>
      <c r="I3" s="24" t="s">
        <v>5</v>
      </c>
      <c r="J3" s="25" t="s">
        <v>6</v>
      </c>
      <c r="K3" s="26" t="s">
        <v>7</v>
      </c>
    </row>
    <row r="4" spans="2:11" ht="16.5" thickBot="1" x14ac:dyDescent="0.45">
      <c r="B4" s="18" t="s">
        <v>2</v>
      </c>
      <c r="C4" s="16">
        <f>+C11</f>
        <v>4.2900000000000001E-2</v>
      </c>
      <c r="E4" s="5">
        <v>0.5</v>
      </c>
      <c r="F4" s="1">
        <f>+$C$2*$C$3/2</f>
        <v>307571.49260092352</v>
      </c>
      <c r="G4" s="6"/>
      <c r="I4" s="5">
        <v>0.5</v>
      </c>
      <c r="J4" s="1">
        <f>+C2*C4/2</f>
        <v>214500</v>
      </c>
      <c r="K4" s="6"/>
    </row>
    <row r="5" spans="2:11" ht="16.5" thickBot="1" x14ac:dyDescent="0.45">
      <c r="B5" s="18" t="s">
        <v>8</v>
      </c>
      <c r="C5" s="17" t="s">
        <v>9</v>
      </c>
      <c r="E5" s="5">
        <v>1</v>
      </c>
      <c r="F5" s="1">
        <f t="shared" ref="F5:F6" si="0">+$C$2*$C$3/2</f>
        <v>307571.49260092352</v>
      </c>
      <c r="G5" s="6"/>
      <c r="I5" s="5">
        <v>1</v>
      </c>
      <c r="J5" s="2"/>
      <c r="K5" s="6"/>
    </row>
    <row r="6" spans="2:11" x14ac:dyDescent="0.35">
      <c r="E6" s="5">
        <v>1.5</v>
      </c>
      <c r="F6" s="1">
        <f t="shared" si="0"/>
        <v>307571.49260092352</v>
      </c>
      <c r="G6" s="6"/>
      <c r="I6" s="5">
        <v>1.5</v>
      </c>
      <c r="J6" s="2"/>
      <c r="K6" s="6"/>
    </row>
    <row r="7" spans="2:11" x14ac:dyDescent="0.35">
      <c r="E7" s="5">
        <v>2</v>
      </c>
      <c r="F7" s="1">
        <f>+$C$2*$C$3/2 +C2</f>
        <v>10307571.492600923</v>
      </c>
      <c r="G7" s="6"/>
      <c r="I7" s="5">
        <v>2</v>
      </c>
      <c r="J7" s="2"/>
      <c r="K7" s="6"/>
    </row>
    <row r="8" spans="2:11" ht="15" thickBot="1" x14ac:dyDescent="0.4"/>
    <row r="9" spans="2:11" ht="15" thickBot="1" x14ac:dyDescent="0.4">
      <c r="B9" s="19" t="s">
        <v>11</v>
      </c>
      <c r="C9" s="28"/>
    </row>
    <row r="10" spans="2:11" ht="15" thickBot="1" x14ac:dyDescent="0.4">
      <c r="B10" s="29" t="s">
        <v>5</v>
      </c>
      <c r="C10" s="30" t="s">
        <v>12</v>
      </c>
      <c r="E10" s="10" t="s">
        <v>3</v>
      </c>
      <c r="F10" s="23"/>
      <c r="G10" s="11"/>
      <c r="I10" s="10" t="s">
        <v>4</v>
      </c>
      <c r="J10" s="23"/>
      <c r="K10" s="11"/>
    </row>
    <row r="11" spans="2:11" x14ac:dyDescent="0.35">
      <c r="B11" s="31">
        <v>0.5</v>
      </c>
      <c r="C11" s="32">
        <v>4.2900000000000001E-2</v>
      </c>
      <c r="E11" s="24" t="s">
        <v>5</v>
      </c>
      <c r="F11" s="25" t="s">
        <v>6</v>
      </c>
      <c r="G11" s="26" t="s">
        <v>7</v>
      </c>
      <c r="I11" s="24" t="s">
        <v>5</v>
      </c>
      <c r="J11" s="25" t="s">
        <v>6</v>
      </c>
      <c r="K11" s="26" t="s">
        <v>7</v>
      </c>
    </row>
    <row r="12" spans="2:11" x14ac:dyDescent="0.35">
      <c r="B12" s="5">
        <v>1</v>
      </c>
      <c r="C12" s="3">
        <v>4.0800000000000003E-2</v>
      </c>
      <c r="E12" s="5">
        <v>0.5</v>
      </c>
      <c r="F12" s="1">
        <f>+$C$2*$C$3/2</f>
        <v>307571.49260092352</v>
      </c>
      <c r="G12" s="34">
        <f>+F12/((1+C11)^E12)</f>
        <v>301179.04127194209</v>
      </c>
      <c r="I12" s="5">
        <v>0.5</v>
      </c>
      <c r="J12" s="1">
        <f>+C2*C4/2+C2</f>
        <v>10214500</v>
      </c>
      <c r="K12" s="34">
        <f>+J12*((1+C4)^I12)</f>
        <v>10431300.258823201</v>
      </c>
    </row>
    <row r="13" spans="2:11" x14ac:dyDescent="0.35">
      <c r="B13" s="5">
        <v>1.5</v>
      </c>
      <c r="C13" s="3">
        <v>0.04</v>
      </c>
      <c r="E13" s="5">
        <v>1</v>
      </c>
      <c r="F13" s="1">
        <f t="shared" ref="F13:F14" si="1">+$C$2*$C$3/2</f>
        <v>307571.49260092352</v>
      </c>
      <c r="G13" s="34">
        <f t="shared" ref="G13:G15" si="2">+F13/((1+C12)^E13)</f>
        <v>295514.50096168672</v>
      </c>
      <c r="I13" s="5">
        <v>1</v>
      </c>
      <c r="J13" s="2"/>
      <c r="K13" s="34"/>
    </row>
    <row r="14" spans="2:11" ht="15" thickBot="1" x14ac:dyDescent="0.4">
      <c r="B14" s="7">
        <v>2</v>
      </c>
      <c r="C14" s="33">
        <v>3.9199999999999999E-2</v>
      </c>
      <c r="E14" s="5">
        <v>1.5</v>
      </c>
      <c r="F14" s="1">
        <f t="shared" si="1"/>
        <v>307571.49260092352</v>
      </c>
      <c r="G14" s="34">
        <f t="shared" si="2"/>
        <v>289998.71349796001</v>
      </c>
      <c r="I14" s="5">
        <v>1.5</v>
      </c>
      <c r="J14" s="2"/>
      <c r="K14" s="34"/>
    </row>
    <row r="15" spans="2:11" ht="15" thickBot="1" x14ac:dyDescent="0.4">
      <c r="E15" s="35">
        <v>2</v>
      </c>
      <c r="F15" s="36">
        <f>+$C$2*$C$3/2 + C2</f>
        <v>10307571.492600923</v>
      </c>
      <c r="G15" s="37">
        <f t="shared" si="2"/>
        <v>9544607.628648404</v>
      </c>
      <c r="I15" s="35">
        <v>2</v>
      </c>
      <c r="J15" s="40"/>
      <c r="K15" s="37"/>
    </row>
    <row r="16" spans="2:11" ht="15" thickBot="1" x14ac:dyDescent="0.4">
      <c r="E16" s="27" t="s">
        <v>13</v>
      </c>
      <c r="F16" s="38"/>
      <c r="G16" s="39">
        <f>+SUM(G12:G15)</f>
        <v>10431299.884379992</v>
      </c>
      <c r="I16" s="27" t="s">
        <v>13</v>
      </c>
      <c r="J16" s="38"/>
      <c r="K16" s="41">
        <f>+SUM(K12:K15)</f>
        <v>10431300.258823201</v>
      </c>
    </row>
    <row r="18" spans="2:3" ht="15" thickBot="1" x14ac:dyDescent="0.4"/>
    <row r="19" spans="2:3" ht="15" thickBot="1" x14ac:dyDescent="0.4">
      <c r="B19" s="19" t="s">
        <v>10</v>
      </c>
      <c r="C19" s="22"/>
    </row>
    <row r="20" spans="2:3" x14ac:dyDescent="0.35">
      <c r="B20" s="19" t="s">
        <v>17</v>
      </c>
      <c r="C20" s="12">
        <f>+K16-G16</f>
        <v>0.37444320879876614</v>
      </c>
    </row>
    <row r="21" spans="2:3" x14ac:dyDescent="0.35">
      <c r="B21" s="20"/>
      <c r="C21" s="13"/>
    </row>
    <row r="22" spans="2:3" ht="15" thickBot="1" x14ac:dyDescent="0.4">
      <c r="B22" s="21" t="s">
        <v>16</v>
      </c>
      <c r="C22" s="14">
        <f>-C20</f>
        <v>-0.37444320879876614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9263-04F9-4554-9534-5031EE7C5482}">
  <dimension ref="B1:AA22"/>
  <sheetViews>
    <sheetView topLeftCell="F1" zoomScaleNormal="100" workbookViewId="0">
      <selection activeCell="V12" sqref="V12"/>
    </sheetView>
  </sheetViews>
  <sheetFormatPr baseColWidth="10" defaultRowHeight="14.5" x14ac:dyDescent="0.35"/>
  <cols>
    <col min="1" max="1" width="5.7265625" customWidth="1"/>
    <col min="2" max="2" width="21.54296875" bestFit="1" customWidth="1"/>
    <col min="3" max="3" width="16.08984375" customWidth="1"/>
    <col min="5" max="5" width="10.90625" customWidth="1"/>
    <col min="6" max="6" width="11.6328125" bestFit="1" customWidth="1"/>
    <col min="7" max="7" width="12.36328125" bestFit="1" customWidth="1"/>
    <col min="9" max="9" width="11.26953125" customWidth="1"/>
    <col min="10" max="10" width="12.6328125" bestFit="1" customWidth="1"/>
    <col min="11" max="11" width="12.36328125" bestFit="1" customWidth="1"/>
    <col min="14" max="14" width="12.90625" bestFit="1" customWidth="1"/>
    <col min="15" max="15" width="11.7265625" bestFit="1" customWidth="1"/>
    <col min="16" max="16" width="11.6328125" bestFit="1" customWidth="1"/>
    <col min="17" max="17" width="16.36328125" bestFit="1" customWidth="1"/>
    <col min="18" max="18" width="10.08984375" customWidth="1"/>
    <col min="24" max="24" width="12.08984375" bestFit="1" customWidth="1"/>
  </cols>
  <sheetData>
    <row r="1" spans="2:27" ht="15" thickBot="1" x14ac:dyDescent="0.4"/>
    <row r="2" spans="2:27" ht="16.5" thickBot="1" x14ac:dyDescent="0.45">
      <c r="B2" s="18" t="s">
        <v>0</v>
      </c>
      <c r="C2" s="15">
        <v>10000000</v>
      </c>
      <c r="E2" s="10" t="s">
        <v>3</v>
      </c>
      <c r="F2" s="23"/>
      <c r="G2" s="11"/>
      <c r="I2" s="10" t="s">
        <v>4</v>
      </c>
      <c r="J2" s="23"/>
      <c r="K2" s="11"/>
    </row>
    <row r="3" spans="2:27" ht="16.5" thickBot="1" x14ac:dyDescent="0.45">
      <c r="B3" s="18" t="s">
        <v>1</v>
      </c>
      <c r="C3" s="16">
        <v>6.1514298520184703E-2</v>
      </c>
      <c r="E3" s="24" t="s">
        <v>5</v>
      </c>
      <c r="F3" s="25" t="s">
        <v>6</v>
      </c>
      <c r="G3" s="26" t="s">
        <v>7</v>
      </c>
      <c r="I3" s="24" t="s">
        <v>5</v>
      </c>
      <c r="J3" s="25" t="s">
        <v>6</v>
      </c>
      <c r="K3" s="26" t="s">
        <v>7</v>
      </c>
      <c r="M3" s="25" t="s">
        <v>18</v>
      </c>
      <c r="N3" s="25" t="s">
        <v>22</v>
      </c>
      <c r="O3" s="25" t="s">
        <v>23</v>
      </c>
      <c r="P3" s="25" t="s">
        <v>24</v>
      </c>
      <c r="Q3" s="25" t="s">
        <v>25</v>
      </c>
      <c r="S3" s="44" t="s">
        <v>26</v>
      </c>
      <c r="T3" s="44" t="s">
        <v>19</v>
      </c>
      <c r="U3" s="47">
        <f>N5/2*100</f>
        <v>2.04</v>
      </c>
      <c r="V3" s="48">
        <f>+U3+100</f>
        <v>102.04</v>
      </c>
      <c r="X3" s="44" t="s">
        <v>28</v>
      </c>
      <c r="Y3" s="44" t="s">
        <v>19</v>
      </c>
      <c r="Z3" s="47">
        <f>N6/2*100</f>
        <v>2</v>
      </c>
      <c r="AA3" s="48">
        <f>+Z3+100</f>
        <v>102</v>
      </c>
    </row>
    <row r="4" spans="2:27" ht="16.5" thickBot="1" x14ac:dyDescent="0.45">
      <c r="B4" s="18" t="s">
        <v>2</v>
      </c>
      <c r="C4" s="16">
        <f>+C11</f>
        <v>4.2900000000000001E-2</v>
      </c>
      <c r="E4" s="5">
        <v>0.5</v>
      </c>
      <c r="F4" s="1">
        <f>+$C$2*$C$3/2</f>
        <v>307571.49260092352</v>
      </c>
      <c r="G4" s="6"/>
      <c r="I4" s="5">
        <v>0.5</v>
      </c>
      <c r="J4" s="1">
        <f>+C2*C4/2</f>
        <v>214500</v>
      </c>
      <c r="K4" s="6"/>
      <c r="M4" s="2">
        <v>0.5</v>
      </c>
      <c r="N4" s="43">
        <v>4.2900000000000001E-2</v>
      </c>
      <c r="O4" s="43">
        <v>4.2900000000000001E-2</v>
      </c>
      <c r="P4" s="43">
        <v>4.2900000000000001E-2</v>
      </c>
      <c r="Q4" s="43">
        <f>1/(1+O4)^M4</f>
        <v>0.97921637250928295</v>
      </c>
      <c r="S4">
        <f>+U3/((1+N4)^0.5)</f>
        <v>1.9976013999189373</v>
      </c>
      <c r="X4">
        <f>+S4</f>
        <v>1.9976013999189373</v>
      </c>
    </row>
    <row r="5" spans="2:27" ht="16.5" thickBot="1" x14ac:dyDescent="0.45">
      <c r="B5" s="18" t="s">
        <v>8</v>
      </c>
      <c r="C5" s="17" t="s">
        <v>9</v>
      </c>
      <c r="E5" s="5">
        <v>1</v>
      </c>
      <c r="F5" s="1">
        <f t="shared" ref="F5:F6" si="0">+$C$2*$C$3/2</f>
        <v>307571.49260092352</v>
      </c>
      <c r="G5" s="6"/>
      <c r="I5" s="5">
        <v>1</v>
      </c>
      <c r="J5" s="2"/>
      <c r="K5" s="6"/>
      <c r="M5" s="2">
        <v>1</v>
      </c>
      <c r="N5" s="43">
        <v>4.0800000000000003E-2</v>
      </c>
      <c r="O5" s="43">
        <f>+S7</f>
        <v>4.1199005918163278E-2</v>
      </c>
      <c r="P5" s="43">
        <f>+(((1+O5)^M5 )/ ((1+O4)^M4))^(1/M4) -1</f>
        <v>3.9500786197115501E-2</v>
      </c>
      <c r="Q5" s="43">
        <f>1/(1+O5)^M5</f>
        <v>0.96043118973031227</v>
      </c>
      <c r="S5" s="47">
        <f>100-S4</f>
        <v>98.002398600081065</v>
      </c>
      <c r="T5" s="46"/>
      <c r="X5" s="47">
        <f>+Z3/(1+O5)</f>
        <v>1.9208623794606245</v>
      </c>
      <c r="Y5" s="46"/>
    </row>
    <row r="6" spans="2:27" x14ac:dyDescent="0.35">
      <c r="E6" s="5">
        <v>1.5</v>
      </c>
      <c r="F6" s="1">
        <f t="shared" si="0"/>
        <v>307571.49260092352</v>
      </c>
      <c r="G6" s="6"/>
      <c r="I6" s="5">
        <v>1.5</v>
      </c>
      <c r="J6" s="2"/>
      <c r="K6" s="6"/>
      <c r="M6" s="2">
        <v>1.5</v>
      </c>
      <c r="N6" s="43">
        <v>0.04</v>
      </c>
      <c r="O6" s="43">
        <f>+X7</f>
        <v>4.0655112922481917E-2</v>
      </c>
      <c r="P6" s="43">
        <f>+(((1+O6)^M6 )/ ((1+O5)^M5))^(1/(M4)) -1</f>
        <v>3.9568179125790026E-2</v>
      </c>
      <c r="Q6" s="43">
        <f>1/(1+O6)^M6</f>
        <v>0.94197584530020062</v>
      </c>
      <c r="S6" s="49">
        <f>+V3/S5</f>
        <v>1.0411990059181633</v>
      </c>
      <c r="X6" s="49">
        <f>100 -X4-X5</f>
        <v>96.081536220620436</v>
      </c>
    </row>
    <row r="7" spans="2:27" x14ac:dyDescent="0.35">
      <c r="E7" s="5">
        <v>2</v>
      </c>
      <c r="F7" s="1">
        <f>+$C$2*$C$3/2 +C2</f>
        <v>10307571.492600923</v>
      </c>
      <c r="G7" s="6"/>
      <c r="I7" s="5">
        <v>2</v>
      </c>
      <c r="J7" s="2"/>
      <c r="K7" s="6"/>
      <c r="M7" s="2">
        <v>2</v>
      </c>
      <c r="N7" s="43">
        <v>3.9199999999999999E-2</v>
      </c>
      <c r="O7" s="51">
        <f>+X15</f>
        <v>4.0179256253012108E-2</v>
      </c>
      <c r="P7" s="43">
        <f>+(((1+O7)^M7 )/ ((1+O6)^M6))^(1/(M4)) -1</f>
        <v>3.8752991406396431E-2</v>
      </c>
      <c r="Q7" s="43">
        <f>1/(1+O7)^M7</f>
        <v>0.92423757908819193</v>
      </c>
      <c r="S7" s="50">
        <f>+S6-1</f>
        <v>4.1199005918163278E-2</v>
      </c>
      <c r="U7" s="46"/>
      <c r="X7" s="45">
        <f>+(AA3/X6)^(1/M6) -1</f>
        <v>4.0655112922481917E-2</v>
      </c>
      <c r="Z7" s="46"/>
    </row>
    <row r="8" spans="2:27" ht="15" thickBot="1" x14ac:dyDescent="0.4"/>
    <row r="9" spans="2:27" ht="15" thickBot="1" x14ac:dyDescent="0.4">
      <c r="B9" s="19" t="s">
        <v>11</v>
      </c>
      <c r="C9" s="28"/>
      <c r="U9" s="49"/>
    </row>
    <row r="10" spans="2:27" ht="15" thickBot="1" x14ac:dyDescent="0.4">
      <c r="B10" s="29" t="s">
        <v>5</v>
      </c>
      <c r="C10" s="30" t="s">
        <v>12</v>
      </c>
      <c r="E10" s="10" t="s">
        <v>3</v>
      </c>
      <c r="F10" s="23"/>
      <c r="G10" s="11"/>
      <c r="I10" s="10" t="s">
        <v>4</v>
      </c>
      <c r="J10" s="23"/>
      <c r="K10" s="11"/>
      <c r="X10" s="44" t="s">
        <v>27</v>
      </c>
      <c r="Y10" s="44" t="s">
        <v>19</v>
      </c>
      <c r="Z10" s="47">
        <f>N7/2*100</f>
        <v>1.96</v>
      </c>
      <c r="AA10" s="48">
        <f>+Z10+100</f>
        <v>101.96</v>
      </c>
    </row>
    <row r="11" spans="2:27" x14ac:dyDescent="0.35">
      <c r="B11" s="31">
        <v>0.5</v>
      </c>
      <c r="C11" s="32">
        <v>4.2900000000000001E-2</v>
      </c>
      <c r="E11" s="24" t="s">
        <v>5</v>
      </c>
      <c r="F11" s="25" t="s">
        <v>6</v>
      </c>
      <c r="G11" s="26" t="s">
        <v>7</v>
      </c>
      <c r="I11" s="24" t="s">
        <v>5</v>
      </c>
      <c r="J11" s="25" t="s">
        <v>6</v>
      </c>
      <c r="K11" s="26" t="s">
        <v>7</v>
      </c>
      <c r="M11" s="42" t="s">
        <v>18</v>
      </c>
      <c r="N11" s="42" t="s">
        <v>20</v>
      </c>
      <c r="O11" s="42" t="s">
        <v>21</v>
      </c>
      <c r="P11" s="42" t="s">
        <v>6</v>
      </c>
      <c r="Q11" s="42" t="s">
        <v>7</v>
      </c>
      <c r="U11" s="49"/>
      <c r="X11">
        <f>+X4</f>
        <v>1.9976013999189373</v>
      </c>
    </row>
    <row r="12" spans="2:27" x14ac:dyDescent="0.35">
      <c r="B12" s="5">
        <v>1</v>
      </c>
      <c r="C12" s="3">
        <v>4.0800000000000003E-2</v>
      </c>
      <c r="E12" s="5">
        <v>0.5</v>
      </c>
      <c r="F12" s="1">
        <f>+$C$2*$C$3/2</f>
        <v>307571.49260092352</v>
      </c>
      <c r="G12" s="34">
        <f>+F12/((1+C11)^E12)</f>
        <v>301179.04127194209</v>
      </c>
      <c r="I12" s="5">
        <v>0.5</v>
      </c>
      <c r="J12" s="1">
        <f>+C2*C4/2+C2</f>
        <v>10214500</v>
      </c>
      <c r="K12" s="34">
        <f>+J12/((1+C4)^I12)</f>
        <v>10002205.63699607</v>
      </c>
      <c r="M12" s="2">
        <v>0.5</v>
      </c>
      <c r="N12" s="52">
        <f>+$C$2*P4</f>
        <v>429000</v>
      </c>
      <c r="P12" s="53">
        <f>+N12+O12</f>
        <v>429000</v>
      </c>
      <c r="Q12" s="52">
        <f>+P12*Q4</f>
        <v>420083.82380648237</v>
      </c>
      <c r="X12" s="47">
        <f>+X5</f>
        <v>1.9208623794606245</v>
      </c>
      <c r="Y12" s="46"/>
    </row>
    <row r="13" spans="2:27" x14ac:dyDescent="0.35">
      <c r="B13" s="5">
        <v>1.5</v>
      </c>
      <c r="C13" s="3">
        <v>0.04</v>
      </c>
      <c r="E13" s="5">
        <v>1</v>
      </c>
      <c r="F13" s="1">
        <f t="shared" ref="F13:F14" si="1">+$C$2*$C$3/2</f>
        <v>307571.49260092352</v>
      </c>
      <c r="G13" s="34">
        <f t="shared" ref="G13:G15" si="2">+F13/((1+C12)^E13)</f>
        <v>295514.50096168672</v>
      </c>
      <c r="I13" s="5">
        <v>1</v>
      </c>
      <c r="J13" s="2"/>
      <c r="K13" s="34"/>
      <c r="M13" s="2">
        <v>1</v>
      </c>
      <c r="N13" s="52">
        <f t="shared" ref="N13:N15" si="3">+$C$2*P5</f>
        <v>395007.86197115498</v>
      </c>
      <c r="P13" s="53">
        <f t="shared" ref="P13:P15" si="4">+N13+O13</f>
        <v>395007.86197115498</v>
      </c>
      <c r="Q13" s="52">
        <f t="shared" ref="Q13:Q15" si="5">+P13*Q5</f>
        <v>379377.87082578335</v>
      </c>
      <c r="X13" s="49">
        <f>Z10/(1+O6)^M6</f>
        <v>1.8462726567883931</v>
      </c>
    </row>
    <row r="14" spans="2:27" ht="15" thickBot="1" x14ac:dyDescent="0.4">
      <c r="B14" s="7">
        <v>2</v>
      </c>
      <c r="C14" s="33">
        <v>3.9199999999999999E-2</v>
      </c>
      <c r="E14" s="5">
        <v>1.5</v>
      </c>
      <c r="F14" s="1">
        <f t="shared" si="1"/>
        <v>307571.49260092352</v>
      </c>
      <c r="G14" s="34">
        <f t="shared" si="2"/>
        <v>289998.71349796001</v>
      </c>
      <c r="I14" s="5">
        <v>1.5</v>
      </c>
      <c r="J14" s="2"/>
      <c r="K14" s="34"/>
      <c r="M14" s="2">
        <v>1.5</v>
      </c>
      <c r="N14" s="52">
        <f t="shared" si="3"/>
        <v>395681.79125790024</v>
      </c>
      <c r="P14" s="53">
        <f t="shared" si="4"/>
        <v>395681.79125790024</v>
      </c>
      <c r="Q14" s="52">
        <f t="shared" si="5"/>
        <v>372722.68979005812</v>
      </c>
      <c r="X14" s="47">
        <f>100-X11-X12-X13</f>
        <v>94.235263563832049</v>
      </c>
      <c r="Z14" s="46"/>
    </row>
    <row r="15" spans="2:27" ht="15" thickBot="1" x14ac:dyDescent="0.4">
      <c r="E15" s="35">
        <v>2</v>
      </c>
      <c r="F15" s="36">
        <f>+$C$2*$C$3/2 + C2</f>
        <v>10307571.492600923</v>
      </c>
      <c r="G15" s="37">
        <f t="shared" si="2"/>
        <v>9544607.628648404</v>
      </c>
      <c r="I15" s="35">
        <v>2</v>
      </c>
      <c r="J15" s="40"/>
      <c r="K15" s="37"/>
      <c r="M15" s="2">
        <v>2</v>
      </c>
      <c r="N15" s="52">
        <f>+$C$2*P7</f>
        <v>387529.91406396433</v>
      </c>
      <c r="O15" s="53">
        <f>+C2</f>
        <v>10000000</v>
      </c>
      <c r="P15" s="53">
        <f t="shared" si="4"/>
        <v>10387529.914063964</v>
      </c>
      <c r="Q15" s="52">
        <f>+P15*Q7</f>
        <v>9600545.5004806519</v>
      </c>
      <c r="X15" s="46">
        <f>+(AA10/X14)^(1/M7) - 1</f>
        <v>4.0179256253012108E-2</v>
      </c>
    </row>
    <row r="16" spans="2:27" ht="15" thickBot="1" x14ac:dyDescent="0.4">
      <c r="E16" s="27" t="s">
        <v>13</v>
      </c>
      <c r="F16" s="38"/>
      <c r="G16" s="39">
        <f>+SUM(G12:G15)</f>
        <v>10431299.884379992</v>
      </c>
      <c r="I16" s="27" t="s">
        <v>13</v>
      </c>
      <c r="J16" s="38"/>
      <c r="K16" s="41">
        <f>+SUM(K12:K15)</f>
        <v>10002205.63699607</v>
      </c>
      <c r="Q16" s="53">
        <f>+SUM(Q12:Q15)</f>
        <v>10772729.884902976</v>
      </c>
    </row>
    <row r="18" spans="2:3" ht="15" thickBot="1" x14ac:dyDescent="0.4"/>
    <row r="19" spans="2:3" ht="15" thickBot="1" x14ac:dyDescent="0.4">
      <c r="B19" s="19" t="s">
        <v>10</v>
      </c>
      <c r="C19" s="22"/>
    </row>
    <row r="20" spans="2:3" x14ac:dyDescent="0.35">
      <c r="B20" s="19" t="s">
        <v>17</v>
      </c>
      <c r="C20" s="12">
        <f>+K16-G16</f>
        <v>-429094.24738392234</v>
      </c>
    </row>
    <row r="21" spans="2:3" x14ac:dyDescent="0.35">
      <c r="B21" s="20"/>
      <c r="C21" s="13"/>
    </row>
    <row r="22" spans="2:3" ht="15" thickBot="1" x14ac:dyDescent="0.4">
      <c r="B22" s="21" t="s">
        <v>16</v>
      </c>
      <c r="C22" s="14">
        <f>-C20</f>
        <v>429094.24738392234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P36 Example</vt:lpstr>
      <vt:lpstr>Example 2</vt:lpstr>
      <vt:lpstr>Example 2 Solver</vt:lpstr>
      <vt:lpstr>Example 2 Solver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2025-06-09T00:00:59Z</dcterms:created>
  <dcterms:modified xsi:type="dcterms:W3CDTF">2025-06-09T04:14:28Z</dcterms:modified>
</cp:coreProperties>
</file>