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-priv\clases\Clase 05_BonosRiskManagement\"/>
    </mc:Choice>
  </mc:AlternateContent>
  <xr:revisionPtr revIDLastSave="0" documentId="13_ncr:1_{549D64DA-D939-47B9-B617-1FA2736457B6}" xr6:coauthVersionLast="47" xr6:coauthVersionMax="47" xr10:uidLastSave="{00000000-0000-0000-0000-000000000000}"/>
  <bookViews>
    <workbookView xWindow="28680" yWindow="-120" windowWidth="29040" windowHeight="15720" xr2:uid="{2570D297-CA1B-4FE0-A4EE-3AFE8FA91199}"/>
  </bookViews>
  <sheets>
    <sheet name="Calcul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4" l="1"/>
  <c r="Q26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G9" i="4" s="1"/>
  <c r="G8" i="4"/>
  <c r="F29" i="4"/>
  <c r="F30" i="4"/>
  <c r="F39" i="4"/>
  <c r="F32" i="4"/>
  <c r="F34" i="4" s="1"/>
  <c r="F45" i="4"/>
  <c r="K26" i="4"/>
  <c r="J4" i="4"/>
  <c r="J5" i="4"/>
  <c r="L5" i="4" s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F47" i="4" l="1"/>
  <c r="F46" i="4"/>
  <c r="F36" i="4"/>
  <c r="F35" i="4"/>
  <c r="F23" i="4"/>
  <c r="F24" i="4" s="1"/>
  <c r="F25" i="4" s="1"/>
  <c r="F26" i="4" s="1"/>
  <c r="M25" i="4"/>
  <c r="N25" i="4" s="1"/>
  <c r="O25" i="4" s="1"/>
  <c r="M26" i="4"/>
  <c r="N26" i="4" s="1"/>
  <c r="O26" i="4" s="1"/>
  <c r="M24" i="4"/>
  <c r="N24" i="4" s="1"/>
  <c r="O24" i="4" s="1"/>
  <c r="L11" i="4"/>
  <c r="L15" i="4"/>
  <c r="L6" i="4" l="1"/>
  <c r="L13" i="4"/>
  <c r="L7" i="4"/>
  <c r="L16" i="4"/>
  <c r="L8" i="4"/>
  <c r="L9" i="4"/>
  <c r="L20" i="4"/>
  <c r="L12" i="4"/>
  <c r="L18" i="4"/>
  <c r="L22" i="4"/>
  <c r="L17" i="4"/>
  <c r="L19" i="4"/>
  <c r="L21" i="4"/>
  <c r="L23" i="4"/>
  <c r="L26" i="4"/>
  <c r="P26" i="4" s="1"/>
  <c r="L14" i="4"/>
  <c r="L25" i="4"/>
  <c r="L24" i="4"/>
  <c r="L10" i="4"/>
  <c r="P24" i="4" l="1"/>
  <c r="P25" i="4"/>
  <c r="F19" i="4" l="1"/>
  <c r="F40" i="4" l="1"/>
  <c r="F27" i="4"/>
  <c r="F48" i="4" l="1"/>
  <c r="F43" i="4"/>
  <c r="F41" i="4"/>
</calcChain>
</file>

<file path=xl/sharedStrings.xml><?xml version="1.0" encoding="utf-8"?>
<sst xmlns="http://schemas.openxmlformats.org/spreadsheetml/2006/main" count="96" uniqueCount="84">
  <si>
    <t>Moneda</t>
  </si>
  <si>
    <t>BTP0450326</t>
  </si>
  <si>
    <t>Nemo</t>
  </si>
  <si>
    <t>Bono</t>
  </si>
  <si>
    <t>Tasa emision</t>
  </si>
  <si>
    <t>Tipo</t>
  </si>
  <si>
    <t>Emisor</t>
  </si>
  <si>
    <t>Riesgo</t>
  </si>
  <si>
    <t>Plazo residual</t>
  </si>
  <si>
    <t>Duracion</t>
  </si>
  <si>
    <t>Vencimiento</t>
  </si>
  <si>
    <t>1a Transaccion</t>
  </si>
  <si>
    <t>Prepago</t>
  </si>
  <si>
    <t>Tasa Prepago</t>
  </si>
  <si>
    <t>Fecha Intraday</t>
  </si>
  <si>
    <t>Hora intraday</t>
  </si>
  <si>
    <t>Tir Intraday</t>
  </si>
  <si>
    <t>Precio Intraday</t>
  </si>
  <si>
    <t>Spread Intraday</t>
  </si>
  <si>
    <t>Fecha Ult Val</t>
  </si>
  <si>
    <t>Tir Ult Val</t>
  </si>
  <si>
    <t>Precio Ult Val</t>
  </si>
  <si>
    <t>Spread Ult Val</t>
  </si>
  <si>
    <t>Fecha Ult Trans</t>
  </si>
  <si>
    <t>Tir Ult Trans</t>
  </si>
  <si>
    <t>Precio Ult Trans</t>
  </si>
  <si>
    <t>Spread Ult Trans</t>
  </si>
  <si>
    <t>Monto Out MM$</t>
  </si>
  <si>
    <t>Cantidad Out</t>
  </si>
  <si>
    <t>Cant Trans Mes</t>
  </si>
  <si>
    <t>Cant Trans Mes OTC</t>
  </si>
  <si>
    <t>RetDia</t>
  </si>
  <si>
    <t>MTD</t>
  </si>
  <si>
    <t>YTD</t>
  </si>
  <si>
    <t>DesvEst 90d</t>
  </si>
  <si>
    <t>Convexidad</t>
  </si>
  <si>
    <t>Sector</t>
  </si>
  <si>
    <t>BTP</t>
  </si>
  <si>
    <t>TGEN</t>
  </si>
  <si>
    <t>NA</t>
  </si>
  <si>
    <t>CLP</t>
  </si>
  <si>
    <t>No</t>
  </si>
  <si>
    <t>NULL</t>
  </si>
  <si>
    <t>Gobierno</t>
  </si>
  <si>
    <t>Fecha</t>
  </si>
  <si>
    <t>Periodo</t>
  </si>
  <si>
    <t>Cupon</t>
  </si>
  <si>
    <t>Amortizacion</t>
  </si>
  <si>
    <t>Flujo</t>
  </si>
  <si>
    <t>VP TIR</t>
  </si>
  <si>
    <t>FD TIR</t>
  </si>
  <si>
    <t>TERA Tasa Efectiva de Rentabilidad Anual</t>
  </si>
  <si>
    <t>TIR Actual</t>
  </si>
  <si>
    <t>Macauly Duration</t>
  </si>
  <si>
    <t>Valuation Date</t>
  </si>
  <si>
    <t>*BTP a tasa 04,5 con vencimiento el 03 26 = BTP0450326</t>
  </si>
  <si>
    <t>Base TIR</t>
  </si>
  <si>
    <t>Dias hasta prox pago</t>
  </si>
  <si>
    <t>t diario</t>
  </si>
  <si>
    <t>t anualizado</t>
  </si>
  <si>
    <t>Present Value (PV)</t>
  </si>
  <si>
    <t>Años hasta prox pago</t>
  </si>
  <si>
    <t>Días desde ult pago</t>
  </si>
  <si>
    <t>Años desde ult pago</t>
  </si>
  <si>
    <t>Face Value</t>
  </si>
  <si>
    <t>Par Amount (Nominal)</t>
  </si>
  <si>
    <t>Par Amount (%)</t>
  </si>
  <si>
    <t>Precio ( PV / Par Amount)</t>
  </si>
  <si>
    <t>Periodicidad</t>
  </si>
  <si>
    <t>Duration Mod</t>
  </si>
  <si>
    <t>Nuevo PV estimado</t>
  </si>
  <si>
    <t>Precio Inicial</t>
  </si>
  <si>
    <t>Cambio en PV estimado</t>
  </si>
  <si>
    <t>Precio nuevo</t>
  </si>
  <si>
    <t>Cambio real</t>
  </si>
  <si>
    <t>Medidas de sensbilidad</t>
  </si>
  <si>
    <t>Tasa inicial</t>
  </si>
  <si>
    <t>Diferencia en estimacion</t>
  </si>
  <si>
    <t>Cambio en PV estimado (Dur + Conv)</t>
  </si>
  <si>
    <t>Cambio en PV estimado % (Dur + Conv)</t>
  </si>
  <si>
    <t>Estimación de impacto % en el PV</t>
  </si>
  <si>
    <r>
      <t>Variación Porcentual Δ</t>
    </r>
    <r>
      <rPr>
        <sz val="9.35"/>
        <color theme="1"/>
        <rFont val="Aptos Narrow"/>
        <family val="2"/>
      </rPr>
      <t>%</t>
    </r>
    <r>
      <rPr>
        <sz val="11"/>
        <color theme="1"/>
        <rFont val="Aptos Narrow"/>
        <family val="2"/>
      </rPr>
      <t xml:space="preserve"> y</t>
    </r>
  </si>
  <si>
    <t>VP_i*((ti-t0)/360) / VP_total</t>
  </si>
  <si>
    <t>(valor presente del flujo por plazo) dividido entre la suma del valor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</si>
</sst>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2" formatCode="_ &quot;$&quot;* #,##0_ ;_ &quot;$&quot;* \-#,##0_ ;_ &quot;$&quot;* &quot;-&quot;_ ;_ @_ "/>
    <numFmt numFmtId="41" formatCode="_ * #,##0_ ;_ * \-#,##0_ ;_ * &quot;-&quot;_ ;_ @_ "/>
    <numFmt numFmtId="164" formatCode="_-* #,##0.00_-;\-* #,##0.00_-;_-* &quot;-&quot;??_-;_-@_-"/>
    <numFmt numFmtId="165" formatCode="0.000%"/>
    <numFmt numFmtId="166" formatCode="0.0000%"/>
    <numFmt numFmtId="167" formatCode="_ * #,##0.000_ ;_ * \-#,##0.000_ ;_ * &quot;-&quot;???_ ;_ @_ "/>
    <numFmt numFmtId="168" formatCode="_ * #,##0.00_ ;_ * \-#,##0.00_ ;_ * &quot;-&quot;_ ;_ @_ "/>
    <numFmt numFmtId="169" formatCode="_ * #,##0.000_ ;_ * \-#,##0.000_ ;_ * &quot;-&quot;_ ;_ @_ "/>
    <numFmt numFmtId="170" formatCode="_ * #,##0.000000_ ;_ * \-#,##0.000000_ ;_ * &quot;-&quot;???_ ;_ @_ "/>
    <numFmt numFmtId="171" formatCode="_ * #,##0.00000_ ;_ * \-#,##0.00000_ ;_ * &quot;-&quot;?_ ;_ @_ "/>
    <numFmt numFmtId="172" formatCode="_ * #,##0.00000_ ;_ * \-#,##0.00000_ ;_ * &quot;-&quot;_ ;_ @_ "/>
    <numFmt numFmtId="173" formatCode="_ &quot;$&quot;* #,##0.000000_ ;_ &quot;$&quot;* \-#,##0.000000_ ;_ &quot;$&quot;* &quot;-&quot;_ ;_ @_ "/>
    <numFmt numFmtId="174" formatCode="_ &quot;$&quot;* #,##0.00000_ ;_ &quot;$&quot;* \-#,##0.00000_ ;_ &quot;$&quot;* &quot;-&quot;??_ ;_ @_ "/>
    <numFmt numFmtId="175" formatCode="0.00000%"/>
    <numFmt numFmtId="176" formatCode="0.000000%"/>
    <numFmt numFmtId="177" formatCode="_ * #,##0.000000_ ;_ * \-#,##0.000000_ ;_ * &quot;-&quot;??????_ ;_ @_ "/>
    <numFmt numFmtId="178" formatCode="_ * #,##0.0000_ ;_ * \-#,##0.0000_ ;_ * &quot;-&quot;_ ;_ @_ "/>
    <numFmt numFmtId="179" formatCode="0.000000"/>
    <numFmt numFmtId="180" formatCode="0.00000"/>
    <numFmt numFmtId="181" formatCode="0.0000"/>
    <numFmt numFmtId="182" formatCode="_ &quot;$&quot;* #,##0.0000_ ;_ &quot;$&quot;* \-#,##0.0000_ ;_ &quot;$&quot;* &quot;-&quot;??_ ;_ @_ "/>
    <numFmt numFmtId="183" formatCode="_ * #,##0.0000_ ;_ * \-#,##0.0000_ ;_ * &quot;-&quot;????_ ;_ @_ "/>
    <numFmt numFmtId="184" formatCode="_ &quot;$&quot;* #,##0.0000_ ;_ &quot;$&quot;* \-#,##0.0000_ ;_ &quot;$&quot;* &quot;-&quot;_ ;_ @_ "/>
    <numFmt numFmtId="185" formatCode="_ &quot;$&quot;* #,##0.0000_ ;_ &quot;$&quot;* \-#,##0.0000_ ;_ &quot;$&quot;* &quot;-&quot;????_ ;_ @_ "/>
    <numFmt numFmtId="186" formatCode="_ &quot;$&quot;* #,##0.00000_ ;_ &quot;$&quot;* \-#,##0.00000_ ;_ &quot;$&quot;* &quot;-&quot;????_ ;_ @_ "/>
    <numFmt numFmtId="187" formatCode="_ &quot;$&quot;* #,##0.00000_ ;_ &quot;$&quot;* \-#,##0.00000_ ;_ &quot;$&quot;* &quot;-&quot;_ ;_ @_ "/>
    <numFmt numFmtId="189" formatCode="_ &quot;$&quot;* #,##0.000_ ;_ &quot;$&quot;* \-#,##0.000_ ;_ &quot;$&quot;* &quot;-&quot;????_ ;_ @_ 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242424"/>
      <name val="Segoe UI"/>
      <family val="2"/>
    </font>
    <font>
      <b/>
      <sz val="11"/>
      <color theme="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i/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1"/>
      <name val="Aptos Narrow"/>
      <family val="2"/>
    </font>
    <font>
      <sz val="9.35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14" fontId="0" fillId="0" borderId="0" xfId="0" applyNumberFormat="1"/>
    <xf numFmtId="21" fontId="0" fillId="0" borderId="0" xfId="0" applyNumberFormat="1"/>
    <xf numFmtId="10" fontId="0" fillId="0" borderId="0" xfId="3" applyNumberFormat="1" applyFont="1"/>
    <xf numFmtId="166" fontId="0" fillId="0" borderId="0" xfId="3" applyNumberFormat="1" applyFont="1"/>
    <xf numFmtId="42" fontId="0" fillId="0" borderId="0" xfId="0" applyNumberFormat="1"/>
    <xf numFmtId="167" fontId="0" fillId="0" borderId="0" xfId="0" applyNumberFormat="1"/>
    <xf numFmtId="169" fontId="0" fillId="0" borderId="0" xfId="1" applyNumberFormat="1" applyFont="1"/>
    <xf numFmtId="169" fontId="0" fillId="0" borderId="0" xfId="0" applyNumberFormat="1"/>
    <xf numFmtId="171" fontId="0" fillId="0" borderId="0" xfId="0" applyNumberFormat="1"/>
    <xf numFmtId="172" fontId="0" fillId="0" borderId="0" xfId="1" applyNumberFormat="1" applyFont="1"/>
    <xf numFmtId="170" fontId="0" fillId="0" borderId="0" xfId="0" applyNumberFormat="1"/>
    <xf numFmtId="175" fontId="0" fillId="0" borderId="0" xfId="3" applyNumberFormat="1" applyFont="1"/>
    <xf numFmtId="0" fontId="0" fillId="0" borderId="3" xfId="0" applyBorder="1"/>
    <xf numFmtId="0" fontId="0" fillId="0" borderId="5" xfId="0" applyBorder="1"/>
    <xf numFmtId="177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4" xfId="0" applyNumberFormat="1" applyFill="1" applyBorder="1"/>
    <xf numFmtId="0" fontId="0" fillId="3" borderId="4" xfId="0" applyFill="1" applyBorder="1"/>
    <xf numFmtId="14" fontId="0" fillId="3" borderId="4" xfId="0" applyNumberFormat="1" applyFill="1" applyBorder="1"/>
    <xf numFmtId="21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41" fontId="0" fillId="3" borderId="4" xfId="1" applyFont="1" applyFill="1" applyBorder="1"/>
    <xf numFmtId="178" fontId="0" fillId="3" borderId="4" xfId="1" applyNumberFormat="1" applyFont="1" applyFill="1" applyBorder="1"/>
    <xf numFmtId="179" fontId="0" fillId="3" borderId="4" xfId="0" applyNumberFormat="1" applyFill="1" applyBorder="1"/>
    <xf numFmtId="0" fontId="0" fillId="3" borderId="0" xfId="0" applyFill="1"/>
    <xf numFmtId="166" fontId="0" fillId="3" borderId="4" xfId="0" applyNumberFormat="1" applyFill="1" applyBorder="1"/>
    <xf numFmtId="180" fontId="0" fillId="3" borderId="6" xfId="0" applyNumberFormat="1" applyFill="1" applyBorder="1"/>
    <xf numFmtId="0" fontId="0" fillId="0" borderId="7" xfId="0" applyBorder="1"/>
    <xf numFmtId="0" fontId="4" fillId="3" borderId="8" xfId="0" applyFont="1" applyFill="1" applyBorder="1"/>
    <xf numFmtId="0" fontId="4" fillId="3" borderId="9" xfId="0" applyFont="1" applyFill="1" applyBorder="1"/>
    <xf numFmtId="14" fontId="3" fillId="0" borderId="0" xfId="0" applyNumberFormat="1" applyFont="1"/>
    <xf numFmtId="0" fontId="0" fillId="5" borderId="0" xfId="0" applyFill="1"/>
    <xf numFmtId="14" fontId="0" fillId="5" borderId="0" xfId="0" applyNumberFormat="1" applyFill="1"/>
    <xf numFmtId="169" fontId="0" fillId="5" borderId="0" xfId="1" applyNumberFormat="1" applyFont="1" applyFill="1"/>
    <xf numFmtId="42" fontId="0" fillId="5" borderId="0" xfId="0" applyNumberFormat="1" applyFill="1"/>
    <xf numFmtId="169" fontId="0" fillId="5" borderId="0" xfId="0" applyNumberFormat="1" applyFill="1"/>
    <xf numFmtId="41" fontId="0" fillId="5" borderId="0" xfId="0" applyNumberFormat="1" applyFill="1"/>
    <xf numFmtId="172" fontId="0" fillId="5" borderId="0" xfId="1" applyNumberFormat="1" applyFont="1" applyFill="1"/>
    <xf numFmtId="171" fontId="0" fillId="5" borderId="0" xfId="0" applyNumberFormat="1" applyFill="1"/>
    <xf numFmtId="170" fontId="0" fillId="5" borderId="0" xfId="0" applyNumberFormat="1" applyFill="1"/>
    <xf numFmtId="0" fontId="3" fillId="0" borderId="0" xfId="0" applyFont="1"/>
    <xf numFmtId="0" fontId="6" fillId="5" borderId="10" xfId="0" applyFont="1" applyFill="1" applyBorder="1"/>
    <xf numFmtId="181" fontId="0" fillId="0" borderId="0" xfId="0" applyNumberFormat="1"/>
    <xf numFmtId="0" fontId="7" fillId="4" borderId="1" xfId="0" applyFont="1" applyFill="1" applyBorder="1"/>
    <xf numFmtId="0" fontId="7" fillId="4" borderId="5" xfId="0" applyFont="1" applyFill="1" applyBorder="1"/>
    <xf numFmtId="14" fontId="5" fillId="4" borderId="6" xfId="0" applyNumberFormat="1" applyFont="1" applyFill="1" applyBorder="1"/>
    <xf numFmtId="0" fontId="0" fillId="6" borderId="3" xfId="0" applyFill="1" applyBorder="1"/>
    <xf numFmtId="175" fontId="0" fillId="6" borderId="4" xfId="0" applyNumberFormat="1" applyFill="1" applyBorder="1"/>
    <xf numFmtId="183" fontId="0" fillId="3" borderId="0" xfId="0" applyNumberFormat="1" applyFill="1"/>
    <xf numFmtId="175" fontId="0" fillId="0" borderId="0" xfId="3" applyNumberFormat="1" applyFont="1" applyFill="1" applyBorder="1"/>
    <xf numFmtId="10" fontId="0" fillId="0" borderId="0" xfId="3" applyNumberFormat="1" applyFont="1" applyFill="1" applyBorder="1"/>
    <xf numFmtId="165" fontId="0" fillId="0" borderId="0" xfId="3" applyNumberFormat="1" applyFont="1" applyFill="1" applyBorder="1"/>
    <xf numFmtId="169" fontId="0" fillId="0" borderId="0" xfId="1" applyNumberFormat="1" applyFont="1" applyFill="1" applyBorder="1"/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42" fontId="0" fillId="0" borderId="0" xfId="2" applyFont="1" applyFill="1" applyBorder="1"/>
    <xf numFmtId="174" fontId="0" fillId="0" borderId="0" xfId="0" applyNumberFormat="1"/>
    <xf numFmtId="173" fontId="0" fillId="0" borderId="0" xfId="0" applyNumberFormat="1"/>
    <xf numFmtId="166" fontId="0" fillId="0" borderId="0" xfId="3" applyNumberFormat="1" applyFont="1" applyFill="1" applyBorder="1"/>
    <xf numFmtId="176" fontId="0" fillId="0" borderId="0" xfId="0" applyNumberFormat="1"/>
    <xf numFmtId="0" fontId="7" fillId="4" borderId="3" xfId="0" applyFont="1" applyFill="1" applyBorder="1"/>
    <xf numFmtId="42" fontId="7" fillId="4" borderId="4" xfId="2" applyFont="1" applyFill="1" applyBorder="1"/>
    <xf numFmtId="166" fontId="7" fillId="4" borderId="2" xfId="0" applyNumberFormat="1" applyFont="1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6" xfId="0" applyFill="1" applyBorder="1"/>
    <xf numFmtId="178" fontId="0" fillId="3" borderId="13" xfId="0" applyNumberFormat="1" applyFill="1" applyBorder="1"/>
    <xf numFmtId="183" fontId="0" fillId="3" borderId="17" xfId="0" applyNumberFormat="1" applyFill="1" applyBorder="1"/>
    <xf numFmtId="168" fontId="0" fillId="3" borderId="13" xfId="1" applyNumberFormat="1" applyFont="1" applyFill="1" applyBorder="1"/>
    <xf numFmtId="180" fontId="0" fillId="3" borderId="15" xfId="0" applyNumberFormat="1" applyFill="1" applyBorder="1"/>
    <xf numFmtId="175" fontId="0" fillId="3" borderId="15" xfId="3" applyNumberFormat="1" applyFont="1" applyFill="1" applyBorder="1"/>
    <xf numFmtId="169" fontId="0" fillId="3" borderId="15" xfId="1" applyNumberFormat="1" applyFont="1" applyFill="1" applyBorder="1"/>
    <xf numFmtId="0" fontId="0" fillId="6" borderId="16" xfId="0" applyFill="1" applyBorder="1"/>
    <xf numFmtId="166" fontId="0" fillId="6" borderId="17" xfId="3" applyNumberFormat="1" applyFont="1" applyFill="1" applyBorder="1"/>
    <xf numFmtId="184" fontId="6" fillId="5" borderId="11" xfId="2" applyNumberFormat="1" applyFont="1" applyFill="1" applyBorder="1"/>
    <xf numFmtId="0" fontId="8" fillId="2" borderId="18" xfId="0" applyFont="1" applyFill="1" applyBorder="1"/>
    <xf numFmtId="10" fontId="0" fillId="2" borderId="19" xfId="0" applyNumberFormat="1" applyFill="1" applyBorder="1"/>
    <xf numFmtId="0" fontId="0" fillId="2" borderId="12" xfId="0" applyFill="1" applyBorder="1"/>
    <xf numFmtId="175" fontId="0" fillId="2" borderId="13" xfId="3" applyNumberFormat="1" applyFont="1" applyFill="1" applyBorder="1"/>
    <xf numFmtId="0" fontId="0" fillId="2" borderId="14" xfId="0" applyFill="1" applyBorder="1"/>
    <xf numFmtId="0" fontId="0" fillId="2" borderId="16" xfId="0" applyFill="1" applyBorder="1"/>
    <xf numFmtId="172" fontId="0" fillId="2" borderId="17" xfId="1" applyNumberFormat="1" applyFont="1" applyFill="1" applyBorder="1"/>
    <xf numFmtId="184" fontId="0" fillId="3" borderId="13" xfId="2" applyNumberFormat="1" applyFont="1" applyFill="1" applyBorder="1"/>
    <xf numFmtId="184" fontId="0" fillId="3" borderId="15" xfId="0" applyNumberFormat="1" applyFill="1" applyBorder="1"/>
    <xf numFmtId="175" fontId="0" fillId="3" borderId="17" xfId="3" applyNumberFormat="1" applyFont="1" applyFill="1" applyBorder="1"/>
    <xf numFmtId="166" fontId="0" fillId="3" borderId="15" xfId="3" applyNumberFormat="1" applyFont="1" applyFill="1" applyBorder="1"/>
    <xf numFmtId="0" fontId="0" fillId="3" borderId="18" xfId="0" applyFill="1" applyBorder="1"/>
    <xf numFmtId="186" fontId="0" fillId="0" borderId="19" xfId="0" applyNumberFormat="1" applyBorder="1"/>
    <xf numFmtId="173" fontId="0" fillId="0" borderId="0" xfId="2" applyNumberFormat="1" applyFont="1" applyFill="1" applyBorder="1"/>
    <xf numFmtId="182" fontId="0" fillId="2" borderId="15" xfId="0" applyNumberFormat="1" applyFill="1" applyBorder="1"/>
    <xf numFmtId="175" fontId="0" fillId="0" borderId="2" xfId="3" applyNumberFormat="1" applyFont="1" applyBorder="1"/>
    <xf numFmtId="185" fontId="0" fillId="0" borderId="4" xfId="0" applyNumberFormat="1" applyBorder="1"/>
    <xf numFmtId="0" fontId="0" fillId="0" borderId="4" xfId="0" applyBorder="1"/>
    <xf numFmtId="187" fontId="0" fillId="0" borderId="6" xfId="0" applyNumberFormat="1" applyBorder="1"/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85" fontId="0" fillId="0" borderId="0" xfId="0" applyNumberFormat="1"/>
    <xf numFmtId="189" fontId="0" fillId="0" borderId="0" xfId="0" applyNumberFormat="1"/>
    <xf numFmtId="178" fontId="0" fillId="0" borderId="0" xfId="1" applyNumberFormat="1" applyFont="1"/>
    <xf numFmtId="0" fontId="0" fillId="0" borderId="0" xfId="0" applyAlignment="1">
      <alignment horizontal="center" wrapText="1"/>
    </xf>
  </cellXfs>
  <cellStyles count="6">
    <cellStyle name="Millares [0]" xfId="1" builtinId="6"/>
    <cellStyle name="Millares [0] 2" xfId="4" xr:uid="{0E6B79C4-5DD6-4514-9CA5-1241514E6FA5}"/>
    <cellStyle name="Millares 2" xfId="5" xr:uid="{F330D6CA-8225-4858-AB8D-8B94FAF2F05E}"/>
    <cellStyle name="Moneda [0]" xfId="2" builtinId="7"/>
    <cellStyle name="Normal" xfId="0" builtinId="0"/>
    <cellStyle name="Porcentaje" xfId="3" builtinId="5"/>
  </cellStyles>
  <dxfs count="10">
    <dxf>
      <numFmt numFmtId="185" formatCode="_ &quot;$&quot;* #,##0.0000_ ;_ &quot;$&quot;* \-#,##0.0000_ ;_ &quot;$&quot;* &quot;-&quot;????_ ;_ @_ "/>
    </dxf>
    <dxf>
      <numFmt numFmtId="167" formatCode="_ * #,##0.000_ ;_ * \-#,##0.000_ ;_ * &quot;-&quot;???_ ;_ @_ "/>
    </dxf>
    <dxf>
      <numFmt numFmtId="171" formatCode="_ * #,##0.00000_ ;_ * \-#,##0.00000_ ;_ * &quot;-&quot;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2" formatCode="_ * #,##0.00000_ ;_ * \-#,##0.00000_ ;_ * &quot;-&quot;_ ;_ @_ "/>
    </dxf>
    <dxf>
      <numFmt numFmtId="169" formatCode="_ * #,##0.000_ ;_ * \-#,##0.000_ ;_ * &quot;-&quot;_ ;_ @_ "/>
    </dxf>
    <dxf>
      <numFmt numFmtId="169" formatCode="_ * #,##0.000_ ;_ * \-#,##0.000_ ;_ * &quot;-&quot;_ ;_ @_ "/>
    </dxf>
    <dxf>
      <numFmt numFmtId="32" formatCode="_ &quot;$&quot;* #,##0_ ;_ &quot;$&quot;* \-#,##0_ ;_ &quot;$&quot;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 * #,##0.000_ ;_ * \-#,##0.000_ ;_ * &quot;-&quot;_ ;_ @_ "/>
      <fill>
        <patternFill patternType="solid">
          <fgColor indexed="64"/>
          <bgColor theme="9" tint="0.79998168889431442"/>
        </patternFill>
      </fill>
    </dxf>
    <dxf>
      <numFmt numFmtId="19" formatCode="dd/mm/yyyy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50</xdr:row>
      <xdr:rowOff>138393</xdr:rowOff>
    </xdr:from>
    <xdr:to>
      <xdr:col>5</xdr:col>
      <xdr:colOff>1478830</xdr:colOff>
      <xdr:row>67</xdr:row>
      <xdr:rowOff>104970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79BC63-D7B1-4CFC-A3F1-894EA76A3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" y="9304805"/>
          <a:ext cx="7361919" cy="3008227"/>
        </a:xfrm>
        <a:prstGeom prst="rect">
          <a:avLst/>
        </a:prstGeom>
      </xdr:spPr>
    </xdr:pic>
    <xdr:clientData/>
  </xdr:twoCellAnchor>
  <xdr:twoCellAnchor editAs="oneCell">
    <xdr:from>
      <xdr:col>7</xdr:col>
      <xdr:colOff>86471</xdr:colOff>
      <xdr:row>43</xdr:row>
      <xdr:rowOff>140820</xdr:rowOff>
    </xdr:from>
    <xdr:to>
      <xdr:col>10</xdr:col>
      <xdr:colOff>257479</xdr:colOff>
      <xdr:row>48</xdr:row>
      <xdr:rowOff>12623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81BD0A-9E5E-3252-6CA2-4B3E1A459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2442" y="8052173"/>
          <a:ext cx="3515216" cy="787510"/>
        </a:xfrm>
        <a:prstGeom prst="rect">
          <a:avLst/>
        </a:prstGeom>
      </xdr:spPr>
    </xdr:pic>
    <xdr:clientData/>
  </xdr:twoCellAnchor>
  <xdr:twoCellAnchor editAs="oneCell">
    <xdr:from>
      <xdr:col>7</xdr:col>
      <xdr:colOff>790762</xdr:colOff>
      <xdr:row>32</xdr:row>
      <xdr:rowOff>64061</xdr:rowOff>
    </xdr:from>
    <xdr:to>
      <xdr:col>9</xdr:col>
      <xdr:colOff>336177</xdr:colOff>
      <xdr:row>36</xdr:row>
      <xdr:rowOff>164240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D05F56-3BA0-1C37-C38A-488D3A4AB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6733" y="5991973"/>
          <a:ext cx="1850651" cy="8141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2139D2-8A71-49B0-AA80-29F00642DEB6}" name="Tabla13" displayName="Tabla13" ref="H3:Q26" totalsRowShown="0">
  <autoFilter ref="H3:Q26" xr:uid="{86C57DF3-75E9-48B3-AD02-EBE78257C302}"/>
  <tableColumns count="10">
    <tableColumn id="1" xr3:uid="{A30D799C-3991-474F-9DFC-306CBEC0557D}" name="Periodo" dataDxfId="9"/>
    <tableColumn id="2" xr3:uid="{14FCA996-D997-4181-B567-14DDAA455516}" name="Fecha" dataDxfId="8"/>
    <tableColumn id="3" xr3:uid="{C40679C9-64A3-4603-879A-854DCD9D18B8}" name="Cupon" dataDxfId="7" dataCellStyle="Millares [0]">
      <calculatedColumnFormula>+$F$5/$F$6*$F$16</calculatedColumnFormula>
    </tableColumn>
    <tableColumn id="4" xr3:uid="{EEC25F5C-201B-4F7D-8D91-3E79AFD74F17}" name="Amortizacion" dataDxfId="6">
      <calculatedColumnFormula>+F7</calculatedColumnFormula>
    </tableColumn>
    <tableColumn id="5" xr3:uid="{B1EDE909-EF5B-4D4F-A6ED-318948C06BEA}" name="Flujo" dataDxfId="5">
      <calculatedColumnFormula>+J4+K4</calculatedColumnFormula>
    </tableColumn>
    <tableColumn id="7" xr3:uid="{07747872-6DF4-4000-A7C5-F610EDEAF5E1}" name="Dias hasta prox pago" dataDxfId="4"/>
    <tableColumn id="6" xr3:uid="{5DA5C3A9-AE38-4671-807C-DE954AB28002}" name="Años hasta prox pago" dataDxfId="3" dataCellStyle="Millares [0]">
      <calculatedColumnFormula>+(I4-$I$2)/365</calculatedColumnFormula>
    </tableColumn>
    <tableColumn id="8" xr3:uid="{BDA10200-8299-49F8-8FED-2B45CA14C1F6}" name="FD TIR" dataDxfId="2">
      <calculatedColumnFormula>+(1+$I$32/2)^#REF!</calculatedColumnFormula>
    </tableColumn>
    <tableColumn id="9" xr3:uid="{4132A935-BADC-445E-A1F8-D9B2B4223F8B}" name="VP TIR" dataDxfId="1"/>
    <tableColumn id="10" xr3:uid="{DC1796FC-3F31-4EA4-B3E0-5C23B02D836F}" name="VP_i*((ti-t0)/360) / VP_total" dataDxfId="0">
      <calculatedColumnFormula>+Tabla13[[#This Row],[VP TIR]]*(Tabla13[[#This Row],[Dias hasta prox pago]]/$F$11)/$F$19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F903-816C-4877-9438-A2DEC11774D6}">
  <dimension ref="A1:AF57"/>
  <sheetViews>
    <sheetView tabSelected="1" zoomScale="85" zoomScaleNormal="85" workbookViewId="0">
      <selection activeCell="M29" sqref="M29"/>
    </sheetView>
  </sheetViews>
  <sheetFormatPr baseColWidth="10" defaultRowHeight="14.5" x14ac:dyDescent="0.35"/>
  <cols>
    <col min="2" max="2" width="17.08984375" bestFit="1" customWidth="1"/>
    <col min="3" max="3" width="12" bestFit="1" customWidth="1"/>
    <col min="5" max="5" width="34.90625" customWidth="1"/>
    <col min="6" max="6" width="22.26953125" customWidth="1"/>
    <col min="7" max="7" width="11.08984375" customWidth="1"/>
    <col min="8" max="8" width="16.7265625" customWidth="1"/>
    <col min="9" max="9" width="16.1796875" bestFit="1" customWidth="1"/>
    <col min="10" max="10" width="14.90625" customWidth="1"/>
    <col min="11" max="11" width="14.36328125" bestFit="1" customWidth="1"/>
    <col min="12" max="12" width="17" bestFit="1" customWidth="1"/>
    <col min="13" max="13" width="21" customWidth="1"/>
    <col min="14" max="14" width="15" bestFit="1" customWidth="1"/>
    <col min="15" max="17" width="17" bestFit="1" customWidth="1"/>
  </cols>
  <sheetData>
    <row r="1" spans="1:32" x14ac:dyDescent="0.35">
      <c r="Q1" s="107" t="s">
        <v>83</v>
      </c>
    </row>
    <row r="2" spans="1:32" ht="15" thickBot="1" x14ac:dyDescent="0.4">
      <c r="H2" s="47"/>
      <c r="I2" s="37"/>
      <c r="J2" s="37"/>
      <c r="M2" t="s">
        <v>58</v>
      </c>
      <c r="N2" t="s">
        <v>59</v>
      </c>
      <c r="Q2" s="107"/>
    </row>
    <row r="3" spans="1:32" ht="15" thickBot="1" x14ac:dyDescent="0.4">
      <c r="B3" s="17" t="s">
        <v>3</v>
      </c>
      <c r="C3" s="18" t="s">
        <v>1</v>
      </c>
      <c r="E3" s="34" t="s">
        <v>55</v>
      </c>
      <c r="F3" s="34"/>
      <c r="H3" t="s">
        <v>45</v>
      </c>
      <c r="I3" t="s">
        <v>44</v>
      </c>
      <c r="J3" t="s">
        <v>46</v>
      </c>
      <c r="K3" t="s">
        <v>47</v>
      </c>
      <c r="L3" t="s">
        <v>48</v>
      </c>
      <c r="M3" t="s">
        <v>57</v>
      </c>
      <c r="N3" t="s">
        <v>61</v>
      </c>
      <c r="O3" t="s">
        <v>50</v>
      </c>
      <c r="P3" t="s">
        <v>49</v>
      </c>
      <c r="Q3" t="s">
        <v>82</v>
      </c>
    </row>
    <row r="4" spans="1:32" ht="15" thickBot="1" x14ac:dyDescent="0.4">
      <c r="B4" s="19" t="s">
        <v>4</v>
      </c>
      <c r="C4" s="20">
        <v>4.4999999999999998E-2</v>
      </c>
      <c r="E4" s="35" t="s">
        <v>2</v>
      </c>
      <c r="F4" s="36" t="s">
        <v>1</v>
      </c>
      <c r="H4">
        <v>1</v>
      </c>
      <c r="I4" s="2">
        <v>42064</v>
      </c>
      <c r="J4" s="8">
        <f t="shared" ref="J4:J26" si="0">+$F$5/$F$6*$F$16</f>
        <v>22.5</v>
      </c>
      <c r="K4" s="6"/>
      <c r="L4" s="9"/>
      <c r="M4" s="9"/>
      <c r="N4" s="11"/>
      <c r="O4" s="10"/>
      <c r="P4" s="7"/>
      <c r="Q4" s="104">
        <f>+Tabla13[[#This Row],[VP TIR]]*(Tabla13[[#This Row],[Dias hasta prox pago]]/$F$11)/$F$19</f>
        <v>0</v>
      </c>
      <c r="S4" s="2"/>
      <c r="T4" s="2"/>
      <c r="W4" s="2"/>
      <c r="X4" s="3"/>
      <c r="AB4" s="2"/>
      <c r="AF4" s="2"/>
    </row>
    <row r="5" spans="1:32" ht="15" thickTop="1" x14ac:dyDescent="0.35">
      <c r="A5" s="1"/>
      <c r="B5" s="19" t="s">
        <v>51</v>
      </c>
      <c r="C5" s="20">
        <v>4.5465999999999999E-2</v>
      </c>
      <c r="E5" s="19" t="s">
        <v>4</v>
      </c>
      <c r="F5" s="32">
        <v>4.4999999999999998E-2</v>
      </c>
      <c r="H5">
        <v>2</v>
      </c>
      <c r="I5" s="2">
        <v>42248</v>
      </c>
      <c r="J5" s="8">
        <f t="shared" si="0"/>
        <v>22.5</v>
      </c>
      <c r="K5" s="6"/>
      <c r="L5" s="9">
        <f>+J5+K5</f>
        <v>22.5</v>
      </c>
      <c r="M5" s="9"/>
      <c r="N5" s="11"/>
      <c r="O5" s="10"/>
      <c r="P5" s="7"/>
      <c r="Q5" s="104">
        <f>+Tabla13[[#This Row],[VP TIR]]*(Tabla13[[#This Row],[Dias hasta prox pago]]/$F$11)/$F$19</f>
        <v>0</v>
      </c>
    </row>
    <row r="6" spans="1:32" x14ac:dyDescent="0.35">
      <c r="B6" s="26"/>
      <c r="C6" s="27"/>
      <c r="E6" s="19" t="s">
        <v>68</v>
      </c>
      <c r="F6" s="28">
        <v>2</v>
      </c>
      <c r="H6">
        <v>3</v>
      </c>
      <c r="I6" s="2">
        <v>42430</v>
      </c>
      <c r="J6" s="8">
        <f t="shared" si="0"/>
        <v>22.5</v>
      </c>
      <c r="K6" s="6"/>
      <c r="L6" s="9">
        <f t="shared" ref="L6:L26" si="1">+J6+K6</f>
        <v>22.5</v>
      </c>
      <c r="M6" s="9"/>
      <c r="N6" s="11"/>
      <c r="O6" s="10"/>
      <c r="P6" s="7"/>
      <c r="Q6" s="104">
        <f>+Tabla13[[#This Row],[VP TIR]]*(Tabla13[[#This Row],[Dias hasta prox pago]]/$F$11)/$F$19</f>
        <v>0</v>
      </c>
    </row>
    <row r="7" spans="1:32" x14ac:dyDescent="0.35">
      <c r="B7" s="19" t="s">
        <v>2</v>
      </c>
      <c r="C7" s="21" t="s">
        <v>1</v>
      </c>
      <c r="E7" s="19" t="s">
        <v>51</v>
      </c>
      <c r="F7" s="32">
        <v>4.5465999999999999E-2</v>
      </c>
      <c r="H7">
        <v>4</v>
      </c>
      <c r="I7" s="2">
        <v>42614</v>
      </c>
      <c r="J7" s="8">
        <f t="shared" si="0"/>
        <v>22.5</v>
      </c>
      <c r="K7" s="6"/>
      <c r="L7" s="9">
        <f t="shared" si="1"/>
        <v>22.5</v>
      </c>
      <c r="M7" s="9"/>
      <c r="N7" s="11"/>
      <c r="O7" s="10"/>
      <c r="P7" s="7"/>
      <c r="Q7" s="104">
        <f>+Tabla13[[#This Row],[VP TIR]]*(Tabla13[[#This Row],[Dias hasta prox pago]]/$F$11)/$F$19</f>
        <v>0</v>
      </c>
    </row>
    <row r="8" spans="1:32" x14ac:dyDescent="0.35">
      <c r="B8" s="19" t="s">
        <v>5</v>
      </c>
      <c r="C8" s="21" t="s">
        <v>37</v>
      </c>
      <c r="E8" s="19" t="s">
        <v>8</v>
      </c>
      <c r="F8" s="29">
        <v>1.1205000000000001</v>
      </c>
      <c r="G8" s="49">
        <f>+(I26-F17)/F11</f>
        <v>1.1205479452054794</v>
      </c>
      <c r="H8">
        <v>5</v>
      </c>
      <c r="I8" s="2">
        <v>42795</v>
      </c>
      <c r="J8" s="8">
        <f t="shared" si="0"/>
        <v>22.5</v>
      </c>
      <c r="K8" s="6"/>
      <c r="L8" s="9">
        <f t="shared" si="1"/>
        <v>22.5</v>
      </c>
      <c r="M8" s="9"/>
      <c r="N8" s="11"/>
      <c r="O8" s="10"/>
      <c r="P8" s="7"/>
      <c r="Q8" s="104">
        <f>+Tabla13[[#This Row],[VP TIR]]*(Tabla13[[#This Row],[Dias hasta prox pago]]/$F$11)/$F$19</f>
        <v>0</v>
      </c>
    </row>
    <row r="9" spans="1:32" x14ac:dyDescent="0.35">
      <c r="B9" s="19" t="s">
        <v>6</v>
      </c>
      <c r="C9" s="21" t="s">
        <v>38</v>
      </c>
      <c r="E9" s="19" t="s">
        <v>53</v>
      </c>
      <c r="F9" s="29">
        <v>1.08774644876575</v>
      </c>
      <c r="G9" s="106">
        <f>+SUM(Q24:Q26)</f>
        <v>1.0877339154960159</v>
      </c>
      <c r="H9">
        <v>6</v>
      </c>
      <c r="I9" s="2">
        <v>42979</v>
      </c>
      <c r="J9" s="8">
        <f t="shared" si="0"/>
        <v>22.5</v>
      </c>
      <c r="K9" s="6"/>
      <c r="L9" s="9">
        <f t="shared" si="1"/>
        <v>22.5</v>
      </c>
      <c r="M9" s="9"/>
      <c r="N9" s="11"/>
      <c r="O9" s="10"/>
      <c r="P9" s="7"/>
      <c r="Q9" s="104">
        <f>+Tabla13[[#This Row],[VP TIR]]*(Tabla13[[#This Row],[Dias hasta prox pago]]/$F$11)/$F$19</f>
        <v>0</v>
      </c>
    </row>
    <row r="10" spans="1:32" x14ac:dyDescent="0.35">
      <c r="B10" s="19" t="s">
        <v>7</v>
      </c>
      <c r="C10" s="21" t="s">
        <v>39</v>
      </c>
      <c r="E10" s="19" t="s">
        <v>17</v>
      </c>
      <c r="F10" s="21">
        <v>99.496899999999997</v>
      </c>
      <c r="H10">
        <v>7</v>
      </c>
      <c r="I10" s="2">
        <v>43160</v>
      </c>
      <c r="J10" s="8">
        <f t="shared" si="0"/>
        <v>22.5</v>
      </c>
      <c r="K10" s="6"/>
      <c r="L10" s="9">
        <f t="shared" si="1"/>
        <v>22.5</v>
      </c>
      <c r="M10" s="9"/>
      <c r="N10" s="11"/>
      <c r="O10" s="10"/>
      <c r="P10" s="7"/>
      <c r="Q10" s="104">
        <f>+Tabla13[[#This Row],[VP TIR]]*(Tabla13[[#This Row],[Dias hasta prox pago]]/$F$11)/$F$19</f>
        <v>0</v>
      </c>
    </row>
    <row r="11" spans="1:32" x14ac:dyDescent="0.35">
      <c r="B11" s="19" t="s">
        <v>0</v>
      </c>
      <c r="C11" s="21" t="s">
        <v>40</v>
      </c>
      <c r="E11" s="19" t="s">
        <v>56</v>
      </c>
      <c r="F11" s="21">
        <v>365</v>
      </c>
      <c r="H11">
        <v>8</v>
      </c>
      <c r="I11" s="2">
        <v>43344</v>
      </c>
      <c r="J11" s="8">
        <f t="shared" si="0"/>
        <v>22.5</v>
      </c>
      <c r="K11" s="6"/>
      <c r="L11" s="9">
        <f t="shared" si="1"/>
        <v>22.5</v>
      </c>
      <c r="M11" s="9"/>
      <c r="N11" s="11"/>
      <c r="O11" s="10"/>
      <c r="P11" s="7"/>
      <c r="Q11" s="104">
        <f>+Tabla13[[#This Row],[VP TIR]]*(Tabla13[[#This Row],[Dias hasta prox pago]]/$F$11)/$F$19</f>
        <v>0</v>
      </c>
    </row>
    <row r="12" spans="1:32" ht="15" thickBot="1" x14ac:dyDescent="0.4">
      <c r="B12" s="19" t="s">
        <v>4</v>
      </c>
      <c r="C12" s="21">
        <v>4.5</v>
      </c>
      <c r="E12" s="24" t="s">
        <v>35</v>
      </c>
      <c r="F12" s="33">
        <v>2.0815056491477302</v>
      </c>
      <c r="H12">
        <v>9</v>
      </c>
      <c r="I12" s="2">
        <v>43525</v>
      </c>
      <c r="J12" s="8">
        <f t="shared" si="0"/>
        <v>22.5</v>
      </c>
      <c r="K12" s="6"/>
      <c r="L12" s="9">
        <f t="shared" si="1"/>
        <v>22.5</v>
      </c>
      <c r="M12" s="9"/>
      <c r="N12" s="11"/>
      <c r="O12" s="10"/>
      <c r="P12" s="7"/>
      <c r="Q12" s="104">
        <f>+Tabla13[[#This Row],[VP TIR]]*(Tabla13[[#This Row],[Dias hasta prox pago]]/$F$11)/$F$19</f>
        <v>0</v>
      </c>
    </row>
    <row r="13" spans="1:32" x14ac:dyDescent="0.35">
      <c r="B13" s="19" t="s">
        <v>8</v>
      </c>
      <c r="C13" s="21">
        <v>1.1205000000000001</v>
      </c>
      <c r="H13">
        <v>10</v>
      </c>
      <c r="I13" s="2">
        <v>43709</v>
      </c>
      <c r="J13" s="8">
        <f t="shared" si="0"/>
        <v>22.5</v>
      </c>
      <c r="K13" s="6"/>
      <c r="L13" s="9">
        <f t="shared" si="1"/>
        <v>22.5</v>
      </c>
      <c r="M13" s="9"/>
      <c r="N13" s="11"/>
      <c r="O13" s="10"/>
      <c r="P13" s="7"/>
      <c r="Q13" s="104">
        <f>+Tabla13[[#This Row],[VP TIR]]*(Tabla13[[#This Row],[Dias hasta prox pago]]/$F$11)/$F$19</f>
        <v>0</v>
      </c>
    </row>
    <row r="14" spans="1:32" ht="15" thickBot="1" x14ac:dyDescent="0.4">
      <c r="B14" s="19" t="s">
        <v>9</v>
      </c>
      <c r="C14" s="21">
        <v>1.08774644876575</v>
      </c>
      <c r="H14">
        <v>11</v>
      </c>
      <c r="I14" s="2">
        <v>43891</v>
      </c>
      <c r="J14" s="8">
        <f t="shared" si="0"/>
        <v>22.5</v>
      </c>
      <c r="K14" s="6"/>
      <c r="L14" s="9">
        <f t="shared" si="1"/>
        <v>22.5</v>
      </c>
      <c r="M14" s="9"/>
      <c r="N14" s="11"/>
      <c r="O14" s="10"/>
      <c r="P14" s="7"/>
      <c r="Q14" s="104">
        <f>+Tabla13[[#This Row],[VP TIR]]*(Tabla13[[#This Row],[Dias hasta prox pago]]/$F$11)/$F$19</f>
        <v>0</v>
      </c>
    </row>
    <row r="15" spans="1:32" ht="16" x14ac:dyDescent="0.4">
      <c r="B15" s="19" t="s">
        <v>10</v>
      </c>
      <c r="C15" s="22">
        <v>46082</v>
      </c>
      <c r="E15" s="50" t="s">
        <v>52</v>
      </c>
      <c r="F15" s="70">
        <v>5.1052E-2</v>
      </c>
      <c r="H15">
        <v>12</v>
      </c>
      <c r="I15" s="2">
        <v>44075</v>
      </c>
      <c r="J15" s="8">
        <f t="shared" si="0"/>
        <v>22.5</v>
      </c>
      <c r="K15" s="6"/>
      <c r="L15" s="9">
        <f t="shared" si="1"/>
        <v>22.5</v>
      </c>
      <c r="M15" s="9"/>
      <c r="N15" s="11"/>
      <c r="O15" s="10"/>
      <c r="P15" s="7"/>
      <c r="Q15" s="104">
        <f>+Tabla13[[#This Row],[VP TIR]]*(Tabla13[[#This Row],[Dias hasta prox pago]]/$F$11)/$F$19</f>
        <v>0</v>
      </c>
    </row>
    <row r="16" spans="1:32" ht="16" x14ac:dyDescent="0.4">
      <c r="B16" s="19" t="s">
        <v>11</v>
      </c>
      <c r="C16" s="22">
        <v>42116</v>
      </c>
      <c r="E16" s="68" t="s">
        <v>64</v>
      </c>
      <c r="F16" s="69">
        <v>1000</v>
      </c>
      <c r="H16">
        <v>13</v>
      </c>
      <c r="I16" s="2">
        <v>44256</v>
      </c>
      <c r="J16" s="8">
        <f t="shared" si="0"/>
        <v>22.5</v>
      </c>
      <c r="K16" s="6"/>
      <c r="L16" s="9">
        <f t="shared" si="1"/>
        <v>22.5</v>
      </c>
      <c r="M16" s="9"/>
      <c r="N16" s="11"/>
      <c r="O16" s="10"/>
      <c r="P16" s="7"/>
      <c r="Q16" s="104">
        <f>+Tabla13[[#This Row],[VP TIR]]*(Tabla13[[#This Row],[Dias hasta prox pago]]/$F$11)/$F$19</f>
        <v>0</v>
      </c>
    </row>
    <row r="17" spans="2:17" ht="16.5" thickBot="1" x14ac:dyDescent="0.45">
      <c r="B17" s="19" t="s">
        <v>12</v>
      </c>
      <c r="C17" s="21" t="s">
        <v>41</v>
      </c>
      <c r="E17" s="51" t="s">
        <v>54</v>
      </c>
      <c r="F17" s="52">
        <v>45673</v>
      </c>
      <c r="H17">
        <v>14</v>
      </c>
      <c r="I17" s="2">
        <v>44440</v>
      </c>
      <c r="J17" s="8">
        <f t="shared" si="0"/>
        <v>22.5</v>
      </c>
      <c r="K17" s="6"/>
      <c r="L17" s="9">
        <f t="shared" si="1"/>
        <v>22.5</v>
      </c>
      <c r="M17" s="9"/>
      <c r="N17" s="11"/>
      <c r="O17" s="10"/>
      <c r="P17" s="7"/>
      <c r="Q17" s="104">
        <f>+Tabla13[[#This Row],[VP TIR]]*(Tabla13[[#This Row],[Dias hasta prox pago]]/$F$11)/$F$19</f>
        <v>0</v>
      </c>
    </row>
    <row r="18" spans="2:17" ht="15" thickBot="1" x14ac:dyDescent="0.4">
      <c r="B18" s="19" t="s">
        <v>13</v>
      </c>
      <c r="C18" s="21" t="s">
        <v>42</v>
      </c>
      <c r="H18">
        <v>15</v>
      </c>
      <c r="I18" s="2">
        <v>44621</v>
      </c>
      <c r="J18" s="8">
        <f t="shared" si="0"/>
        <v>22.5</v>
      </c>
      <c r="K18" s="6"/>
      <c r="L18" s="9">
        <f t="shared" si="1"/>
        <v>22.5</v>
      </c>
      <c r="M18" s="9"/>
      <c r="N18" s="11"/>
      <c r="O18" s="10"/>
      <c r="P18" s="7"/>
      <c r="Q18" s="104">
        <f>+Tabla13[[#This Row],[VP TIR]]*(Tabla13[[#This Row],[Dias hasta prox pago]]/$F$11)/$F$19</f>
        <v>0</v>
      </c>
    </row>
    <row r="19" spans="2:17" ht="16.5" thickBot="1" x14ac:dyDescent="0.45">
      <c r="B19" s="19" t="s">
        <v>14</v>
      </c>
      <c r="C19" s="22">
        <v>45673</v>
      </c>
      <c r="E19" s="48" t="s">
        <v>60</v>
      </c>
      <c r="F19" s="82">
        <f>+SUM(P24:P26)</f>
        <v>1011.1894209544832</v>
      </c>
      <c r="H19">
        <v>16</v>
      </c>
      <c r="I19" s="2">
        <v>44805</v>
      </c>
      <c r="J19" s="8">
        <f t="shared" si="0"/>
        <v>22.5</v>
      </c>
      <c r="K19" s="6"/>
      <c r="L19" s="9">
        <f t="shared" si="1"/>
        <v>22.5</v>
      </c>
      <c r="M19" s="9"/>
      <c r="N19" s="11"/>
      <c r="O19" s="10"/>
      <c r="P19" s="7"/>
      <c r="Q19" s="104">
        <f>+Tabla13[[#This Row],[VP TIR]]*(Tabla13[[#This Row],[Dias hasta prox pago]]/$F$11)/$F$19</f>
        <v>0</v>
      </c>
    </row>
    <row r="20" spans="2:17" x14ac:dyDescent="0.35">
      <c r="B20" s="19" t="s">
        <v>15</v>
      </c>
      <c r="C20" s="23">
        <v>0.70833333333333337</v>
      </c>
      <c r="H20">
        <v>17</v>
      </c>
      <c r="I20" s="2">
        <v>44986</v>
      </c>
      <c r="J20" s="8">
        <f t="shared" si="0"/>
        <v>22.5</v>
      </c>
      <c r="K20" s="6"/>
      <c r="L20" s="9">
        <f t="shared" si="1"/>
        <v>22.5</v>
      </c>
      <c r="M20" s="9"/>
      <c r="N20" s="11"/>
      <c r="O20" s="10"/>
      <c r="P20" s="7"/>
      <c r="Q20" s="104">
        <f>+Tabla13[[#This Row],[VP TIR]]*(Tabla13[[#This Row],[Dias hasta prox pago]]/$F$11)/$F$19</f>
        <v>0</v>
      </c>
    </row>
    <row r="21" spans="2:17" x14ac:dyDescent="0.35">
      <c r="B21" s="19" t="s">
        <v>16</v>
      </c>
      <c r="C21" s="21">
        <v>5.0552000000000001</v>
      </c>
      <c r="H21">
        <v>18</v>
      </c>
      <c r="I21" s="2">
        <v>45170</v>
      </c>
      <c r="J21" s="8">
        <f t="shared" si="0"/>
        <v>22.5</v>
      </c>
      <c r="K21" s="6"/>
      <c r="L21" s="9">
        <f t="shared" si="1"/>
        <v>22.5</v>
      </c>
      <c r="M21" s="9"/>
      <c r="N21" s="11"/>
      <c r="O21" s="10"/>
      <c r="P21" s="7"/>
      <c r="Q21" s="104">
        <f>+Tabla13[[#This Row],[VP TIR]]*(Tabla13[[#This Row],[Dias hasta prox pago]]/$F$11)/$F$19</f>
        <v>0</v>
      </c>
    </row>
    <row r="22" spans="2:17" x14ac:dyDescent="0.35">
      <c r="B22" s="19" t="s">
        <v>17</v>
      </c>
      <c r="C22" s="30">
        <v>99.496899999999997</v>
      </c>
      <c r="E22" s="102" t="s">
        <v>75</v>
      </c>
      <c r="F22" s="103"/>
      <c r="H22">
        <v>19</v>
      </c>
      <c r="I22" s="2">
        <v>45352</v>
      </c>
      <c r="J22" s="8">
        <f t="shared" si="0"/>
        <v>22.5</v>
      </c>
      <c r="K22" s="6"/>
      <c r="L22" s="9">
        <f t="shared" si="1"/>
        <v>22.5</v>
      </c>
      <c r="M22" s="9"/>
      <c r="N22" s="11"/>
      <c r="O22" s="10"/>
      <c r="P22" s="7"/>
      <c r="Q22" s="104">
        <f>+Tabla13[[#This Row],[VP TIR]]*(Tabla13[[#This Row],[Dias hasta prox pago]]/$F$11)/$F$19</f>
        <v>0</v>
      </c>
    </row>
    <row r="23" spans="2:17" x14ac:dyDescent="0.35">
      <c r="B23" s="19" t="s">
        <v>18</v>
      </c>
      <c r="C23" s="21">
        <v>-0.43569999999999998</v>
      </c>
      <c r="E23" s="71" t="s">
        <v>62</v>
      </c>
      <c r="F23" s="76">
        <f>+F17-I23</f>
        <v>137</v>
      </c>
      <c r="H23">
        <v>20</v>
      </c>
      <c r="I23" s="2">
        <v>45536</v>
      </c>
      <c r="J23" s="8">
        <f t="shared" si="0"/>
        <v>22.5</v>
      </c>
      <c r="K23" s="6"/>
      <c r="L23" s="9">
        <f t="shared" si="1"/>
        <v>22.5</v>
      </c>
      <c r="M23" s="9"/>
      <c r="N23" s="11"/>
      <c r="O23" s="10"/>
      <c r="P23" s="12"/>
      <c r="Q23" s="104">
        <f>+Tabla13[[#This Row],[VP TIR]]*(Tabla13[[#This Row],[Dias hasta prox pago]]/$F$11)/$F$19</f>
        <v>0</v>
      </c>
    </row>
    <row r="24" spans="2:17" x14ac:dyDescent="0.35">
      <c r="B24" s="19" t="s">
        <v>19</v>
      </c>
      <c r="C24" s="22">
        <v>45673</v>
      </c>
      <c r="E24" s="72" t="s">
        <v>63</v>
      </c>
      <c r="F24" s="77">
        <f>+F23/F11</f>
        <v>0.37534246575342467</v>
      </c>
      <c r="H24" s="38">
        <v>21</v>
      </c>
      <c r="I24" s="39">
        <v>45717</v>
      </c>
      <c r="J24" s="40">
        <f t="shared" si="0"/>
        <v>22.5</v>
      </c>
      <c r="K24" s="41"/>
      <c r="L24" s="42">
        <f>+J24+K24</f>
        <v>22.5</v>
      </c>
      <c r="M24" s="43">
        <f>+(I24-$F$17)</f>
        <v>44</v>
      </c>
      <c r="N24" s="44">
        <f>+Tabla13[[#This Row],[Dias hasta prox pago]]/365</f>
        <v>0.12054794520547946</v>
      </c>
      <c r="O24" s="45">
        <f>+(1+$F$15)^Tabla13[[#This Row],[Años hasta prox pago]]</f>
        <v>1.0060203208582026</v>
      </c>
      <c r="P24" s="46">
        <f>+L24/O24</f>
        <v>22.365353396446302</v>
      </c>
      <c r="Q24" s="104">
        <f>+Tabla13[[#This Row],[VP TIR]]*(Tabla13[[#This Row],[Dias hasta prox pago]]/$F$11)/$F$19</f>
        <v>2.6662634516004817E-3</v>
      </c>
    </row>
    <row r="25" spans="2:17" x14ac:dyDescent="0.35">
      <c r="B25" s="19" t="s">
        <v>20</v>
      </c>
      <c r="C25" s="21">
        <v>5.0552000000000001</v>
      </c>
      <c r="E25" s="72" t="s">
        <v>66</v>
      </c>
      <c r="F25" s="78">
        <f>+((1+F7)^F24)</f>
        <v>1.0168287816458175</v>
      </c>
      <c r="H25" s="38">
        <v>22</v>
      </c>
      <c r="I25" s="39">
        <v>45901</v>
      </c>
      <c r="J25" s="40">
        <f t="shared" si="0"/>
        <v>22.5</v>
      </c>
      <c r="K25" s="41"/>
      <c r="L25" s="42">
        <f t="shared" si="1"/>
        <v>22.5</v>
      </c>
      <c r="M25" s="43">
        <f>+(I25-$F$17)</f>
        <v>228</v>
      </c>
      <c r="N25" s="44">
        <f>+Tabla13[[#This Row],[Dias hasta prox pago]]/365</f>
        <v>0.62465753424657533</v>
      </c>
      <c r="O25" s="45">
        <f>+(1+$F$15)^Tabla13[[#This Row],[Años hasta prox pago]]</f>
        <v>1.0315914198761573</v>
      </c>
      <c r="P25" s="46">
        <f>+L25/O25</f>
        <v>21.810960780093662</v>
      </c>
      <c r="Q25" s="104">
        <f>+Tabla13[[#This Row],[VP TIR]]*(Tabla13[[#This Row],[Dias hasta prox pago]]/$F$11)/$F$19</f>
        <v>1.3473618985829305E-2</v>
      </c>
    </row>
    <row r="26" spans="2:17" x14ac:dyDescent="0.35">
      <c r="B26" s="53" t="s">
        <v>21</v>
      </c>
      <c r="C26" s="54">
        <v>0.99496899999999999</v>
      </c>
      <c r="E26" s="72" t="s">
        <v>65</v>
      </c>
      <c r="F26" s="79">
        <f>+F25*F16</f>
        <v>1016.8287816458175</v>
      </c>
      <c r="H26" s="38">
        <v>23</v>
      </c>
      <c r="I26" s="39">
        <v>46082</v>
      </c>
      <c r="J26" s="40">
        <f t="shared" si="0"/>
        <v>22.5</v>
      </c>
      <c r="K26" s="41">
        <f>+F16</f>
        <v>1000</v>
      </c>
      <c r="L26" s="42">
        <f t="shared" si="1"/>
        <v>1022.5</v>
      </c>
      <c r="M26" s="43">
        <f>+(I26-$F$17)</f>
        <v>409</v>
      </c>
      <c r="N26" s="44">
        <f>+Tabla13[[#This Row],[Dias hasta prox pago]]/365</f>
        <v>1.1205479452054794</v>
      </c>
      <c r="O26" s="45">
        <f>+(1+$F$15)^Tabla13[[#This Row],[Años hasta prox pago]]</f>
        <v>1.0573796702786555</v>
      </c>
      <c r="P26" s="46">
        <f>+L26/O26</f>
        <v>967.01310677794334</v>
      </c>
      <c r="Q26" s="104">
        <f>+Tabla13[[#This Row],[VP TIR]]*(Tabla13[[#This Row],[Dias hasta prox pago]]/$F$11)/$F$19</f>
        <v>1.0715940330585862</v>
      </c>
    </row>
    <row r="27" spans="2:17" x14ac:dyDescent="0.35">
      <c r="B27" s="19" t="s">
        <v>22</v>
      </c>
      <c r="C27" s="21">
        <v>-0.43569999999999998</v>
      </c>
      <c r="E27" s="80" t="s">
        <v>67</v>
      </c>
      <c r="F27" s="81">
        <f>+F19/F26</f>
        <v>0.9944539721995217</v>
      </c>
    </row>
    <row r="28" spans="2:17" x14ac:dyDescent="0.35">
      <c r="B28" s="19" t="s">
        <v>23</v>
      </c>
      <c r="C28" s="22">
        <v>45672</v>
      </c>
      <c r="E28" s="31"/>
      <c r="F28" s="31"/>
    </row>
    <row r="29" spans="2:17" x14ac:dyDescent="0.35">
      <c r="B29" s="19" t="s">
        <v>24</v>
      </c>
      <c r="C29" s="21">
        <v>5.0430000000000001</v>
      </c>
      <c r="E29" s="71" t="s">
        <v>53</v>
      </c>
      <c r="F29" s="74">
        <f>+F9</f>
        <v>1.08774644876575</v>
      </c>
      <c r="K29" s="105"/>
    </row>
    <row r="30" spans="2:17" x14ac:dyDescent="0.35">
      <c r="B30" s="19" t="s">
        <v>25</v>
      </c>
      <c r="C30" s="21">
        <v>99.508200000000002</v>
      </c>
      <c r="E30" s="73" t="s">
        <v>69</v>
      </c>
      <c r="F30" s="75">
        <f>+F29/(1+F15)</f>
        <v>1.0349121154479035</v>
      </c>
    </row>
    <row r="31" spans="2:17" x14ac:dyDescent="0.35">
      <c r="B31" s="19" t="s">
        <v>26</v>
      </c>
      <c r="C31" s="21">
        <v>-0.43569999999999998</v>
      </c>
      <c r="E31" s="31"/>
      <c r="F31" s="55"/>
      <c r="I31" s="60"/>
    </row>
    <row r="32" spans="2:17" x14ac:dyDescent="0.35">
      <c r="B32" s="19" t="s">
        <v>27</v>
      </c>
      <c r="C32" s="21">
        <v>1171078166032</v>
      </c>
      <c r="E32" s="83" t="s">
        <v>81</v>
      </c>
      <c r="F32" s="84">
        <f>+F15-(C25/100)</f>
        <v>5.0000000000000044E-4</v>
      </c>
      <c r="I32" s="61"/>
    </row>
    <row r="33" spans="2:17" x14ac:dyDescent="0.35">
      <c r="B33" s="19" t="s">
        <v>28</v>
      </c>
      <c r="C33" s="21">
        <v>1157520000000</v>
      </c>
      <c r="E33" s="31"/>
      <c r="F33" s="31"/>
      <c r="I33" s="61"/>
    </row>
    <row r="34" spans="2:17" x14ac:dyDescent="0.35">
      <c r="B34" s="19" t="s">
        <v>29</v>
      </c>
      <c r="C34" s="21">
        <v>4370000000</v>
      </c>
      <c r="E34" s="85" t="s">
        <v>80</v>
      </c>
      <c r="F34" s="86">
        <f>+-F32*F30</f>
        <v>-5.1745605772395226E-4</v>
      </c>
      <c r="I34" s="62"/>
    </row>
    <row r="35" spans="2:17" x14ac:dyDescent="0.35">
      <c r="B35" s="19" t="s">
        <v>30</v>
      </c>
      <c r="C35" s="21">
        <v>1090330000000</v>
      </c>
      <c r="E35" s="87" t="s">
        <v>72</v>
      </c>
      <c r="F35" s="97">
        <f>+F34*F38</f>
        <v>-0.52351698119765067</v>
      </c>
      <c r="H35" s="64"/>
      <c r="I35" s="58"/>
    </row>
    <row r="36" spans="2:17" x14ac:dyDescent="0.35">
      <c r="B36" s="19" t="s">
        <v>31</v>
      </c>
      <c r="C36" s="21">
        <v>8.2526095233071003E-4</v>
      </c>
      <c r="E36" s="88" t="s">
        <v>70</v>
      </c>
      <c r="F36" s="89">
        <f>+F38*(1+F34)</f>
        <v>1011.1894070115324</v>
      </c>
      <c r="I36" s="63"/>
    </row>
    <row r="37" spans="2:17" x14ac:dyDescent="0.35">
      <c r="B37" s="19" t="s">
        <v>32</v>
      </c>
      <c r="C37" s="21">
        <v>4.8888322626373E-2</v>
      </c>
      <c r="E37" s="31"/>
      <c r="F37" s="31"/>
      <c r="I37" s="2"/>
    </row>
    <row r="38" spans="2:17" x14ac:dyDescent="0.35">
      <c r="B38" s="19" t="s">
        <v>33</v>
      </c>
      <c r="C38" s="21">
        <v>4.8888322626373E-2</v>
      </c>
      <c r="E38" s="71" t="s">
        <v>71</v>
      </c>
      <c r="F38" s="90">
        <v>1011.71292399273</v>
      </c>
    </row>
    <row r="39" spans="2:17" x14ac:dyDescent="0.35">
      <c r="B39" s="19" t="s">
        <v>34</v>
      </c>
      <c r="C39" s="21">
        <v>0.94727376795456997</v>
      </c>
      <c r="E39" s="72" t="s">
        <v>76</v>
      </c>
      <c r="F39" s="93">
        <f>+C25/100</f>
        <v>5.0552E-2</v>
      </c>
    </row>
    <row r="40" spans="2:17" x14ac:dyDescent="0.35">
      <c r="B40" s="19" t="s">
        <v>35</v>
      </c>
      <c r="C40" s="21">
        <v>2.0815056491477302</v>
      </c>
      <c r="E40" s="72" t="s">
        <v>73</v>
      </c>
      <c r="F40" s="91">
        <f>+F19</f>
        <v>1011.1894209544832</v>
      </c>
      <c r="G40" s="5"/>
    </row>
    <row r="41" spans="2:17" ht="15" thickBot="1" x14ac:dyDescent="0.4">
      <c r="B41" s="24" t="s">
        <v>36</v>
      </c>
      <c r="C41" s="25" t="s">
        <v>43</v>
      </c>
      <c r="E41" s="73" t="s">
        <v>74</v>
      </c>
      <c r="F41" s="92">
        <f>+(F40-F38)/F38</f>
        <v>-5.1744227619506054E-4</v>
      </c>
      <c r="H41" s="66"/>
      <c r="Q41" s="7"/>
    </row>
    <row r="42" spans="2:17" x14ac:dyDescent="0.35">
      <c r="G42" s="16"/>
      <c r="H42" s="59"/>
      <c r="Q42" s="7"/>
    </row>
    <row r="43" spans="2:17" x14ac:dyDescent="0.35">
      <c r="E43" s="94" t="s">
        <v>77</v>
      </c>
      <c r="F43" s="95">
        <f>+F36-F40</f>
        <v>-1.3942950886303151E-5</v>
      </c>
      <c r="H43" s="58"/>
      <c r="Q43" s="7"/>
    </row>
    <row r="44" spans="2:17" ht="15" thickBot="1" x14ac:dyDescent="0.4">
      <c r="H44" s="66"/>
    </row>
    <row r="45" spans="2:17" x14ac:dyDescent="0.35">
      <c r="E45" s="17" t="s">
        <v>79</v>
      </c>
      <c r="F45" s="98">
        <f>+-F30*F32+(1/2)*C40*(F32^2)</f>
        <v>-5.171958695178088E-4</v>
      </c>
      <c r="J45" s="12"/>
    </row>
    <row r="46" spans="2:17" x14ac:dyDescent="0.35">
      <c r="E46" s="14" t="s">
        <v>78</v>
      </c>
      <c r="F46" s="99">
        <f>+F45*F38</f>
        <v>-0.52325374542682479</v>
      </c>
      <c r="G46" s="4"/>
      <c r="H46" s="56"/>
      <c r="J46" s="57"/>
    </row>
    <row r="47" spans="2:17" x14ac:dyDescent="0.35">
      <c r="E47" s="19" t="s">
        <v>70</v>
      </c>
      <c r="F47" s="100">
        <f>+F38*(1+F45)</f>
        <v>1011.1896702473032</v>
      </c>
      <c r="K47" s="12"/>
    </row>
    <row r="48" spans="2:17" ht="15" thickBot="1" x14ac:dyDescent="0.4">
      <c r="E48" s="15" t="s">
        <v>77</v>
      </c>
      <c r="F48" s="101">
        <f>+F40-F47</f>
        <v>-2.4929281994445773E-4</v>
      </c>
      <c r="K48" s="12"/>
    </row>
    <row r="49" spans="8:16" x14ac:dyDescent="0.35">
      <c r="H49" s="12"/>
      <c r="K49" s="12"/>
      <c r="P49" s="13"/>
    </row>
    <row r="50" spans="8:16" x14ac:dyDescent="0.35">
      <c r="K50" s="12"/>
    </row>
    <row r="51" spans="8:16" x14ac:dyDescent="0.35">
      <c r="K51" s="67"/>
    </row>
    <row r="53" spans="8:16" x14ac:dyDescent="0.35">
      <c r="H53" s="56"/>
    </row>
    <row r="55" spans="8:16" x14ac:dyDescent="0.35">
      <c r="H55" s="96"/>
    </row>
    <row r="57" spans="8:16" x14ac:dyDescent="0.35">
      <c r="H57" s="65"/>
    </row>
  </sheetData>
  <mergeCells count="2">
    <mergeCell ref="E22:F22"/>
    <mergeCell ref="Q1:Q2"/>
  </mergeCells>
  <pageMargins left="0.7" right="0.7" top="0.75" bottom="0.75" header="0.3" footer="0.3"/>
  <pageSetup orientation="portrait" r:id="rId1"/>
  <ignoredErrors>
    <ignoredError sqref="N25:N26 N24 O24:O26 K26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</vt:lpstr>
    </vt:vector>
  </TitlesOfParts>
  <Company>Banchile Inversiones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Alejandro Salazar Garay</dc:creator>
  <cp:lastModifiedBy>Lucas Salazar Garay</cp:lastModifiedBy>
  <dcterms:created xsi:type="dcterms:W3CDTF">2025-01-16T16:27:15Z</dcterms:created>
  <dcterms:modified xsi:type="dcterms:W3CDTF">2025-05-07T01:54:52Z</dcterms:modified>
</cp:coreProperties>
</file>