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05_BonosRiskManagement\"/>
    </mc:Choice>
  </mc:AlternateContent>
  <xr:revisionPtr revIDLastSave="0" documentId="13_ncr:1_{192EA42D-2141-4C12-A345-E363042FF6FA}" xr6:coauthVersionLast="47" xr6:coauthVersionMax="47" xr10:uidLastSave="{00000000-0000-0000-0000-000000000000}"/>
  <bookViews>
    <workbookView xWindow="28680" yWindow="-120" windowWidth="29040" windowHeight="15720" xr2:uid="{2570D297-CA1B-4FE0-A4EE-3AFE8FA91199}"/>
  </bookViews>
  <sheets>
    <sheet name="calculo_bon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F30" i="3"/>
  <c r="F41" i="3"/>
  <c r="F43" i="3"/>
  <c r="M42" i="3"/>
  <c r="F26" i="3"/>
  <c r="J24" i="3"/>
  <c r="I47" i="3"/>
  <c r="I48" i="3" s="1"/>
  <c r="N41" i="3"/>
  <c r="M41" i="3"/>
  <c r="J41" i="3"/>
  <c r="L41" i="3" s="1"/>
  <c r="M39" i="3"/>
  <c r="N42" i="3"/>
  <c r="M43" i="3" l="1"/>
  <c r="N43" i="3" s="1"/>
  <c r="F28" i="3"/>
  <c r="K43" i="3" l="1"/>
  <c r="I19" i="3"/>
  <c r="J21" i="3"/>
  <c r="J36" i="3" l="1"/>
  <c r="L36" i="3" s="1"/>
  <c r="M22" i="3"/>
  <c r="N22" i="3" s="1"/>
  <c r="J33" i="3"/>
  <c r="L33" i="3" s="1"/>
  <c r="J31" i="3"/>
  <c r="L31" i="3" s="1"/>
  <c r="J29" i="3"/>
  <c r="L29" i="3" s="1"/>
  <c r="J34" i="3"/>
  <c r="L34" i="3" s="1"/>
  <c r="J35" i="3"/>
  <c r="L35" i="3" s="1"/>
  <c r="J32" i="3"/>
  <c r="L32" i="3" s="1"/>
  <c r="J30" i="3"/>
  <c r="L30" i="3" s="1"/>
  <c r="J28" i="3"/>
  <c r="L28" i="3" s="1"/>
  <c r="J43" i="3"/>
  <c r="J27" i="3"/>
  <c r="L27" i="3" s="1"/>
  <c r="J42" i="3"/>
  <c r="J26" i="3"/>
  <c r="L26" i="3" s="1"/>
  <c r="J25" i="3"/>
  <c r="L25" i="3" s="1"/>
  <c r="J40" i="3"/>
  <c r="L40" i="3" s="1"/>
  <c r="J39" i="3"/>
  <c r="L39" i="3" s="1"/>
  <c r="J23" i="3"/>
  <c r="L23" i="3" s="1"/>
  <c r="J38" i="3"/>
  <c r="L38" i="3" s="1"/>
  <c r="J22" i="3"/>
  <c r="L22" i="3" s="1"/>
  <c r="J37" i="3"/>
  <c r="L37" i="3" s="1"/>
  <c r="J19" i="3"/>
  <c r="M34" i="3"/>
  <c r="N34" i="3" s="1"/>
  <c r="N39" i="3"/>
  <c r="M38" i="3"/>
  <c r="N38" i="3" s="1"/>
  <c r="M37" i="3"/>
  <c r="N37" i="3" s="1"/>
  <c r="M36" i="3"/>
  <c r="N36" i="3" s="1"/>
  <c r="M35" i="3"/>
  <c r="N35" i="3" s="1"/>
  <c r="M33" i="3"/>
  <c r="N33" i="3" s="1"/>
  <c r="M26" i="3"/>
  <c r="N26" i="3" s="1"/>
  <c r="M32" i="3"/>
  <c r="N32" i="3" s="1"/>
  <c r="M31" i="3"/>
  <c r="N31" i="3" s="1"/>
  <c r="M30" i="3"/>
  <c r="N30" i="3" s="1"/>
  <c r="M29" i="3"/>
  <c r="N29" i="3" s="1"/>
  <c r="M28" i="3"/>
  <c r="N28" i="3" s="1"/>
  <c r="M27" i="3"/>
  <c r="N27" i="3" s="1"/>
  <c r="M25" i="3"/>
  <c r="N25" i="3" s="1"/>
  <c r="M40" i="3"/>
  <c r="N40" i="3" s="1"/>
  <c r="M24" i="3"/>
  <c r="N24" i="3" s="1"/>
  <c r="M23" i="3"/>
  <c r="N23" i="3" s="1"/>
  <c r="L24" i="3"/>
  <c r="L42" i="3" l="1"/>
  <c r="O42" i="3" s="1"/>
  <c r="L43" i="3"/>
  <c r="O41" i="3"/>
  <c r="O43" i="3" l="1"/>
  <c r="I45" i="3" s="1"/>
  <c r="F48" i="3" l="1"/>
  <c r="F32" i="3"/>
  <c r="I46" i="3"/>
  <c r="F34" i="3"/>
  <c r="I49" i="3" l="1"/>
  <c r="F31" i="3" s="1"/>
  <c r="F33" i="3"/>
  <c r="F52" i="3"/>
  <c r="F56" i="3" s="1"/>
  <c r="F54" i="3"/>
</calcChain>
</file>

<file path=xl/sharedStrings.xml><?xml version="1.0" encoding="utf-8"?>
<sst xmlns="http://schemas.openxmlformats.org/spreadsheetml/2006/main" count="90" uniqueCount="81">
  <si>
    <t>Moneda</t>
  </si>
  <si>
    <t>BTP0450326</t>
  </si>
  <si>
    <t>Nemo</t>
  </si>
  <si>
    <t>Bono</t>
  </si>
  <si>
    <t>Tasa emision</t>
  </si>
  <si>
    <t>TERA</t>
  </si>
  <si>
    <t>Tipo</t>
  </si>
  <si>
    <t>Emisor</t>
  </si>
  <si>
    <t>Riesgo</t>
  </si>
  <si>
    <t>Plazo residual</t>
  </si>
  <si>
    <t>Duracion</t>
  </si>
  <si>
    <t>Vencimiento</t>
  </si>
  <si>
    <t>1a Transaccion</t>
  </si>
  <si>
    <t>Prepago</t>
  </si>
  <si>
    <t>Tasa Prepago</t>
  </si>
  <si>
    <t>Fecha Intraday</t>
  </si>
  <si>
    <t>Hora intraday</t>
  </si>
  <si>
    <t>Tir Intraday</t>
  </si>
  <si>
    <t>Precio Intraday</t>
  </si>
  <si>
    <t>Spread Intraday</t>
  </si>
  <si>
    <t>Fecha Ult Val</t>
  </si>
  <si>
    <t>Tir Ult Val</t>
  </si>
  <si>
    <t>Precio Ult Val</t>
  </si>
  <si>
    <t>Spread Ult Val</t>
  </si>
  <si>
    <t>Fecha Ult Trans</t>
  </si>
  <si>
    <t>Tir Ult Trans</t>
  </si>
  <si>
    <t>Precio Ult Trans</t>
  </si>
  <si>
    <t>Spread Ult Trans</t>
  </si>
  <si>
    <t>Monto Out MM$</t>
  </si>
  <si>
    <t>Cantidad Out</t>
  </si>
  <si>
    <t>Cant Trans Mes</t>
  </si>
  <si>
    <t>Cant Trans Mes OTC</t>
  </si>
  <si>
    <t>RetDia</t>
  </si>
  <si>
    <t>MTD</t>
  </si>
  <si>
    <t>YTD</t>
  </si>
  <si>
    <t>DesvEst 90d</t>
  </si>
  <si>
    <t>Convexidad</t>
  </si>
  <si>
    <t>Sector</t>
  </si>
  <si>
    <t>BTP</t>
  </si>
  <si>
    <t>TGEN</t>
  </si>
  <si>
    <t>NA</t>
  </si>
  <si>
    <t>CLP</t>
  </si>
  <si>
    <t>No</t>
  </si>
  <si>
    <t>NULL</t>
  </si>
  <si>
    <t>Gobierno</t>
  </si>
  <si>
    <t>RISK AMERICA</t>
  </si>
  <si>
    <t>Tasa Cupon</t>
  </si>
  <si>
    <t>Fecha</t>
  </si>
  <si>
    <t>Periodo</t>
  </si>
  <si>
    <t>Cupon</t>
  </si>
  <si>
    <t>Amortizacion</t>
  </si>
  <si>
    <t>Flujo</t>
  </si>
  <si>
    <t>Nominal</t>
  </si>
  <si>
    <t>VP TIR</t>
  </si>
  <si>
    <t>FD TIR</t>
  </si>
  <si>
    <t>dif año</t>
  </si>
  <si>
    <t>Valor Par</t>
  </si>
  <si>
    <t>Precio</t>
  </si>
  <si>
    <t>suma de flujos</t>
  </si>
  <si>
    <t>periodo desde ult cupon</t>
  </si>
  <si>
    <t>BASE TIR</t>
  </si>
  <si>
    <t>Valor par (1+tera)^per_ult_cup</t>
  </si>
  <si>
    <t>fecha ult cupon</t>
  </si>
  <si>
    <t>(1+tera)^((fecha intraday - fecha ult cupon (en dias))/365)</t>
  </si>
  <si>
    <t>valor par * nominal * precio</t>
  </si>
  <si>
    <t>valor presente de flujos/ valor par</t>
  </si>
  <si>
    <t>Valor presente flujos</t>
  </si>
  <si>
    <t>duration mod</t>
  </si>
  <si>
    <t>cambio porcentual en tasa</t>
  </si>
  <si>
    <t>precio actual</t>
  </si>
  <si>
    <t>cambio porcentual en precio estimado</t>
  </si>
  <si>
    <t>cambio porcentual en precio real</t>
  </si>
  <si>
    <t>precio anterior</t>
  </si>
  <si>
    <t>MtoM CLP (valuation)</t>
  </si>
  <si>
    <t>MtoM CLP (pricing)</t>
  </si>
  <si>
    <t>cambio en unidades monetarias real</t>
  </si>
  <si>
    <t>cambio en unidades monetarias estimado</t>
  </si>
  <si>
    <t>TERA Tasa Efectiva de Rentabilidad Anual</t>
  </si>
  <si>
    <t>notas</t>
  </si>
  <si>
    <t>fecha valorización</t>
  </si>
  <si>
    <t>Fecha valorización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</si>
</sst>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 &quot;$&quot;* #,##0_ ;_ &quot;$&quot;* \-#,##0_ ;_ &quot;$&quot;* &quot;-&quot;_ ;_ @_ "/>
    <numFmt numFmtId="41" formatCode="_ * #,##0_ ;_ * \-#,##0_ ;_ * &quot;-&quot;_ ;_ @_ "/>
    <numFmt numFmtId="165" formatCode="_-* #,##0.00_-;\-* #,##0.00_-;_-* &quot;-&quot;??_-;_-@_-"/>
    <numFmt numFmtId="167" formatCode="0.000%"/>
    <numFmt numFmtId="168" formatCode="0.0000%"/>
    <numFmt numFmtId="169" formatCode="_ * #,##0.000_ ;_ * \-#,##0.000_ ;_ * &quot;-&quot;???_ ;_ @_ "/>
    <numFmt numFmtId="170" formatCode="_ * #,##0.00_ ;_ * \-#,##0.00_ ;_ * &quot;-&quot;_ ;_ @_ "/>
    <numFmt numFmtId="171" formatCode="_ * #,##0.000_ ;_ * \-#,##0.000_ ;_ * &quot;-&quot;_ ;_ @_ "/>
    <numFmt numFmtId="172" formatCode="_ * #,##0.00000_ ;_ * \-#,##0.00000_ ;_ * &quot;-&quot;???_ ;_ @_ "/>
    <numFmt numFmtId="173" formatCode="_ * #,##0.000000_ ;_ * \-#,##0.000000_ ;_ * &quot;-&quot;???_ ;_ @_ "/>
    <numFmt numFmtId="174" formatCode="_ * #,##0.00000_ ;_ * \-#,##0.00000_ ;_ * &quot;-&quot;?_ ;_ @_ "/>
    <numFmt numFmtId="175" formatCode="_ * #,##0.00000_ ;_ * \-#,##0.00000_ ;_ * &quot;-&quot;_ ;_ @_ "/>
    <numFmt numFmtId="176" formatCode="_ &quot;$&quot;* #,##0.000000_ ;_ &quot;$&quot;* \-#,##0.000000_ ;_ &quot;$&quot;* &quot;-&quot;_ ;_ @_ "/>
    <numFmt numFmtId="177" formatCode="_ &quot;$&quot;* #,##0.00000_ ;_ &quot;$&quot;* \-#,##0.00000_ ;_ &quot;$&quot;* &quot;-&quot;??_ ;_ @_ "/>
    <numFmt numFmtId="178" formatCode="0.00000%"/>
    <numFmt numFmtId="179" formatCode="0.000000%"/>
    <numFmt numFmtId="180" formatCode="_ * #,##0.000000_ ;_ * \-#,##0.000000_ ;_ * &quot;-&quot;????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242424"/>
      <name val="Segoe UI"/>
      <family val="2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10" fontId="0" fillId="0" borderId="0" xfId="3" applyNumberFormat="1" applyFont="1"/>
    <xf numFmtId="168" fontId="0" fillId="0" borderId="0" xfId="3" applyNumberFormat="1" applyFont="1"/>
    <xf numFmtId="41" fontId="0" fillId="0" borderId="0" xfId="1" applyFont="1"/>
    <xf numFmtId="42" fontId="0" fillId="0" borderId="0" xfId="0" applyNumberFormat="1"/>
    <xf numFmtId="0" fontId="0" fillId="3" borderId="0" xfId="0" applyFill="1"/>
    <xf numFmtId="14" fontId="0" fillId="3" borderId="0" xfId="0" applyNumberFormat="1" applyFill="1"/>
    <xf numFmtId="42" fontId="0" fillId="3" borderId="0" xfId="0" applyNumberFormat="1" applyFill="1"/>
    <xf numFmtId="169" fontId="0" fillId="0" borderId="0" xfId="0" applyNumberFormat="1"/>
    <xf numFmtId="170" fontId="0" fillId="0" borderId="0" xfId="1" applyNumberFormat="1" applyFont="1"/>
    <xf numFmtId="171" fontId="0" fillId="0" borderId="0" xfId="1" applyNumberFormat="1" applyFont="1"/>
    <xf numFmtId="171" fontId="0" fillId="0" borderId="0" xfId="0" applyNumberFormat="1"/>
    <xf numFmtId="174" fontId="0" fillId="0" borderId="0" xfId="0" applyNumberFormat="1"/>
    <xf numFmtId="175" fontId="0" fillId="0" borderId="0" xfId="1" applyNumberFormat="1" applyFont="1"/>
    <xf numFmtId="171" fontId="0" fillId="3" borderId="0" xfId="1" applyNumberFormat="1" applyFont="1" applyFill="1"/>
    <xf numFmtId="173" fontId="0" fillId="0" borderId="0" xfId="0" applyNumberFormat="1"/>
    <xf numFmtId="178" fontId="0" fillId="0" borderId="0" xfId="3" applyNumberFormat="1" applyFont="1"/>
    <xf numFmtId="179" fontId="0" fillId="0" borderId="0" xfId="0" applyNumberFormat="1"/>
    <xf numFmtId="172" fontId="0" fillId="0" borderId="1" xfId="0" applyNumberFormat="1" applyBorder="1"/>
    <xf numFmtId="173" fontId="0" fillId="0" borderId="2" xfId="0" applyNumberFormat="1" applyBorder="1"/>
    <xf numFmtId="0" fontId="0" fillId="0" borderId="3" xfId="0" applyBorder="1"/>
    <xf numFmtId="176" fontId="0" fillId="0" borderId="4" xfId="0" applyNumberFormat="1" applyBorder="1"/>
    <xf numFmtId="10" fontId="0" fillId="0" borderId="3" xfId="3" applyNumberFormat="1" applyFont="1" applyBorder="1"/>
    <xf numFmtId="169" fontId="0" fillId="0" borderId="4" xfId="3" applyNumberFormat="1" applyFont="1" applyBorder="1"/>
    <xf numFmtId="10" fontId="0" fillId="0" borderId="4" xfId="3" applyNumberFormat="1" applyFont="1" applyBorder="1"/>
    <xf numFmtId="0" fontId="0" fillId="0" borderId="5" xfId="0" applyBorder="1"/>
    <xf numFmtId="168" fontId="0" fillId="0" borderId="6" xfId="3" applyNumberFormat="1" applyFont="1" applyBorder="1"/>
    <xf numFmtId="180" fontId="0" fillId="0" borderId="0" xfId="0" applyNumberFormat="1"/>
    <xf numFmtId="171" fontId="0" fillId="0" borderId="7" xfId="1" applyNumberFormat="1" applyFont="1" applyFill="1" applyBorder="1"/>
    <xf numFmtId="167" fontId="0" fillId="0" borderId="7" xfId="3" applyNumberFormat="1" applyFont="1" applyBorder="1"/>
    <xf numFmtId="168" fontId="0" fillId="0" borderId="7" xfId="3" applyNumberFormat="1" applyFont="1" applyBorder="1"/>
    <xf numFmtId="0" fontId="0" fillId="0" borderId="7" xfId="0" applyBorder="1"/>
    <xf numFmtId="173" fontId="0" fillId="0" borderId="7" xfId="0" applyNumberFormat="1" applyBorder="1"/>
    <xf numFmtId="168" fontId="0" fillId="0" borderId="8" xfId="3" applyNumberFormat="1" applyFont="1" applyFill="1" applyBorder="1"/>
    <xf numFmtId="178" fontId="0" fillId="3" borderId="9" xfId="3" applyNumberFormat="1" applyFont="1" applyFill="1" applyBorder="1"/>
    <xf numFmtId="0" fontId="0" fillId="3" borderId="8" xfId="0" applyFill="1" applyBorder="1"/>
    <xf numFmtId="0" fontId="0" fillId="2" borderId="7" xfId="0" applyFill="1" applyBorder="1"/>
    <xf numFmtId="176" fontId="0" fillId="2" borderId="9" xfId="2" applyNumberFormat="1" applyFont="1" applyFill="1" applyBorder="1"/>
    <xf numFmtId="176" fontId="0" fillId="2" borderId="9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0" fontId="0" fillId="4" borderId="4" xfId="0" applyNumberFormat="1" applyFill="1" applyBorder="1"/>
    <xf numFmtId="0" fontId="0" fillId="4" borderId="4" xfId="0" applyFill="1" applyBorder="1"/>
    <xf numFmtId="14" fontId="0" fillId="4" borderId="4" xfId="0" applyNumberFormat="1" applyFill="1" applyBorder="1"/>
    <xf numFmtId="21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0" xfId="0" applyFont="1" applyFill="1"/>
    <xf numFmtId="14" fontId="3" fillId="5" borderId="0" xfId="0" applyNumberFormat="1" applyFont="1" applyFill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167" fontId="0" fillId="2" borderId="13" xfId="0" applyNumberFormat="1" applyFill="1" applyBorder="1"/>
    <xf numFmtId="14" fontId="0" fillId="2" borderId="13" xfId="0" applyNumberFormat="1" applyFill="1" applyBorder="1" applyAlignment="1">
      <alignment horizontal="center"/>
    </xf>
    <xf numFmtId="167" fontId="0" fillId="2" borderId="13" xfId="3" applyNumberFormat="1" applyFont="1" applyFill="1" applyBorder="1"/>
    <xf numFmtId="0" fontId="0" fillId="2" borderId="14" xfId="0" applyFill="1" applyBorder="1"/>
    <xf numFmtId="0" fontId="0" fillId="2" borderId="11" xfId="0" applyFill="1" applyBorder="1"/>
    <xf numFmtId="42" fontId="0" fillId="2" borderId="13" xfId="2" applyFont="1" applyFill="1" applyBorder="1"/>
    <xf numFmtId="14" fontId="0" fillId="2" borderId="13" xfId="0" applyNumberFormat="1" applyFill="1" applyBorder="1"/>
    <xf numFmtId="10" fontId="0" fillId="2" borderId="13" xfId="0" applyNumberFormat="1" applyFill="1" applyBorder="1"/>
    <xf numFmtId="179" fontId="0" fillId="2" borderId="13" xfId="3" applyNumberFormat="1" applyFont="1" applyFill="1" applyBorder="1"/>
    <xf numFmtId="177" fontId="0" fillId="2" borderId="13" xfId="0" applyNumberFormat="1" applyFill="1" applyBorder="1"/>
    <xf numFmtId="168" fontId="0" fillId="2" borderId="13" xfId="3" applyNumberFormat="1" applyFont="1" applyFill="1" applyBorder="1"/>
    <xf numFmtId="172" fontId="0" fillId="2" borderId="15" xfId="0" applyNumberFormat="1" applyFill="1" applyBorder="1"/>
  </cellXfs>
  <cellStyles count="6">
    <cellStyle name="Millares [0]" xfId="1" builtinId="6"/>
    <cellStyle name="Millares [0] 2" xfId="4" xr:uid="{0E6B79C4-5DD6-4514-9CA5-1241514E6FA5}"/>
    <cellStyle name="Millares 2" xfId="5" xr:uid="{F330D6CA-8225-4858-AB8D-8B94FAF2F05E}"/>
    <cellStyle name="Moneda [0]" xfId="2" builtinId="7"/>
    <cellStyle name="Normal" xfId="0" builtinId="0"/>
    <cellStyle name="Porcentaje" xfId="3" builtinId="5"/>
  </cellStyles>
  <dxfs count="8">
    <dxf>
      <numFmt numFmtId="169" formatCode="_ * #,##0.000_ ;_ * \-#,##0.000_ ;_ * &quot;-&quot;???_ ;_ @_ "/>
    </dxf>
    <dxf>
      <numFmt numFmtId="174" formatCode="_ * #,##0.00000_ ;_ * \-#,##0.0000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5" formatCode="_ * #,##0.00000_ ;_ * \-#,##0.00000_ ;_ * &quot;-&quot;_ ;_ @_ "/>
    </dxf>
    <dxf>
      <numFmt numFmtId="171" formatCode="_ * #,##0.000_ ;_ * \-#,##0.000_ ;_ * &quot;-&quot;_ ;_ @_ "/>
    </dxf>
    <dxf>
      <numFmt numFmtId="32" formatCode="_ &quot;$&quot;* #,##0_ ;_ &quot;$&quot;* \-#,##0_ ;_ &quot;$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 * #,##0.000_ ;_ * \-#,##0.000_ ;_ * &quot;-&quot;_ ;_ @_ "/>
      <fill>
        <patternFill patternType="solid">
          <fgColor indexed="64"/>
          <bgColor theme="9" tint="0.79998168889431442"/>
        </patternFill>
      </fill>
    </dxf>
    <dxf>
      <numFmt numFmtId="19" formatCode="dd/mm/yyyy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8031</xdr:colOff>
      <xdr:row>0</xdr:row>
      <xdr:rowOff>0</xdr:rowOff>
    </xdr:from>
    <xdr:to>
      <xdr:col>6</xdr:col>
      <xdr:colOff>1815354</xdr:colOff>
      <xdr:row>17</xdr:row>
      <xdr:rowOff>94255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20CA12-9191-4822-9E47-DB74B9F0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855" y="0"/>
          <a:ext cx="7667999" cy="31422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57DF3-75E9-48B3-AD02-EBE78257C302}" name="Tabla1" displayName="Tabla1" ref="H20:O43" totalsRowShown="0">
  <autoFilter ref="H20:O43" xr:uid="{86C57DF3-75E9-48B3-AD02-EBE78257C302}"/>
  <tableColumns count="8">
    <tableColumn id="1" xr3:uid="{4040F8E1-6336-4DFA-B9CD-BAEA69EE6A15}" name="Periodo" dataDxfId="7"/>
    <tableColumn id="2" xr3:uid="{137C33AA-54E9-4459-A00A-9748AD192031}" name="Fecha" dataDxfId="6"/>
    <tableColumn id="3" xr3:uid="{017BF6F0-3411-4AFE-A126-47DC43C7FC85}" name="Cupon" dataDxfId="5" dataCellStyle="Millares [0]">
      <calculatedColumnFormula>+$F$26*$F$27</calculatedColumnFormula>
    </tableColumn>
    <tableColumn id="4" xr3:uid="{D402975F-48B3-4C79-A0DC-A87BA4264EA3}" name="Amortizacion" dataDxfId="4">
      <calculatedColumnFormula>+F5</calculatedColumnFormula>
    </tableColumn>
    <tableColumn id="5" xr3:uid="{DB0FB5F5-62A2-4FA9-9DE3-6833D0076E0F}" name="Flujo" dataDxfId="3">
      <calculatedColumnFormula>+J21+K21</calculatedColumnFormula>
    </tableColumn>
    <tableColumn id="6" xr3:uid="{A6F2B72A-98B5-4266-9E20-D297C70D85A2}" name="dif año" dataDxfId="2" dataCellStyle="Millares [0]">
      <calculatedColumnFormula>+(I21-$I$19)/365</calculatedColumnFormula>
    </tableColumn>
    <tableColumn id="8" xr3:uid="{85732A41-05A4-4C84-98D9-938A58CF08BA}" name="FD TIR" dataDxfId="1">
      <calculatedColumnFormula>+(1+$F$23/2)^#REF!</calculatedColumnFormula>
    </tableColumn>
    <tableColumn id="9" xr3:uid="{03D892A6-1A68-4258-980B-D2179C703D71}" name="VP TI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CBDB-8F52-4146-9DAA-477BEBFBAA53}">
  <dimension ref="A4:AE59"/>
  <sheetViews>
    <sheetView tabSelected="1" zoomScale="70" zoomScaleNormal="70" workbookViewId="0">
      <selection activeCell="I16" sqref="I16"/>
    </sheetView>
  </sheetViews>
  <sheetFormatPr baseColWidth="10" defaultRowHeight="14.5" x14ac:dyDescent="0.35"/>
  <cols>
    <col min="2" max="2" width="17.08984375" bestFit="1" customWidth="1"/>
    <col min="3" max="3" width="12" bestFit="1" customWidth="1"/>
    <col min="5" max="5" width="26.1796875" customWidth="1"/>
    <col min="6" max="6" width="34.7265625" bestFit="1" customWidth="1"/>
    <col min="7" max="7" width="46.6328125" customWidth="1"/>
    <col min="8" max="8" width="27.54296875" customWidth="1"/>
    <col min="9" max="9" width="19" bestFit="1" customWidth="1"/>
    <col min="10" max="10" width="16.1796875" bestFit="1" customWidth="1"/>
    <col min="11" max="11" width="14.36328125" bestFit="1" customWidth="1"/>
    <col min="12" max="12" width="17" bestFit="1" customWidth="1"/>
    <col min="13" max="13" width="15" bestFit="1" customWidth="1"/>
    <col min="14" max="16" width="17" bestFit="1" customWidth="1"/>
  </cols>
  <sheetData>
    <row r="4" spans="10:31" x14ac:dyDescent="0.35">
      <c r="R4" s="2"/>
      <c r="S4" s="2"/>
      <c r="V4" s="2"/>
      <c r="W4" s="3"/>
      <c r="AA4" s="2"/>
      <c r="AE4" s="2"/>
    </row>
    <row r="15" spans="10:31" x14ac:dyDescent="0.35">
      <c r="J15" s="12"/>
      <c r="M15" s="6"/>
      <c r="N15" s="12"/>
    </row>
    <row r="18" spans="1:15" x14ac:dyDescent="0.35">
      <c r="L18" s="6"/>
    </row>
    <row r="19" spans="1:15" x14ac:dyDescent="0.35">
      <c r="H19" s="53" t="s">
        <v>80</v>
      </c>
      <c r="I19" s="54">
        <f>+C37</f>
        <v>45673</v>
      </c>
      <c r="J19" s="54">
        <f>+I19+365</f>
        <v>46038</v>
      </c>
    </row>
    <row r="20" spans="1:15" ht="15" thickBot="1" x14ac:dyDescent="0.4">
      <c r="H20" t="s">
        <v>48</v>
      </c>
      <c r="I20" t="s">
        <v>47</v>
      </c>
      <c r="J20" t="s">
        <v>49</v>
      </c>
      <c r="K20" t="s">
        <v>50</v>
      </c>
      <c r="L20" t="s">
        <v>51</v>
      </c>
      <c r="M20" t="s">
        <v>55</v>
      </c>
      <c r="N20" t="s">
        <v>54</v>
      </c>
      <c r="O20" t="s">
        <v>53</v>
      </c>
    </row>
    <row r="21" spans="1:15" x14ac:dyDescent="0.35">
      <c r="B21" s="42" t="s">
        <v>3</v>
      </c>
      <c r="C21" s="43" t="s">
        <v>1</v>
      </c>
      <c r="E21" s="55" t="s">
        <v>60</v>
      </c>
      <c r="F21" s="62">
        <v>365</v>
      </c>
      <c r="G21" t="s">
        <v>78</v>
      </c>
      <c r="H21">
        <v>1</v>
      </c>
      <c r="I21" s="2">
        <v>42064</v>
      </c>
      <c r="J21" s="13">
        <f t="shared" ref="J21:J43" si="0">+$F$26*$F$27</f>
        <v>22.5</v>
      </c>
      <c r="K21" s="7"/>
      <c r="L21" s="14"/>
      <c r="M21" s="16"/>
      <c r="N21" s="15"/>
      <c r="O21" s="11"/>
    </row>
    <row r="22" spans="1:15" x14ac:dyDescent="0.35">
      <c r="B22" s="44" t="s">
        <v>4</v>
      </c>
      <c r="C22" s="45">
        <v>4.4999999999999998E-2</v>
      </c>
      <c r="E22" s="56" t="s">
        <v>2</v>
      </c>
      <c r="F22" s="57" t="s">
        <v>1</v>
      </c>
      <c r="H22">
        <v>2</v>
      </c>
      <c r="I22" s="2">
        <v>42248</v>
      </c>
      <c r="J22" s="13">
        <f t="shared" si="0"/>
        <v>22.5</v>
      </c>
      <c r="K22" s="7"/>
      <c r="L22" s="14">
        <f t="shared" ref="L22:L43" si="1">+J22+K22</f>
        <v>22.5</v>
      </c>
      <c r="M22" s="16">
        <f>+(I22-$I$19)/365</f>
        <v>-9.3835616438356162</v>
      </c>
      <c r="N22" s="15">
        <f>+(1+$F$24)^Tabla1[[#This Row],[dif año]]</f>
        <v>0.62898337735828103</v>
      </c>
      <c r="O22" s="11"/>
    </row>
    <row r="23" spans="1:15" x14ac:dyDescent="0.35">
      <c r="A23" s="1"/>
      <c r="B23" s="44" t="s">
        <v>77</v>
      </c>
      <c r="C23" s="45">
        <v>4.5465999999999999E-2</v>
      </c>
      <c r="E23" s="56" t="s">
        <v>4</v>
      </c>
      <c r="F23" s="58">
        <v>4.4999999999999998E-2</v>
      </c>
      <c r="H23">
        <v>3</v>
      </c>
      <c r="I23" s="2">
        <v>42430</v>
      </c>
      <c r="J23" s="13">
        <f t="shared" si="0"/>
        <v>22.5</v>
      </c>
      <c r="K23" s="7"/>
      <c r="L23" s="14">
        <f t="shared" si="1"/>
        <v>22.5</v>
      </c>
      <c r="M23" s="16">
        <f>+(I23-$I$19)/365</f>
        <v>-8.8849315068493144</v>
      </c>
      <c r="N23" s="15">
        <f>+(1+$F$24)^Tabla1[[#This Row],[dif año]]</f>
        <v>0.64467260899629597</v>
      </c>
      <c r="O23" s="11"/>
    </row>
    <row r="24" spans="1:15" x14ac:dyDescent="0.35">
      <c r="B24" s="51" t="s">
        <v>45</v>
      </c>
      <c r="C24" s="52"/>
      <c r="E24" s="56" t="s">
        <v>17</v>
      </c>
      <c r="F24" s="58">
        <v>5.0652000000000003E-2</v>
      </c>
      <c r="H24">
        <v>4</v>
      </c>
      <c r="I24" s="2">
        <v>42614</v>
      </c>
      <c r="J24" s="13">
        <f>+$F$26*$F$27</f>
        <v>22.5</v>
      </c>
      <c r="K24" s="7"/>
      <c r="L24" s="14">
        <f t="shared" si="1"/>
        <v>22.5</v>
      </c>
      <c r="M24" s="16">
        <f>+(I24-$I$19)/365</f>
        <v>-8.3808219178082197</v>
      </c>
      <c r="N24" s="15">
        <f>+(1+$F$24)^Tabla1[[#This Row],[dif año]]</f>
        <v>0.66093210929444857</v>
      </c>
      <c r="O24" s="11"/>
    </row>
    <row r="25" spans="1:15" x14ac:dyDescent="0.35">
      <c r="B25" s="44" t="s">
        <v>2</v>
      </c>
      <c r="C25" s="46" t="s">
        <v>1</v>
      </c>
      <c r="E25" s="56" t="s">
        <v>15</v>
      </c>
      <c r="F25" s="59">
        <v>45673</v>
      </c>
      <c r="G25" t="s">
        <v>79</v>
      </c>
      <c r="H25">
        <v>5</v>
      </c>
      <c r="I25" s="2">
        <v>42795</v>
      </c>
      <c r="J25" s="13">
        <f t="shared" si="0"/>
        <v>22.5</v>
      </c>
      <c r="K25" s="7"/>
      <c r="L25" s="14">
        <f t="shared" si="1"/>
        <v>22.5</v>
      </c>
      <c r="M25" s="16">
        <f>+(I25-$I$19)/365</f>
        <v>-7.8849315068493153</v>
      </c>
      <c r="N25" s="15">
        <f>+(1+$F$24)^Tabla1[[#This Row],[dif año]]</f>
        <v>0.67732656598717622</v>
      </c>
      <c r="O25" s="11"/>
    </row>
    <row r="26" spans="1:15" x14ac:dyDescent="0.35">
      <c r="B26" s="44" t="s">
        <v>6</v>
      </c>
      <c r="C26" s="46" t="s">
        <v>38</v>
      </c>
      <c r="E26" s="56" t="s">
        <v>46</v>
      </c>
      <c r="F26" s="60">
        <f>+F23/2</f>
        <v>2.2499999999999999E-2</v>
      </c>
      <c r="H26">
        <v>6</v>
      </c>
      <c r="I26" s="2">
        <v>42979</v>
      </c>
      <c r="J26" s="13">
        <f t="shared" si="0"/>
        <v>22.5</v>
      </c>
      <c r="K26" s="7"/>
      <c r="L26" s="14">
        <f t="shared" si="1"/>
        <v>22.5</v>
      </c>
      <c r="M26" s="16">
        <f>+(I26-$I$19)/365</f>
        <v>-7.3808219178082188</v>
      </c>
      <c r="N26" s="15">
        <f>+(1+$F$24)^Tabla1[[#This Row],[dif año]]</f>
        <v>0.69440964249443105</v>
      </c>
      <c r="O26" s="11"/>
    </row>
    <row r="27" spans="1:15" x14ac:dyDescent="0.35">
      <c r="B27" s="44" t="s">
        <v>7</v>
      </c>
      <c r="C27" s="46" t="s">
        <v>39</v>
      </c>
      <c r="E27" s="56" t="s">
        <v>52</v>
      </c>
      <c r="F27" s="63">
        <v>1000</v>
      </c>
      <c r="H27">
        <v>7</v>
      </c>
      <c r="I27" s="2">
        <v>43160</v>
      </c>
      <c r="J27" s="13">
        <f t="shared" si="0"/>
        <v>22.5</v>
      </c>
      <c r="K27" s="7"/>
      <c r="L27" s="14">
        <f t="shared" si="1"/>
        <v>22.5</v>
      </c>
      <c r="M27" s="16">
        <f>+(I27-$I$19)/365</f>
        <v>-6.8849315068493153</v>
      </c>
      <c r="N27" s="15">
        <f>+(1+$F$24)^Tabla1[[#This Row],[dif año]]</f>
        <v>0.71163451120755872</v>
      </c>
      <c r="O27" s="11"/>
    </row>
    <row r="28" spans="1:15" x14ac:dyDescent="0.35">
      <c r="B28" s="44" t="s">
        <v>8</v>
      </c>
      <c r="C28" s="46" t="s">
        <v>40</v>
      </c>
      <c r="E28" s="56" t="s">
        <v>62</v>
      </c>
      <c r="F28" s="64">
        <f>+I40</f>
        <v>45536</v>
      </c>
      <c r="H28">
        <v>8</v>
      </c>
      <c r="I28" s="2">
        <v>43344</v>
      </c>
      <c r="J28" s="13">
        <f t="shared" si="0"/>
        <v>22.5</v>
      </c>
      <c r="K28" s="7"/>
      <c r="L28" s="14">
        <f t="shared" si="1"/>
        <v>22.5</v>
      </c>
      <c r="M28" s="16">
        <f>+(I28-$I$19)/365</f>
        <v>-6.3808219178082188</v>
      </c>
      <c r="N28" s="15">
        <f>+(1+$F$24)^Tabla1[[#This Row],[dif año]]</f>
        <v>0.72958287970605884</v>
      </c>
      <c r="O28" s="11"/>
    </row>
    <row r="29" spans="1:15" x14ac:dyDescent="0.35">
      <c r="B29" s="44" t="s">
        <v>0</v>
      </c>
      <c r="C29" s="46" t="s">
        <v>41</v>
      </c>
      <c r="E29" s="56" t="s">
        <v>5</v>
      </c>
      <c r="F29" s="65">
        <v>4.5465999999999999E-2</v>
      </c>
      <c r="H29">
        <v>9</v>
      </c>
      <c r="I29" s="2">
        <v>43525</v>
      </c>
      <c r="J29" s="13">
        <f t="shared" si="0"/>
        <v>22.5</v>
      </c>
      <c r="K29" s="7"/>
      <c r="L29" s="14">
        <f t="shared" si="1"/>
        <v>22.5</v>
      </c>
      <c r="M29" s="16">
        <f>+(I29-$I$19)/365</f>
        <v>-5.8849315068493153</v>
      </c>
      <c r="N29" s="15">
        <f>+(1+$F$24)^Tabla1[[#This Row],[dif año]]</f>
        <v>0.74768022246924393</v>
      </c>
      <c r="O29" s="11"/>
    </row>
    <row r="30" spans="1:15" x14ac:dyDescent="0.35">
      <c r="B30" s="44" t="s">
        <v>4</v>
      </c>
      <c r="C30" s="46">
        <v>4.5</v>
      </c>
      <c r="E30" s="56" t="s">
        <v>56</v>
      </c>
      <c r="F30" s="66">
        <f>(1+F29)^(($I$19-I40)/365)</f>
        <v>1.0168287816458175</v>
      </c>
      <c r="G30" t="s">
        <v>63</v>
      </c>
      <c r="H30">
        <v>10</v>
      </c>
      <c r="I30" s="2">
        <v>43709</v>
      </c>
      <c r="J30" s="13">
        <f t="shared" si="0"/>
        <v>22.5</v>
      </c>
      <c r="K30" s="7"/>
      <c r="L30" s="14">
        <f t="shared" si="1"/>
        <v>22.5</v>
      </c>
      <c r="M30" s="16">
        <f>+(I30-$I$19)/365</f>
        <v>-5.3808219178082188</v>
      </c>
      <c r="N30" s="15">
        <f>+(1+$F$24)^Tabla1[[#This Row],[dif año]]</f>
        <v>0.76653771172893004</v>
      </c>
      <c r="O30" s="11"/>
    </row>
    <row r="31" spans="1:15" x14ac:dyDescent="0.35">
      <c r="B31" s="44" t="s">
        <v>9</v>
      </c>
      <c r="C31" s="46">
        <v>1.1205000000000001</v>
      </c>
      <c r="E31" s="56" t="s">
        <v>74</v>
      </c>
      <c r="F31" s="67">
        <f>F30*I49*F27</f>
        <v>1011.6081812923144</v>
      </c>
      <c r="G31" t="s">
        <v>64</v>
      </c>
      <c r="H31">
        <v>11</v>
      </c>
      <c r="I31" s="2">
        <v>43891</v>
      </c>
      <c r="J31" s="13">
        <f t="shared" si="0"/>
        <v>22.5</v>
      </c>
      <c r="K31" s="7"/>
      <c r="L31" s="14">
        <f t="shared" si="1"/>
        <v>22.5</v>
      </c>
      <c r="M31" s="16">
        <f>+(I31-$I$19)/365</f>
        <v>-4.882191780821918</v>
      </c>
      <c r="N31" s="15">
        <f>+(1+$F$24)^Tabla1[[#This Row],[dif año]]</f>
        <v>0.78565807031312618</v>
      </c>
      <c r="O31" s="11"/>
    </row>
    <row r="32" spans="1:15" x14ac:dyDescent="0.35">
      <c r="B32" s="44" t="s">
        <v>10</v>
      </c>
      <c r="C32" s="46">
        <v>1.08774644876575</v>
      </c>
      <c r="E32" s="56" t="s">
        <v>73</v>
      </c>
      <c r="F32" s="67">
        <f>+I45</f>
        <v>1011.6081812923143</v>
      </c>
      <c r="G32" t="s">
        <v>58</v>
      </c>
      <c r="H32">
        <v>12</v>
      </c>
      <c r="I32" s="2">
        <v>44075</v>
      </c>
      <c r="J32" s="13">
        <f t="shared" si="0"/>
        <v>22.5</v>
      </c>
      <c r="K32" s="7"/>
      <c r="L32" s="14">
        <f t="shared" si="1"/>
        <v>22.5</v>
      </c>
      <c r="M32" s="16">
        <f>+(I32-$I$19)/365</f>
        <v>-4.3780821917808215</v>
      </c>
      <c r="N32" s="15">
        <f>+(1+$F$24)^Tabla1[[#This Row],[dif año]]</f>
        <v>0.80547341138739803</v>
      </c>
      <c r="O32" s="11"/>
    </row>
    <row r="33" spans="2:16" x14ac:dyDescent="0.35">
      <c r="B33" s="44" t="s">
        <v>11</v>
      </c>
      <c r="C33" s="47">
        <v>46082</v>
      </c>
      <c r="E33" s="56" t="s">
        <v>57</v>
      </c>
      <c r="F33" s="68">
        <f>I46/F30</f>
        <v>0.99486580194449925</v>
      </c>
      <c r="G33" t="s">
        <v>65</v>
      </c>
      <c r="H33">
        <v>13</v>
      </c>
      <c r="I33" s="2">
        <v>44256</v>
      </c>
      <c r="J33" s="13">
        <f t="shared" si="0"/>
        <v>22.5</v>
      </c>
      <c r="K33" s="7"/>
      <c r="L33" s="14">
        <f t="shared" si="1"/>
        <v>22.5</v>
      </c>
      <c r="M33" s="16">
        <f>+(I33-$I$19)/365</f>
        <v>-3.882191780821918</v>
      </c>
      <c r="N33" s="15">
        <f>+(1+$F$24)^Tabla1[[#This Row],[dif año]]</f>
        <v>0.82545322289062661</v>
      </c>
      <c r="O33" s="11"/>
    </row>
    <row r="34" spans="2:16" ht="15" thickBot="1" x14ac:dyDescent="0.4">
      <c r="B34" s="44" t="s">
        <v>12</v>
      </c>
      <c r="C34" s="47">
        <v>42116</v>
      </c>
      <c r="E34" s="61" t="s">
        <v>66</v>
      </c>
      <c r="F34" s="69">
        <f>+I45</f>
        <v>1011.6081812923143</v>
      </c>
      <c r="H34">
        <v>14</v>
      </c>
      <c r="I34" s="2">
        <v>44440</v>
      </c>
      <c r="J34" s="13">
        <f t="shared" si="0"/>
        <v>22.5</v>
      </c>
      <c r="K34" s="7"/>
      <c r="L34" s="14">
        <f t="shared" si="1"/>
        <v>22.5</v>
      </c>
      <c r="M34" s="16">
        <f>+(I34-$I$19)/365</f>
        <v>-3.3780821917808219</v>
      </c>
      <c r="N34" s="15">
        <f>+(1+$F$24)^Tabla1[[#This Row],[dif año]]</f>
        <v>0.84627225062099265</v>
      </c>
      <c r="O34" s="11"/>
    </row>
    <row r="35" spans="2:16" x14ac:dyDescent="0.35">
      <c r="B35" s="44" t="s">
        <v>13</v>
      </c>
      <c r="C35" s="46" t="s">
        <v>42</v>
      </c>
      <c r="H35">
        <v>15</v>
      </c>
      <c r="I35" s="2">
        <v>44621</v>
      </c>
      <c r="J35" s="13">
        <f t="shared" si="0"/>
        <v>22.5</v>
      </c>
      <c r="K35" s="7"/>
      <c r="L35" s="14">
        <f t="shared" si="1"/>
        <v>22.5</v>
      </c>
      <c r="M35" s="16">
        <f>+(I35-$I$19)/365</f>
        <v>-2.882191780821918</v>
      </c>
      <c r="N35" s="15">
        <f>+(1+$F$24)^Tabla1[[#This Row],[dif año]]</f>
        <v>0.86726407953648266</v>
      </c>
      <c r="O35" s="11"/>
    </row>
    <row r="36" spans="2:16" x14ac:dyDescent="0.35">
      <c r="B36" s="44" t="s">
        <v>14</v>
      </c>
      <c r="C36" s="46" t="s">
        <v>43</v>
      </c>
      <c r="H36">
        <v>16</v>
      </c>
      <c r="I36" s="2">
        <v>44805</v>
      </c>
      <c r="J36" s="13">
        <f t="shared" si="0"/>
        <v>22.5</v>
      </c>
      <c r="K36" s="7"/>
      <c r="L36" s="14">
        <f t="shared" si="1"/>
        <v>22.5</v>
      </c>
      <c r="M36" s="16">
        <f>+(I36-$I$19)/365</f>
        <v>-2.3780821917808219</v>
      </c>
      <c r="N36" s="15">
        <f>+(1+$F$24)^Tabla1[[#This Row],[dif año]]</f>
        <v>0.8891376326594469</v>
      </c>
      <c r="O36" s="11"/>
    </row>
    <row r="37" spans="2:16" x14ac:dyDescent="0.35">
      <c r="B37" s="44" t="s">
        <v>15</v>
      </c>
      <c r="C37" s="47">
        <v>45673</v>
      </c>
      <c r="H37">
        <v>17</v>
      </c>
      <c r="I37" s="2">
        <v>44986</v>
      </c>
      <c r="J37" s="13">
        <f t="shared" si="0"/>
        <v>22.5</v>
      </c>
      <c r="K37" s="7"/>
      <c r="L37" s="14">
        <f t="shared" si="1"/>
        <v>22.5</v>
      </c>
      <c r="M37" s="16">
        <f>+(I37-$I$19)/365</f>
        <v>-1.8821917808219177</v>
      </c>
      <c r="N37" s="15">
        <f>+(1+$F$24)^Tabla1[[#This Row],[dif año]]</f>
        <v>0.9111927396931645</v>
      </c>
      <c r="O37" s="11"/>
    </row>
    <row r="38" spans="2:16" x14ac:dyDescent="0.35">
      <c r="B38" s="44" t="s">
        <v>16</v>
      </c>
      <c r="C38" s="48">
        <v>0.70833333333333337</v>
      </c>
      <c r="H38">
        <v>18</v>
      </c>
      <c r="I38" s="2">
        <v>45170</v>
      </c>
      <c r="J38" s="13">
        <f t="shared" si="0"/>
        <v>22.5</v>
      </c>
      <c r="K38" s="7"/>
      <c r="L38" s="14">
        <f t="shared" si="1"/>
        <v>22.5</v>
      </c>
      <c r="M38" s="16">
        <f>+(I38-$I$19)/365</f>
        <v>-1.3780821917808219</v>
      </c>
      <c r="N38" s="15">
        <f>+(1+$F$24)^Tabla1[[#This Row],[dif año]]</f>
        <v>0.93417423202891314</v>
      </c>
      <c r="O38" s="11"/>
    </row>
    <row r="39" spans="2:16" x14ac:dyDescent="0.35">
      <c r="B39" s="44" t="s">
        <v>17</v>
      </c>
      <c r="C39" s="46">
        <v>5.0552000000000001</v>
      </c>
      <c r="F39" s="4"/>
      <c r="H39">
        <v>19</v>
      </c>
      <c r="I39" s="2">
        <v>45352</v>
      </c>
      <c r="J39" s="13">
        <f t="shared" si="0"/>
        <v>22.5</v>
      </c>
      <c r="K39" s="7"/>
      <c r="L39" s="14">
        <f t="shared" si="1"/>
        <v>22.5</v>
      </c>
      <c r="M39" s="16">
        <f>+(I39-$I$19)/365</f>
        <v>-0.8794520547945206</v>
      </c>
      <c r="N39" s="15">
        <f>+(1+$F$24)^Tabla1[[#This Row],[dif año]]</f>
        <v>0.95747608140070939</v>
      </c>
      <c r="O39" s="11"/>
    </row>
    <row r="40" spans="2:16" x14ac:dyDescent="0.35">
      <c r="B40" s="44" t="s">
        <v>18</v>
      </c>
      <c r="C40" s="46">
        <v>99.496899999999997</v>
      </c>
      <c r="F40" s="36" t="s">
        <v>67</v>
      </c>
      <c r="G40" s="5"/>
      <c r="H40">
        <v>20</v>
      </c>
      <c r="I40" s="2">
        <v>45536</v>
      </c>
      <c r="J40" s="13">
        <f t="shared" si="0"/>
        <v>22.5</v>
      </c>
      <c r="K40" s="7"/>
      <c r="L40" s="14">
        <f t="shared" si="1"/>
        <v>22.5</v>
      </c>
      <c r="M40" s="16">
        <f>+(I40-$I$19)/365</f>
        <v>-0.37534246575342467</v>
      </c>
      <c r="N40" s="15">
        <f>+(1+$F$24)^Tabla1[[#This Row],[dif año]]</f>
        <v>0.98162490114853007</v>
      </c>
      <c r="O40" s="18"/>
    </row>
    <row r="41" spans="2:16" x14ac:dyDescent="0.35">
      <c r="B41" s="44" t="s">
        <v>19</v>
      </c>
      <c r="C41" s="46">
        <v>-0.43569999999999998</v>
      </c>
      <c r="F41" s="31">
        <f>+(C32/(1+(C39/100)))</f>
        <v>1.0354046717970649</v>
      </c>
      <c r="H41" s="8">
        <v>21</v>
      </c>
      <c r="I41" s="9">
        <v>45717</v>
      </c>
      <c r="J41" s="17">
        <f>+$F$26*$F$27</f>
        <v>22.5</v>
      </c>
      <c r="K41" s="10"/>
      <c r="L41" s="14">
        <f>+J41+K41</f>
        <v>22.5</v>
      </c>
      <c r="M41" s="16">
        <f>+(I41-$I$19)/365</f>
        <v>0.12054794520547946</v>
      </c>
      <c r="N41" s="15">
        <f>+(1+$F$24)^Tabla1[[#This Row],[dif año]]</f>
        <v>1.0059741598758181</v>
      </c>
      <c r="O41" s="18">
        <f>+L41/N41</f>
        <v>22.366379671996246</v>
      </c>
      <c r="P41" s="11"/>
    </row>
    <row r="42" spans="2:16" x14ac:dyDescent="0.35">
      <c r="B42" s="44" t="s">
        <v>20</v>
      </c>
      <c r="C42" s="47">
        <v>45673</v>
      </c>
      <c r="F42" s="32" t="s">
        <v>68</v>
      </c>
      <c r="G42" s="30"/>
      <c r="H42" s="8">
        <v>22</v>
      </c>
      <c r="I42" s="9">
        <v>45901</v>
      </c>
      <c r="J42" s="17">
        <f t="shared" si="0"/>
        <v>22.5</v>
      </c>
      <c r="K42" s="10"/>
      <c r="L42" s="14">
        <f t="shared" si="1"/>
        <v>22.5</v>
      </c>
      <c r="M42" s="16">
        <f>+(I42-$I$19)/365</f>
        <v>0.62465753424657533</v>
      </c>
      <c r="N42" s="15">
        <f>+(1+$F$24)^Tabla1[[#This Row],[dif año]]</f>
        <v>1.0313461656415055</v>
      </c>
      <c r="O42" s="18">
        <f>+L42/N42</f>
        <v>21.816147429030117</v>
      </c>
      <c r="P42" s="11"/>
    </row>
    <row r="43" spans="2:16" x14ac:dyDescent="0.35">
      <c r="B43" s="44" t="s">
        <v>21</v>
      </c>
      <c r="C43" s="46">
        <v>5.0552000000000001</v>
      </c>
      <c r="F43" s="33">
        <f>+(F24-C39%)</f>
        <v>1.0000000000000286E-4</v>
      </c>
      <c r="H43" s="8">
        <v>23</v>
      </c>
      <c r="I43" s="9">
        <v>46082</v>
      </c>
      <c r="J43" s="17">
        <f t="shared" si="0"/>
        <v>22.5</v>
      </c>
      <c r="K43" s="10">
        <f t="shared" ref="K43" si="2">+F27</f>
        <v>1000</v>
      </c>
      <c r="L43" s="14">
        <f t="shared" si="1"/>
        <v>1022.5</v>
      </c>
      <c r="M43" s="16">
        <f>+(I43-$I$19)/365</f>
        <v>1.1205479452054794</v>
      </c>
      <c r="N43" s="15">
        <f>+(1+$F$24)^Tabla1[[#This Row],[dif año]]</f>
        <v>1.056928763021848</v>
      </c>
      <c r="O43" s="18">
        <f>+L43/N43</f>
        <v>967.42565419128789</v>
      </c>
      <c r="P43" s="11"/>
    </row>
    <row r="44" spans="2:16" ht="15" thickBot="1" x14ac:dyDescent="0.4">
      <c r="B44" s="44" t="s">
        <v>22</v>
      </c>
      <c r="C44" s="45">
        <v>0.99496899999999999</v>
      </c>
      <c r="F44" s="38" t="s">
        <v>70</v>
      </c>
    </row>
    <row r="45" spans="2:16" ht="15" thickBot="1" x14ac:dyDescent="0.4">
      <c r="B45" s="44" t="s">
        <v>23</v>
      </c>
      <c r="C45" s="46">
        <v>-0.43569999999999998</v>
      </c>
      <c r="F45" s="37">
        <f>+F41*F43</f>
        <v>1.0354046717970946E-4</v>
      </c>
      <c r="H45" s="21" t="s">
        <v>58</v>
      </c>
      <c r="I45" s="22">
        <f>+SUM(O41:O43)</f>
        <v>1011.6081812923143</v>
      </c>
      <c r="J45" s="18"/>
    </row>
    <row r="46" spans="2:16" ht="15" thickTop="1" x14ac:dyDescent="0.35">
      <c r="B46" s="44" t="s">
        <v>24</v>
      </c>
      <c r="C46" s="47">
        <v>45672</v>
      </c>
      <c r="F46" s="34"/>
      <c r="G46" s="4"/>
      <c r="H46" s="23"/>
      <c r="I46" s="24">
        <f>+I45/F27</f>
        <v>1.0116081812923143</v>
      </c>
      <c r="J46" s="4"/>
    </row>
    <row r="47" spans="2:16" x14ac:dyDescent="0.35">
      <c r="B47" s="44" t="s">
        <v>25</v>
      </c>
      <c r="C47" s="46">
        <v>5.0430000000000001</v>
      </c>
      <c r="F47" s="34" t="s">
        <v>69</v>
      </c>
      <c r="H47" s="25" t="s">
        <v>59</v>
      </c>
      <c r="I47" s="26">
        <f>+(I19-I40)/F21</f>
        <v>0.37534246575342467</v>
      </c>
      <c r="K47" s="18"/>
    </row>
    <row r="48" spans="2:16" x14ac:dyDescent="0.35">
      <c r="B48" s="44" t="s">
        <v>26</v>
      </c>
      <c r="C48" s="46">
        <v>99.508200000000002</v>
      </c>
      <c r="F48" s="35">
        <f>+I45</f>
        <v>1011.6081812923143</v>
      </c>
      <c r="H48" s="25" t="s">
        <v>61</v>
      </c>
      <c r="I48" s="27">
        <f>+(1+F29)^I47</f>
        <v>1.0168287816458175</v>
      </c>
      <c r="K48" s="18"/>
    </row>
    <row r="49" spans="2:15" ht="15" thickBot="1" x14ac:dyDescent="0.4">
      <c r="B49" s="44" t="s">
        <v>27</v>
      </c>
      <c r="C49" s="46">
        <v>-0.43569999999999998</v>
      </c>
      <c r="F49" s="34" t="s">
        <v>72</v>
      </c>
      <c r="H49" s="28" t="s">
        <v>57</v>
      </c>
      <c r="I49" s="29">
        <f>+I46/I48</f>
        <v>0.99486580194449925</v>
      </c>
      <c r="K49" s="18"/>
      <c r="O49" s="19"/>
    </row>
    <row r="50" spans="2:15" x14ac:dyDescent="0.35">
      <c r="B50" s="44" t="s">
        <v>28</v>
      </c>
      <c r="C50" s="46">
        <v>1171078166032</v>
      </c>
      <c r="F50" s="34">
        <v>1011.71292399273</v>
      </c>
      <c r="K50" s="18"/>
    </row>
    <row r="51" spans="2:15" x14ac:dyDescent="0.35">
      <c r="B51" s="44" t="s">
        <v>29</v>
      </c>
      <c r="C51" s="46">
        <v>1157520000000</v>
      </c>
      <c r="F51" s="38" t="s">
        <v>71</v>
      </c>
      <c r="K51" s="20"/>
    </row>
    <row r="52" spans="2:15" ht="15" thickBot="1" x14ac:dyDescent="0.4">
      <c r="B52" s="44" t="s">
        <v>30</v>
      </c>
      <c r="C52" s="46">
        <v>4370000000</v>
      </c>
      <c r="F52" s="37">
        <f>+(F48 - F50)/(F50)</f>
        <v>-1.0353006068397299E-4</v>
      </c>
    </row>
    <row r="53" spans="2:15" ht="15" thickTop="1" x14ac:dyDescent="0.35">
      <c r="B53" s="44" t="s">
        <v>31</v>
      </c>
      <c r="C53" s="46">
        <v>1090330000000</v>
      </c>
      <c r="F53" s="39" t="s">
        <v>75</v>
      </c>
    </row>
    <row r="54" spans="2:15" ht="15" thickBot="1" x14ac:dyDescent="0.4">
      <c r="B54" s="44" t="s">
        <v>32</v>
      </c>
      <c r="C54" s="46">
        <v>8.2526095233071003E-4</v>
      </c>
      <c r="F54" s="40">
        <f>+F48-F50</f>
        <v>-0.10474270041572709</v>
      </c>
    </row>
    <row r="55" spans="2:15" ht="15" thickTop="1" x14ac:dyDescent="0.35">
      <c r="B55" s="44" t="s">
        <v>33</v>
      </c>
      <c r="C55" s="46">
        <v>4.8888322626373E-2</v>
      </c>
      <c r="F55" s="39" t="s">
        <v>76</v>
      </c>
    </row>
    <row r="56" spans="2:15" ht="15" thickBot="1" x14ac:dyDescent="0.4">
      <c r="B56" s="44" t="s">
        <v>34</v>
      </c>
      <c r="C56" s="46">
        <v>4.8888322626373E-2</v>
      </c>
      <c r="F56" s="41">
        <f>+F52*F50</f>
        <v>-0.10474270041572709</v>
      </c>
    </row>
    <row r="57" spans="2:15" ht="15" thickTop="1" x14ac:dyDescent="0.35">
      <c r="B57" s="44" t="s">
        <v>35</v>
      </c>
      <c r="C57" s="46">
        <v>0.94727376795456997</v>
      </c>
    </row>
    <row r="58" spans="2:15" x14ac:dyDescent="0.35">
      <c r="B58" s="44" t="s">
        <v>36</v>
      </c>
      <c r="C58" s="46">
        <v>2.0815056491477302</v>
      </c>
    </row>
    <row r="59" spans="2:15" ht="15" thickBot="1" x14ac:dyDescent="0.4">
      <c r="B59" s="49" t="s">
        <v>37</v>
      </c>
      <c r="C59" s="50" t="s">
        <v>44</v>
      </c>
    </row>
  </sheetData>
  <mergeCells count="1">
    <mergeCell ref="B24:C2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calculo_bono</vt:lpstr>
    </vt:vector>
  </TitlesOfParts>
  <Company>Banchile Inversiones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Alejandro Salazar Garay</dc:creator>
  <cp:lastModifiedBy>Lucas Salazar Garay</cp:lastModifiedBy>
  <dcterms:created xsi:type="dcterms:W3CDTF">2025-01-16T16:27:15Z</dcterms:created>
  <dcterms:modified xsi:type="dcterms:W3CDTF">2025-04-02T03:33:00Z</dcterms:modified>
</cp:coreProperties>
</file>