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01516212-9D5A-4CEF-AF27-73A23A25C9DA}" xr6:coauthVersionLast="47" xr6:coauthVersionMax="47" xr10:uidLastSave="{00000000-0000-0000-0000-000000000000}"/>
  <bookViews>
    <workbookView xWindow="28680" yWindow="-120" windowWidth="29040" windowHeight="15720" xr2:uid="{CF74B0D6-BAE1-479D-95BC-C0939D8AB2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9" i="1"/>
  <c r="E21" i="1"/>
  <c r="D6" i="1"/>
  <c r="E6" i="1"/>
  <c r="L7" i="1" l="1"/>
  <c r="L8" i="1"/>
  <c r="L9" i="1"/>
  <c r="L10" i="1"/>
  <c r="J24" i="1"/>
  <c r="H17" i="1" l="1"/>
  <c r="L23" i="1" s="1"/>
  <c r="M23" i="1" s="1"/>
  <c r="I4" i="1"/>
  <c r="I8" i="1"/>
  <c r="K8" i="1" s="1"/>
  <c r="N8" i="1" s="1"/>
  <c r="I9" i="1"/>
  <c r="K9" i="1" s="1"/>
  <c r="I10" i="1"/>
  <c r="I7" i="1"/>
  <c r="J10" i="1"/>
  <c r="M8" i="1" l="1"/>
  <c r="M9" i="1"/>
  <c r="L24" i="1"/>
  <c r="M24" i="1" s="1"/>
  <c r="N24" i="1" s="1"/>
  <c r="K7" i="1"/>
  <c r="M7" i="1" s="1"/>
  <c r="I22" i="1"/>
  <c r="K22" i="1" s="1"/>
  <c r="I23" i="1"/>
  <c r="K23" i="1" s="1"/>
  <c r="O23" i="1" s="1"/>
  <c r="I24" i="1"/>
  <c r="K24" i="1" s="1"/>
  <c r="O24" i="1" s="1"/>
  <c r="I21" i="1"/>
  <c r="K21" i="1" s="1"/>
  <c r="K10" i="1"/>
  <c r="O25" i="1" l="1"/>
  <c r="N23" i="1"/>
  <c r="N10" i="1"/>
  <c r="M10" i="1"/>
  <c r="M12" i="1"/>
  <c r="M13" i="1" s="1"/>
  <c r="K25" i="1"/>
  <c r="N25" i="1"/>
  <c r="D19" i="1" s="1"/>
  <c r="J31" i="1" l="1"/>
  <c r="O26" i="1"/>
  <c r="N26" i="1"/>
  <c r="N12" i="1"/>
  <c r="N13" i="1" s="1"/>
  <c r="I30" i="1"/>
  <c r="K30" i="1" s="1"/>
  <c r="L30" i="1" s="1"/>
  <c r="I31" i="1" l="1"/>
  <c r="K31" i="1" s="1"/>
  <c r="L31" i="1" s="1"/>
  <c r="L32" i="1" s="1"/>
  <c r="M32" i="1" s="1"/>
  <c r="K32" i="1" l="1"/>
</calcChain>
</file>

<file path=xl/sharedStrings.xml><?xml version="1.0" encoding="utf-8"?>
<sst xmlns="http://schemas.openxmlformats.org/spreadsheetml/2006/main" count="53" uniqueCount="32">
  <si>
    <t>tc</t>
  </si>
  <si>
    <t>tir</t>
  </si>
  <si>
    <t>madurez</t>
  </si>
  <si>
    <t>2 años</t>
  </si>
  <si>
    <t>periodicidad</t>
  </si>
  <si>
    <t>semestral</t>
  </si>
  <si>
    <t>t</t>
  </si>
  <si>
    <t>cupon</t>
  </si>
  <si>
    <t>principal</t>
  </si>
  <si>
    <t>flujo</t>
  </si>
  <si>
    <t>convencion</t>
  </si>
  <si>
    <t>precio</t>
  </si>
  <si>
    <t>discount factor</t>
  </si>
  <si>
    <t>present value</t>
  </si>
  <si>
    <t>DF</t>
  </si>
  <si>
    <t>PV</t>
  </si>
  <si>
    <t>Days next coupon</t>
  </si>
  <si>
    <t>falta 1 año, recien se pago el cupon 2</t>
  </si>
  <si>
    <t>t=0 es fecha</t>
  </si>
  <si>
    <t>pv</t>
  </si>
  <si>
    <t>1 año</t>
  </si>
  <si>
    <t>PV Teorico</t>
  </si>
  <si>
    <t xml:space="preserve">Flujos </t>
  </si>
  <si>
    <t>pendientes</t>
  </si>
  <si>
    <t>nueva deuda</t>
  </si>
  <si>
    <t>nuevos flujos</t>
  </si>
  <si>
    <t>PV*</t>
  </si>
  <si>
    <t>fecha</t>
  </si>
  <si>
    <t>expresado respecto a valor nominal</t>
  </si>
  <si>
    <t>suma pv</t>
  </si>
  <si>
    <t>deuda actual</t>
  </si>
  <si>
    <t>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</si>
</sst>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1" formatCode="_ * #,##0_ ;_ * \-#,##0_ ;_ * &quot;-&quot;_ ;_ @_ "/>
    <numFmt numFmtId="164" formatCode="_ * #,##0.00_ ;_ * \-#,##0.00_ ;_ * &quot;-&quot;_ ;_ @_ "/>
    <numFmt numFmtId="165" formatCode="_ * #,##0.00000_ ;_ * \-#,##0.00000_ ;_ * &quot;-&quot;??_ ;_ @_ "/>
    <numFmt numFmtId="166" formatCode="_ * #,##0.00000_ ;_ * \-#,##0.00000_ ;_ * &quot;-&quot;?????_ ;_ @_ "/>
    <numFmt numFmtId="167" formatCode="0.0%"/>
    <numFmt numFmtId="168" formatCode="0.000%"/>
    <numFmt numFmtId="169" formatCode="0.0000"/>
    <numFmt numFmtId="170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166" fontId="0" fillId="0" borderId="0" xfId="0" applyNumberFormat="1"/>
    <xf numFmtId="0" fontId="0" fillId="0" borderId="11" xfId="0" applyBorder="1"/>
    <xf numFmtId="0" fontId="0" fillId="0" borderId="12" xfId="0" applyBorder="1"/>
    <xf numFmtId="14" fontId="0" fillId="0" borderId="1" xfId="0" applyNumberFormat="1" applyBorder="1"/>
    <xf numFmtId="0" fontId="0" fillId="2" borderId="5" xfId="0" applyFill="1" applyBorder="1"/>
    <xf numFmtId="0" fontId="0" fillId="0" borderId="13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1" xfId="0" applyBorder="1" applyAlignment="1">
      <alignment horizontal="center"/>
    </xf>
    <xf numFmtId="10" fontId="0" fillId="0" borderId="6" xfId="3" applyNumberFormat="1" applyFont="1" applyBorder="1"/>
    <xf numFmtId="167" fontId="0" fillId="0" borderId="0" xfId="3" applyNumberFormat="1" applyFont="1" applyBorder="1"/>
    <xf numFmtId="10" fontId="0" fillId="0" borderId="0" xfId="3" applyNumberFormat="1" applyFont="1" applyBorder="1"/>
    <xf numFmtId="0" fontId="0" fillId="0" borderId="17" xfId="0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/>
    <xf numFmtId="165" fontId="0" fillId="3" borderId="26" xfId="0" applyNumberFormat="1" applyFill="1" applyBorder="1"/>
    <xf numFmtId="0" fontId="0" fillId="0" borderId="15" xfId="0" applyBorder="1"/>
    <xf numFmtId="0" fontId="0" fillId="3" borderId="27" xfId="0" applyFill="1" applyBorder="1"/>
    <xf numFmtId="0" fontId="0" fillId="3" borderId="28" xfId="0" applyFill="1" applyBorder="1"/>
    <xf numFmtId="164" fontId="0" fillId="3" borderId="28" xfId="1" applyNumberFormat="1" applyFont="1" applyFill="1" applyBorder="1"/>
    <xf numFmtId="165" fontId="0" fillId="3" borderId="28" xfId="0" applyNumberFormat="1" applyFill="1" applyBorder="1"/>
    <xf numFmtId="0" fontId="0" fillId="3" borderId="29" xfId="0" applyFill="1" applyBorder="1"/>
    <xf numFmtId="0" fontId="0" fillId="3" borderId="26" xfId="0" applyFill="1" applyBorder="1"/>
    <xf numFmtId="164" fontId="0" fillId="3" borderId="26" xfId="1" applyNumberFormat="1" applyFont="1" applyFill="1" applyBorder="1"/>
    <xf numFmtId="169" fontId="0" fillId="0" borderId="6" xfId="0" applyNumberFormat="1" applyBorder="1"/>
    <xf numFmtId="169" fontId="0" fillId="0" borderId="9" xfId="0" applyNumberFormat="1" applyBorder="1"/>
    <xf numFmtId="42" fontId="0" fillId="0" borderId="0" xfId="2" applyFont="1"/>
    <xf numFmtId="0" fontId="0" fillId="4" borderId="1" xfId="0" applyFill="1" applyBorder="1"/>
    <xf numFmtId="166" fontId="0" fillId="5" borderId="30" xfId="0" applyNumberFormat="1" applyFill="1" applyBorder="1"/>
    <xf numFmtId="166" fontId="0" fillId="5" borderId="25" xfId="0" applyNumberFormat="1" applyFill="1" applyBorder="1"/>
    <xf numFmtId="166" fontId="0" fillId="5" borderId="7" xfId="0" applyNumberFormat="1" applyFill="1" applyBorder="1"/>
    <xf numFmtId="170" fontId="0" fillId="0" borderId="8" xfId="0" applyNumberFormat="1" applyBorder="1"/>
    <xf numFmtId="2" fontId="0" fillId="0" borderId="1" xfId="0" applyNumberFormat="1" applyBorder="1"/>
    <xf numFmtId="10" fontId="0" fillId="0" borderId="15" xfId="0" applyNumberFormat="1" applyBorder="1"/>
    <xf numFmtId="14" fontId="0" fillId="0" borderId="4" xfId="0" applyNumberFormat="1" applyBorder="1"/>
    <xf numFmtId="0" fontId="0" fillId="0" borderId="32" xfId="0" applyBorder="1"/>
    <xf numFmtId="14" fontId="0" fillId="0" borderId="23" xfId="0" applyNumberFormat="1" applyBorder="1"/>
    <xf numFmtId="14" fontId="0" fillId="0" borderId="24" xfId="0" applyNumberFormat="1" applyBorder="1"/>
    <xf numFmtId="0" fontId="0" fillId="0" borderId="10" xfId="0" applyBorder="1"/>
    <xf numFmtId="10" fontId="0" fillId="0" borderId="17" xfId="0" applyNumberFormat="1" applyBorder="1"/>
    <xf numFmtId="0" fontId="0" fillId="0" borderId="14" xfId="0" applyBorder="1"/>
    <xf numFmtId="168" fontId="0" fillId="0" borderId="17" xfId="3" applyNumberFormat="1" applyFont="1" applyBorder="1"/>
    <xf numFmtId="168" fontId="0" fillId="0" borderId="14" xfId="3" applyNumberFormat="1" applyFont="1" applyBorder="1"/>
    <xf numFmtId="10" fontId="0" fillId="0" borderId="3" xfId="0" applyNumberFormat="1" applyBorder="1"/>
    <xf numFmtId="10" fontId="0" fillId="0" borderId="1" xfId="3" applyNumberFormat="1" applyFont="1" applyBorder="1"/>
    <xf numFmtId="10" fontId="0" fillId="0" borderId="8" xfId="3" applyNumberFormat="1" applyFont="1" applyBorder="1"/>
    <xf numFmtId="10" fontId="0" fillId="0" borderId="9" xfId="3" applyNumberFormat="1" applyFont="1" applyBorder="1"/>
    <xf numFmtId="10" fontId="0" fillId="0" borderId="0" xfId="0" applyNumberFormat="1"/>
    <xf numFmtId="0" fontId="0" fillId="5" borderId="31" xfId="0" applyFill="1" applyBorder="1"/>
    <xf numFmtId="166" fontId="0" fillId="0" borderId="3" xfId="0" applyNumberFormat="1" applyBorder="1"/>
    <xf numFmtId="10" fontId="0" fillId="0" borderId="23" xfId="3" applyNumberFormat="1" applyFont="1" applyBorder="1"/>
    <xf numFmtId="166" fontId="0" fillId="0" borderId="8" xfId="0" applyNumberFormat="1" applyBorder="1"/>
    <xf numFmtId="169" fontId="0" fillId="4" borderId="1" xfId="0" applyNumberFormat="1" applyFill="1" applyBorder="1"/>
    <xf numFmtId="170" fontId="0" fillId="0" borderId="0" xfId="0" applyNumberFormat="1"/>
    <xf numFmtId="2" fontId="0" fillId="0" borderId="0" xfId="0" applyNumberFormat="1"/>
    <xf numFmtId="0" fontId="0" fillId="6" borderId="0" xfId="0" applyFill="1"/>
    <xf numFmtId="166" fontId="0" fillId="5" borderId="24" xfId="0" applyNumberFormat="1" applyFill="1" applyBorder="1"/>
    <xf numFmtId="0" fontId="0" fillId="6" borderId="8" xfId="0" applyFill="1" applyBorder="1"/>
    <xf numFmtId="0" fontId="0" fillId="0" borderId="33" xfId="0" applyBorder="1"/>
    <xf numFmtId="0" fontId="0" fillId="0" borderId="34" xfId="0" applyBorder="1"/>
    <xf numFmtId="0" fontId="0" fillId="2" borderId="0" xfId="0" applyFill="1"/>
    <xf numFmtId="10" fontId="0" fillId="0" borderId="26" xfId="0" applyNumberFormat="1" applyBorder="1"/>
    <xf numFmtId="0" fontId="0" fillId="0" borderId="26" xfId="0" applyBorder="1"/>
    <xf numFmtId="0" fontId="0" fillId="0" borderId="35" xfId="0" applyBorder="1"/>
    <xf numFmtId="0" fontId="0" fillId="6" borderId="3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1E8FE"/>
      <color rgb="FFEBD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A9DD-AA77-4DB1-8A1B-F6EAAC612DD8}">
  <dimension ref="C3:Q33"/>
  <sheetViews>
    <sheetView tabSelected="1" zoomScale="76" workbookViewId="0">
      <selection activeCell="R11" sqref="R11"/>
    </sheetView>
  </sheetViews>
  <sheetFormatPr baseColWidth="10" defaultRowHeight="14.5" x14ac:dyDescent="0.35"/>
  <cols>
    <col min="3" max="3" width="11.7265625" bestFit="1" customWidth="1"/>
    <col min="4" max="5" width="12.453125" bestFit="1" customWidth="1"/>
    <col min="6" max="6" width="11.6328125" customWidth="1"/>
    <col min="10" max="10" width="12.453125" bestFit="1" customWidth="1"/>
    <col min="11" max="11" width="12.08984375" bestFit="1" customWidth="1"/>
    <col min="12" max="12" width="15.81640625" bestFit="1" customWidth="1"/>
    <col min="13" max="13" width="13.6328125" bestFit="1" customWidth="1"/>
    <col min="14" max="14" width="15.1796875" bestFit="1" customWidth="1"/>
    <col min="15" max="15" width="14.6328125" customWidth="1"/>
    <col min="17" max="17" width="11.26953125" bestFit="1" customWidth="1"/>
  </cols>
  <sheetData>
    <row r="3" spans="3:14" ht="15" thickBot="1" x14ac:dyDescent="0.4"/>
    <row r="4" spans="3:14" ht="15" thickBot="1" x14ac:dyDescent="0.4">
      <c r="C4" s="1" t="s">
        <v>8</v>
      </c>
      <c r="D4" s="8"/>
      <c r="E4" s="2">
        <v>1000</v>
      </c>
      <c r="H4" s="1" t="s">
        <v>18</v>
      </c>
      <c r="I4" s="47">
        <f>+G20</f>
        <v>43709</v>
      </c>
    </row>
    <row r="5" spans="3:14" ht="15" thickBot="1" x14ac:dyDescent="0.4">
      <c r="C5" s="1" t="s">
        <v>0</v>
      </c>
      <c r="D5" s="56">
        <v>6.5000000000000002E-2</v>
      </c>
      <c r="E5" s="2"/>
      <c r="G5" s="24" t="s">
        <v>27</v>
      </c>
      <c r="H5" s="10" t="s">
        <v>6</v>
      </c>
      <c r="I5" s="11" t="s">
        <v>7</v>
      </c>
      <c r="J5" s="11" t="s">
        <v>8</v>
      </c>
      <c r="K5" s="11" t="s">
        <v>9</v>
      </c>
      <c r="L5" s="16" t="s">
        <v>14</v>
      </c>
      <c r="M5" s="16" t="s">
        <v>15</v>
      </c>
      <c r="N5" s="48" t="s">
        <v>26</v>
      </c>
    </row>
    <row r="6" spans="3:14" ht="15" thickTop="1" x14ac:dyDescent="0.35">
      <c r="C6" s="3" t="s">
        <v>1</v>
      </c>
      <c r="D6" s="60">
        <f>D5</f>
        <v>6.5000000000000002E-2</v>
      </c>
      <c r="E6" s="19">
        <f>+D6+0.7%</f>
        <v>7.2000000000000008E-2</v>
      </c>
      <c r="F6" s="20"/>
      <c r="G6" s="49">
        <v>43709</v>
      </c>
      <c r="H6" s="3">
        <v>0</v>
      </c>
      <c r="L6" s="23"/>
      <c r="M6" s="23"/>
      <c r="N6" s="71"/>
    </row>
    <row r="7" spans="3:14" x14ac:dyDescent="0.35">
      <c r="C7" s="3" t="s">
        <v>2</v>
      </c>
      <c r="D7" t="s">
        <v>3</v>
      </c>
      <c r="E7" s="4"/>
      <c r="G7" s="49">
        <v>43891</v>
      </c>
      <c r="H7" s="3">
        <v>1</v>
      </c>
      <c r="I7">
        <f>+$D$5/2*$E$4</f>
        <v>32.5</v>
      </c>
      <c r="K7">
        <f>+I7+J7</f>
        <v>32.5</v>
      </c>
      <c r="L7" s="46">
        <f>+(1+$D$6/$E$8)^(H7)</f>
        <v>1.0325</v>
      </c>
      <c r="M7" s="29">
        <f>+K7/L7</f>
        <v>31.476997578692494</v>
      </c>
      <c r="N7" s="72">
        <f>+(K7)/((1+$D$6)^((G7-$G$6)/$D$9))</f>
        <v>31.495319787027885</v>
      </c>
    </row>
    <row r="8" spans="3:14" ht="15" thickBot="1" x14ac:dyDescent="0.4">
      <c r="C8" s="5" t="s">
        <v>4</v>
      </c>
      <c r="D8" s="6" t="s">
        <v>5</v>
      </c>
      <c r="E8" s="7">
        <v>2</v>
      </c>
      <c r="G8" s="49">
        <v>44075</v>
      </c>
      <c r="H8" s="13">
        <v>2</v>
      </c>
      <c r="I8" s="73">
        <f>+$D$5/2*$E$4</f>
        <v>32.5</v>
      </c>
      <c r="J8" s="73"/>
      <c r="K8" s="73">
        <f t="shared" ref="K8:K10" si="0">+I8+J8</f>
        <v>32.5</v>
      </c>
      <c r="L8" s="46">
        <f>+(1+$D$6/$E$8)^(H8)</f>
        <v>1.0660562499999999</v>
      </c>
      <c r="M8" s="29">
        <f t="shared" ref="M8:M9" si="1">+K8/L8</f>
        <v>30.486196202123484</v>
      </c>
      <c r="N8" s="72">
        <f>+(K8)/((1+$D$6)^((G8-$G$6)/$D$9))</f>
        <v>30.511167266262316</v>
      </c>
    </row>
    <row r="9" spans="3:14" ht="15" thickBot="1" x14ac:dyDescent="0.4">
      <c r="C9" s="5" t="s">
        <v>10</v>
      </c>
      <c r="D9" s="6">
        <v>365</v>
      </c>
      <c r="E9" s="7"/>
      <c r="G9" s="49">
        <v>44256</v>
      </c>
      <c r="H9" s="3">
        <v>3</v>
      </c>
      <c r="I9">
        <f>+$D$5/2*$E$4</f>
        <v>32.5</v>
      </c>
      <c r="K9">
        <f t="shared" si="0"/>
        <v>32.5</v>
      </c>
      <c r="L9" s="46">
        <f>+(1+$D$6/$E$8)^(H9)</f>
        <v>1.1007030781249998</v>
      </c>
      <c r="M9" s="29">
        <f t="shared" si="1"/>
        <v>29.526582278085701</v>
      </c>
      <c r="N9" s="72">
        <f>+(K9)/((1+$D$6)^((G9-$G$6)/$D$9))</f>
        <v>29.573070222561402</v>
      </c>
    </row>
    <row r="10" spans="3:14" ht="15" thickBot="1" x14ac:dyDescent="0.4">
      <c r="C10" s="14" t="s">
        <v>31</v>
      </c>
      <c r="D10" s="52">
        <v>6.5600000000000006E-2</v>
      </c>
      <c r="E10" s="53"/>
      <c r="G10" s="50">
        <v>44440</v>
      </c>
      <c r="H10" s="5">
        <v>4</v>
      </c>
      <c r="I10" s="6">
        <f>+$D$5/2*$E$4</f>
        <v>32.5</v>
      </c>
      <c r="J10" s="6">
        <f>+E4</f>
        <v>1000</v>
      </c>
      <c r="K10" s="6">
        <f t="shared" si="0"/>
        <v>1032.5</v>
      </c>
      <c r="L10" s="74">
        <f>+(1+$D$6/$E$8)^(H10)</f>
        <v>1.1364759281640624</v>
      </c>
      <c r="M10" s="75">
        <f>+K10/L10</f>
        <v>908.51022394109839</v>
      </c>
      <c r="N10" s="76">
        <f>+(K10)/((1+$D$6)^((G10-$G$6)/$D$9))</f>
        <v>910.15616330562193</v>
      </c>
    </row>
    <row r="11" spans="3:14" ht="15" thickBot="1" x14ac:dyDescent="0.4"/>
    <row r="12" spans="3:14" x14ac:dyDescent="0.35">
      <c r="I12" s="1"/>
      <c r="J12" s="8"/>
      <c r="K12" s="8"/>
      <c r="L12" s="8" t="s">
        <v>29</v>
      </c>
      <c r="M12" s="8">
        <f>+SUM(M7:M10)</f>
        <v>1000.0000000000001</v>
      </c>
      <c r="N12" s="2">
        <f>+SUM(N7:N10)</f>
        <v>1001.7357205814735</v>
      </c>
    </row>
    <row r="13" spans="3:14" ht="15" thickBot="1" x14ac:dyDescent="0.4">
      <c r="I13" s="5" t="s">
        <v>28</v>
      </c>
      <c r="J13" s="6"/>
      <c r="K13" s="6"/>
      <c r="L13" s="6" t="s">
        <v>11</v>
      </c>
      <c r="M13" s="58">
        <f>+M12/$E$4</f>
        <v>1.0000000000000002</v>
      </c>
      <c r="N13" s="59">
        <f>+N12/$E$4</f>
        <v>1.0017357205814734</v>
      </c>
    </row>
    <row r="16" spans="3:14" ht="15" thickBot="1" x14ac:dyDescent="0.4"/>
    <row r="17" spans="3:17" ht="15" thickBot="1" x14ac:dyDescent="0.4">
      <c r="G17" s="1"/>
      <c r="H17" s="12">
        <f>+G22</f>
        <v>44075</v>
      </c>
      <c r="I17" s="8"/>
      <c r="J17" s="8"/>
      <c r="K17" s="8"/>
      <c r="L17" s="8"/>
      <c r="M17" s="8"/>
      <c r="N17" s="8"/>
      <c r="O17" s="2"/>
    </row>
    <row r="18" spans="3:17" ht="15" thickBot="1" x14ac:dyDescent="0.4">
      <c r="G18" s="3"/>
      <c r="H18" s="1" t="s">
        <v>17</v>
      </c>
      <c r="I18" s="8"/>
      <c r="J18" s="8"/>
      <c r="K18" s="8"/>
      <c r="L18" s="14"/>
      <c r="M18" s="18" t="s">
        <v>14</v>
      </c>
      <c r="N18" s="22" t="s">
        <v>26</v>
      </c>
      <c r="O18" s="27" t="s">
        <v>21</v>
      </c>
    </row>
    <row r="19" spans="3:17" ht="15" thickBot="1" x14ac:dyDescent="0.4">
      <c r="C19" s="24" t="s">
        <v>8</v>
      </c>
      <c r="D19" s="62">
        <f>+N25</f>
        <v>1026.1192669970737</v>
      </c>
      <c r="E19" s="24"/>
      <c r="G19" s="24" t="s">
        <v>27</v>
      </c>
      <c r="H19" s="10" t="s">
        <v>6</v>
      </c>
      <c r="I19" s="11" t="s">
        <v>7</v>
      </c>
      <c r="J19" s="11" t="s">
        <v>8</v>
      </c>
      <c r="K19" s="11" t="s">
        <v>9</v>
      </c>
      <c r="L19" s="10" t="s">
        <v>16</v>
      </c>
      <c r="M19" s="16" t="s">
        <v>12</v>
      </c>
      <c r="N19" s="11" t="s">
        <v>13</v>
      </c>
      <c r="O19" s="51"/>
    </row>
    <row r="20" spans="3:17" ht="15" thickTop="1" x14ac:dyDescent="0.35">
      <c r="C20" s="25" t="s">
        <v>0</v>
      </c>
      <c r="D20" s="21">
        <v>3.1E-2</v>
      </c>
      <c r="E20" s="25"/>
      <c r="G20" s="49">
        <v>43709</v>
      </c>
      <c r="H20" s="3">
        <v>0</v>
      </c>
      <c r="L20" s="15"/>
      <c r="M20" s="17"/>
      <c r="O20" s="25"/>
    </row>
    <row r="21" spans="3:17" x14ac:dyDescent="0.35">
      <c r="C21" s="25" t="s">
        <v>1</v>
      </c>
      <c r="D21" s="21">
        <v>3.15E-2</v>
      </c>
      <c r="E21" s="63">
        <f>+D21+0.7%</f>
        <v>3.85E-2</v>
      </c>
      <c r="G21" s="49">
        <v>43891</v>
      </c>
      <c r="H21" s="3">
        <v>1</v>
      </c>
      <c r="I21">
        <f>+$I$7</f>
        <v>32.5</v>
      </c>
      <c r="K21">
        <f>+I21+J21</f>
        <v>32.5</v>
      </c>
      <c r="L21" s="15"/>
      <c r="M21" s="17"/>
      <c r="O21" s="25"/>
    </row>
    <row r="22" spans="3:17" ht="15" thickBot="1" x14ac:dyDescent="0.4">
      <c r="C22" s="25" t="s">
        <v>2</v>
      </c>
      <c r="D22" t="s">
        <v>20</v>
      </c>
      <c r="E22" s="25"/>
      <c r="G22" s="49">
        <v>44075</v>
      </c>
      <c r="H22" s="3">
        <v>2</v>
      </c>
      <c r="I22">
        <f t="shared" ref="I22:I24" si="2">+$I$7</f>
        <v>32.5</v>
      </c>
      <c r="K22">
        <f t="shared" ref="K22:K24" si="3">+I22+J22</f>
        <v>32.5</v>
      </c>
      <c r="L22" s="15"/>
      <c r="M22" s="17"/>
      <c r="O22" s="25"/>
    </row>
    <row r="23" spans="3:17" ht="15" thickBot="1" x14ac:dyDescent="0.4">
      <c r="C23" s="25" t="s">
        <v>4</v>
      </c>
      <c r="D23" t="s">
        <v>5</v>
      </c>
      <c r="E23" s="25">
        <v>2</v>
      </c>
      <c r="G23" s="49">
        <v>44256</v>
      </c>
      <c r="H23" s="30">
        <v>3</v>
      </c>
      <c r="I23" s="31">
        <f t="shared" si="2"/>
        <v>32.5</v>
      </c>
      <c r="J23" s="31"/>
      <c r="K23" s="31">
        <f t="shared" si="3"/>
        <v>32.5</v>
      </c>
      <c r="L23" s="32">
        <f>+G23-$H$17</f>
        <v>181</v>
      </c>
      <c r="M23" s="33">
        <f>+(1+$E$21)^(L23/$D$9)</f>
        <v>1.0189100043494885</v>
      </c>
      <c r="N23" s="41">
        <f>+K23/M23</f>
        <v>31.896830791007154</v>
      </c>
      <c r="O23" s="61">
        <f>+K23/((1+$E$21/2)^(H23-2))</f>
        <v>31.886190826588177</v>
      </c>
    </row>
    <row r="24" spans="3:17" ht="15" thickBot="1" x14ac:dyDescent="0.4">
      <c r="C24" s="26" t="s">
        <v>10</v>
      </c>
      <c r="D24" s="6">
        <v>360</v>
      </c>
      <c r="E24" s="26"/>
      <c r="G24" s="50">
        <v>44440</v>
      </c>
      <c r="H24" s="34">
        <v>4</v>
      </c>
      <c r="I24" s="35">
        <f t="shared" si="2"/>
        <v>32.5</v>
      </c>
      <c r="J24" s="35">
        <f>+E4</f>
        <v>1000</v>
      </c>
      <c r="K24" s="35">
        <f t="shared" si="3"/>
        <v>1032.5</v>
      </c>
      <c r="L24" s="36">
        <f>+G24-$H$17</f>
        <v>365</v>
      </c>
      <c r="M24" s="28">
        <f>+(1+$E$21)^(L24/$D$9)</f>
        <v>1.0385</v>
      </c>
      <c r="N24" s="42">
        <f>+K24/M24</f>
        <v>994.2224362060665</v>
      </c>
      <c r="O24" s="61">
        <f>+K24/((1+$E$21/2)^(H24-2))</f>
        <v>993.86779957969998</v>
      </c>
    </row>
    <row r="25" spans="3:17" ht="15" thickBot="1" x14ac:dyDescent="0.4">
      <c r="G25" s="3"/>
      <c r="J25" s="68" t="s">
        <v>22</v>
      </c>
      <c r="K25" s="77">
        <f>+SUM(K23:K24)</f>
        <v>1065</v>
      </c>
      <c r="M25" s="5" t="s">
        <v>30</v>
      </c>
      <c r="N25" s="43">
        <f>+N24+N23</f>
        <v>1026.1192669970737</v>
      </c>
      <c r="O25" s="69">
        <f>+O24+O23</f>
        <v>1025.7539904062883</v>
      </c>
      <c r="Q25" s="9"/>
    </row>
    <row r="26" spans="3:17" ht="15" thickBot="1" x14ac:dyDescent="0.4">
      <c r="G26" s="5"/>
      <c r="H26" s="6"/>
      <c r="I26" s="6"/>
      <c r="J26" s="70" t="s">
        <v>23</v>
      </c>
      <c r="K26" s="78"/>
      <c r="L26" s="6"/>
      <c r="M26" s="14" t="s">
        <v>11</v>
      </c>
      <c r="N26" s="54">
        <f>+N25/($E$4*((1+$D$10)^(($H$17-$G$22)/$D$9)))</f>
        <v>1.0261192669970738</v>
      </c>
      <c r="O26" s="55">
        <f>+O25/($E$4*((1+$D$10)^(($H$17-$G$22)/$D$9)))</f>
        <v>1.0257539904062882</v>
      </c>
      <c r="Q26" s="39"/>
    </row>
    <row r="27" spans="3:17" ht="15" thickBot="1" x14ac:dyDescent="0.4">
      <c r="F27" s="9"/>
    </row>
    <row r="28" spans="3:17" x14ac:dyDescent="0.35">
      <c r="H28" s="1" t="s">
        <v>6</v>
      </c>
      <c r="I28" s="8" t="s">
        <v>7</v>
      </c>
      <c r="J28" s="8" t="s">
        <v>8</v>
      </c>
      <c r="K28" s="8" t="s">
        <v>9</v>
      </c>
      <c r="L28" s="2" t="s">
        <v>19</v>
      </c>
      <c r="M28" s="2"/>
    </row>
    <row r="29" spans="3:17" x14ac:dyDescent="0.35">
      <c r="H29" s="3">
        <v>0</v>
      </c>
      <c r="L29" s="4"/>
      <c r="M29" s="4"/>
    </row>
    <row r="30" spans="3:17" x14ac:dyDescent="0.35">
      <c r="H30" s="3">
        <v>1</v>
      </c>
      <c r="I30" s="66">
        <f>+$J$31*($D$20/$E$23)</f>
        <v>15.899186851297468</v>
      </c>
      <c r="K30" s="67">
        <f>+J30+I30</f>
        <v>15.899186851297468</v>
      </c>
      <c r="L30" s="37">
        <f>+K30/((1+$D$21/$E$23)^(H30))</f>
        <v>15.652657495739572</v>
      </c>
      <c r="M30" s="4"/>
    </row>
    <row r="31" spans="3:17" ht="15" thickBot="1" x14ac:dyDescent="0.4">
      <c r="H31" s="5">
        <v>2</v>
      </c>
      <c r="I31" s="44">
        <f>+$J$31*($D$20/$E$23)</f>
        <v>15.899186851297468</v>
      </c>
      <c r="J31" s="64">
        <f>+O25</f>
        <v>1025.7539904062883</v>
      </c>
      <c r="K31" s="44">
        <f>+J31+I31</f>
        <v>1041.6531772575856</v>
      </c>
      <c r="L31" s="38">
        <f>+K31/((1+$D$21/$E$23)^(H31))</f>
        <v>1009.6003230997933</v>
      </c>
      <c r="M31" s="4"/>
    </row>
    <row r="32" spans="3:17" ht="15" thickBot="1" x14ac:dyDescent="0.4">
      <c r="H32" s="3"/>
      <c r="K32" s="45">
        <f>+SUM(K30:K31)</f>
        <v>1057.552364108883</v>
      </c>
      <c r="L32" s="65">
        <f>+SUM(L30:L31)</f>
        <v>1025.2529805955328</v>
      </c>
      <c r="M32" s="57">
        <f>+L32/$O$25</f>
        <v>0.99951156923059392</v>
      </c>
    </row>
    <row r="33" spans="8:13" ht="15" thickBot="1" x14ac:dyDescent="0.4">
      <c r="H33" s="5"/>
      <c r="I33" s="6"/>
      <c r="J33" s="6"/>
      <c r="K33" s="5" t="s">
        <v>25</v>
      </c>
      <c r="L33" s="40" t="s">
        <v>24</v>
      </c>
      <c r="M33" s="26" t="s">
        <v>11</v>
      </c>
    </row>
  </sheetData>
  <mergeCells count="1">
    <mergeCell ref="K25:K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Salazar Garay</dc:creator>
  <cp:lastModifiedBy>Lucas Salazar Garay</cp:lastModifiedBy>
  <dcterms:created xsi:type="dcterms:W3CDTF">2025-03-30T14:15:07Z</dcterms:created>
  <dcterms:modified xsi:type="dcterms:W3CDTF">2025-03-31T03:29:39Z</dcterms:modified>
</cp:coreProperties>
</file>