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900" windowWidth="25600" windowHeight="13120" tabRatio="500"/>
  </bookViews>
  <sheets>
    <sheet name="main" sheetId="1" r:id="rId1"/>
    <sheet name="CDIAC" sheetId="2" r:id="rId2"/>
    <sheet name="EIA" sheetId="4" r:id="rId3"/>
    <sheet name="conversion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5" l="1"/>
  <c r="B4" i="2"/>
  <c r="B6" i="2"/>
  <c r="B5" i="2"/>
  <c r="B3" i="2"/>
  <c r="D9" i="1"/>
  <c r="D8" i="4"/>
  <c r="B13" i="5"/>
  <c r="C13" i="5"/>
  <c r="J8" i="4"/>
  <c r="C9" i="1"/>
  <c r="B32" i="4"/>
  <c r="D32" i="4"/>
  <c r="B20" i="5"/>
  <c r="J32" i="4"/>
  <c r="D19" i="4"/>
  <c r="B12" i="5"/>
  <c r="C12" i="5"/>
  <c r="J19" i="4"/>
  <c r="D15" i="4"/>
  <c r="J15" i="4"/>
  <c r="D12" i="4"/>
  <c r="B14" i="5"/>
  <c r="C14" i="5"/>
  <c r="J12" i="4"/>
  <c r="D11" i="1"/>
  <c r="D10" i="1"/>
  <c r="D8" i="1"/>
  <c r="C11" i="1"/>
  <c r="C10" i="1"/>
  <c r="B23" i="4"/>
  <c r="D23" i="4"/>
  <c r="C8" i="1"/>
  <c r="E6" i="2"/>
  <c r="C6" i="1"/>
  <c r="D7" i="1"/>
  <c r="C7" i="1"/>
  <c r="E3" i="2"/>
  <c r="C3" i="1"/>
  <c r="D3" i="1"/>
  <c r="E4" i="2"/>
  <c r="C4" i="1"/>
  <c r="D4" i="1"/>
  <c r="E5" i="2"/>
  <c r="C5" i="1"/>
  <c r="D5" i="1"/>
  <c r="D6" i="1"/>
  <c r="D2" i="1"/>
  <c r="E2" i="2"/>
  <c r="C2" i="1"/>
  <c r="B3" i="5"/>
  <c r="B2" i="5"/>
  <c r="G37" i="4"/>
  <c r="B37" i="4"/>
  <c r="D37" i="4"/>
  <c r="G36" i="4"/>
  <c r="D36" i="4"/>
  <c r="G35" i="4"/>
  <c r="D35" i="4"/>
  <c r="G34" i="4"/>
  <c r="G32" i="4"/>
  <c r="G31" i="4"/>
  <c r="D31" i="4"/>
  <c r="D30" i="4"/>
  <c r="D29" i="4"/>
  <c r="D28" i="4"/>
  <c r="G26" i="4"/>
  <c r="B26" i="4"/>
  <c r="D26" i="4"/>
  <c r="G25" i="4"/>
  <c r="B25" i="4"/>
  <c r="D25" i="4"/>
  <c r="G24" i="4"/>
  <c r="B24" i="4"/>
  <c r="D24" i="4"/>
  <c r="G23" i="4"/>
  <c r="G22" i="4"/>
  <c r="B22" i="4"/>
  <c r="D22" i="4"/>
  <c r="G20" i="4"/>
  <c r="B20" i="4"/>
  <c r="D20" i="4"/>
  <c r="G19" i="4"/>
  <c r="G18" i="4"/>
  <c r="D18" i="4"/>
  <c r="D16" i="4"/>
  <c r="G15" i="4"/>
  <c r="G13" i="4"/>
  <c r="D13" i="4"/>
  <c r="G11" i="4"/>
  <c r="D11" i="4"/>
  <c r="G10" i="4"/>
  <c r="D10" i="4"/>
  <c r="G9" i="4"/>
  <c r="D9" i="4"/>
  <c r="G8" i="4"/>
  <c r="G7" i="4"/>
  <c r="D7" i="4"/>
  <c r="G6" i="4"/>
  <c r="D6" i="4"/>
  <c r="G5" i="4"/>
  <c r="D5" i="4"/>
</calcChain>
</file>

<file path=xl/sharedStrings.xml><?xml version="1.0" encoding="utf-8"?>
<sst xmlns="http://schemas.openxmlformats.org/spreadsheetml/2006/main" count="189" uniqueCount="99">
  <si>
    <t>cdiac_fuel</t>
  </si>
  <si>
    <t>units</t>
  </si>
  <si>
    <t>EF</t>
  </si>
  <si>
    <t>solid_fuels</t>
  </si>
  <si>
    <t>liquid_fuels</t>
  </si>
  <si>
    <t>gas_fuels</t>
  </si>
  <si>
    <t>bunker_fuels</t>
  </si>
  <si>
    <t>http://cdiac.ornl.gov/epubs/ndp/ndp030/tables/table4.htm</t>
  </si>
  <si>
    <t>gas_flaring</t>
  </si>
  <si>
    <t>ceds_fuel</t>
  </si>
  <si>
    <t>src</t>
  </si>
  <si>
    <t>coal_coke</t>
  </si>
  <si>
    <t>https://www.eia.gov/environment/emissions/co2_vol_mass.cfm</t>
  </si>
  <si>
    <t>t C/tce</t>
  </si>
  <si>
    <t>original EF</t>
  </si>
  <si>
    <t>original units</t>
  </si>
  <si>
    <t>kJ/ktce</t>
  </si>
  <si>
    <t>t C/t</t>
  </si>
  <si>
    <t>10^6 t C/10^15 J</t>
  </si>
  <si>
    <t>10^6 t C/10^12 J</t>
  </si>
  <si>
    <t>Carbon Dioxide Emissions Coefficients by Fuel</t>
  </si>
  <si>
    <t xml:space="preserve">Pounds CO2 </t>
  </si>
  <si>
    <t>Kilograms CO2</t>
  </si>
  <si>
    <t>Pounds CO2</t>
  </si>
  <si>
    <t xml:space="preserve">Carbon Dioxide (CO2) Factors: </t>
  </si>
  <si>
    <t>Per Unit of Volume or Mass</t>
  </si>
  <si>
    <t>Per Million Btu</t>
  </si>
  <si>
    <t>For homes and businesses</t>
  </si>
  <si>
    <t>Propane</t>
  </si>
  <si>
    <t>gallon</t>
  </si>
  <si>
    <t>Butane</t>
  </si>
  <si>
    <t>Butane/Propane Mix</t>
  </si>
  <si>
    <t>Home Heating and Diesel Fuel (Distillate)</t>
  </si>
  <si>
    <t>Kerosene</t>
  </si>
  <si>
    <t>Coal (All types)</t>
  </si>
  <si>
    <t>short ton</t>
  </si>
  <si>
    <t>Natural Gas</t>
  </si>
  <si>
    <t>thousand cubic feet</t>
  </si>
  <si>
    <t>Gasoline</t>
  </si>
  <si>
    <t>Residual Heating Fuel (Businesses only)</t>
  </si>
  <si>
    <t xml:space="preserve">Other transportation fuels </t>
  </si>
  <si>
    <t>Jet Fuel</t>
  </si>
  <si>
    <t>Aviation Gas</t>
  </si>
  <si>
    <t>Industrial fuels and others not listed above</t>
  </si>
  <si>
    <t>Flared natural gas</t>
  </si>
  <si>
    <t>Petroleum coke</t>
  </si>
  <si>
    <t>Other petroleum &amp; miscellaneous</t>
  </si>
  <si>
    <t>Nonfuel uses</t>
  </si>
  <si>
    <t>Asphalt and Road Oil</t>
  </si>
  <si>
    <t>Lubricants</t>
  </si>
  <si>
    <t>Petrochemical Feedstocks</t>
  </si>
  <si>
    <t>Special Naphthas (solvents)</t>
  </si>
  <si>
    <t xml:space="preserve">Waxes </t>
  </si>
  <si>
    <t>Coals by type</t>
  </si>
  <si>
    <t>Anthractie</t>
  </si>
  <si>
    <t>Bituminous</t>
  </si>
  <si>
    <t>Subbituminous</t>
  </si>
  <si>
    <t>Lignite</t>
  </si>
  <si>
    <t>Coke</t>
  </si>
  <si>
    <t>Other fuels</t>
  </si>
  <si>
    <t>Geothermal (average all generation)</t>
  </si>
  <si>
    <t>NA</t>
  </si>
  <si>
    <t>Municiple Solid Waste</t>
  </si>
  <si>
    <t>Tire-derived fuel</t>
  </si>
  <si>
    <t>Waste oil</t>
  </si>
  <si>
    <t>barrel</t>
  </si>
  <si>
    <t>Source: U.S. Energy Information Administration estimates.</t>
  </si>
  <si>
    <t>Note: To convert to carbon equivalents multiply by 12/44.</t>
  </si>
  <si>
    <t>Coefficients may vary slightly with estimation method and across time.</t>
  </si>
  <si>
    <t>kJ/Mbtu</t>
  </si>
  <si>
    <t>kg/kt</t>
  </si>
  <si>
    <t>kJ/TJ</t>
  </si>
  <si>
    <t>t/short ton</t>
  </si>
  <si>
    <t>CO2/C</t>
  </si>
  <si>
    <t>kt CO2/kJ</t>
  </si>
  <si>
    <t>kt CO2/kt</t>
  </si>
  <si>
    <t>kt CO2/TJ</t>
  </si>
  <si>
    <t>heavy_oil</t>
  </si>
  <si>
    <t>diesel_oil</t>
  </si>
  <si>
    <t>light_oil</t>
  </si>
  <si>
    <t>diesel_oil (aviation)</t>
  </si>
  <si>
    <t>diesel</t>
  </si>
  <si>
    <t>diesel aviation</t>
  </si>
  <si>
    <t>coal coke</t>
  </si>
  <si>
    <t>heavy oil</t>
  </si>
  <si>
    <t>light oil</t>
  </si>
  <si>
    <t>Source: https://www.energyinst.org/_uploads/documents/DSI06.pdf</t>
  </si>
  <si>
    <t>kg/m3</t>
  </si>
  <si>
    <t>crude oil</t>
  </si>
  <si>
    <t>Petroleum product densities (kg/m3)</t>
  </si>
  <si>
    <t>diesel oil</t>
  </si>
  <si>
    <t>motor gasoline</t>
  </si>
  <si>
    <t>m3/gallon</t>
  </si>
  <si>
    <t>kg/gallon</t>
  </si>
  <si>
    <t>CDIAC</t>
  </si>
  <si>
    <t>EIA</t>
  </si>
  <si>
    <t>Fraction oxidized</t>
  </si>
  <si>
    <t>personal correspondence, also http://cdiac.ornl.gov/pns/convert.html</t>
  </si>
  <si>
    <t>Source: http://cdiac.ornl.gov/epubs/ndp/ndp030/tables/table4.htm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</si>
</sst>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sz val="11"/>
      <color rgb="FFFF0000"/>
      <name val="Calibri"/>
      <scheme val="minor"/>
    </font>
    <font>
      <sz val="12"/>
      <color theme="1"/>
      <name val="Calibri"/>
    </font>
    <font>
      <sz val="9"/>
      <color rgb="FFFF0000"/>
      <name val="Calibri"/>
      <scheme val="minor"/>
    </font>
    <font>
      <sz val="9"/>
      <name val="Calibri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dashed">
        <color theme="0" tint="-0.24994659260841701"/>
      </top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/>
    <xf numFmtId="0" fontId="6" fillId="0" borderId="2" applyNumberFormat="0" applyFont="0" applyProtection="0">
      <alignment wrapText="1"/>
    </xf>
    <xf numFmtId="0" fontId="7" fillId="0" borderId="3" applyNumberFormat="0" applyProtection="0">
      <alignment wrapText="1"/>
    </xf>
    <xf numFmtId="0" fontId="7" fillId="0" borderId="1" applyNumberFormat="0" applyProtection="0">
      <alignment wrapText="1"/>
    </xf>
    <xf numFmtId="0" fontId="6" fillId="0" borderId="5" applyNumberFormat="0" applyProtection="0">
      <alignment vertical="top" wrapText="1"/>
    </xf>
    <xf numFmtId="0" fontId="8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  <xf numFmtId="0" fontId="6" fillId="0" borderId="0" applyNumberFormat="0" applyProtection="0">
      <alignment vertical="top" wrapText="1"/>
    </xf>
    <xf numFmtId="0" fontId="7" fillId="0" borderId="6" applyNumberFormat="0" applyProtection="0">
      <alignment horizontal="left" wrapText="1"/>
    </xf>
    <xf numFmtId="0" fontId="6" fillId="0" borderId="7" applyNumberFormat="0" applyFont="0" applyFill="0" applyProtection="0">
      <alignment wrapText="1"/>
    </xf>
    <xf numFmtId="0" fontId="7" fillId="0" borderId="8" applyNumberFormat="0" applyFill="0" applyProtection="0">
      <alignment wrapText="1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11" fontId="0" fillId="0" borderId="0" xfId="0" applyNumberFormat="1"/>
    <xf numFmtId="0" fontId="1" fillId="0" borderId="0" xfId="0" applyFont="1"/>
    <xf numFmtId="0" fontId="5" fillId="0" borderId="0" xfId="24"/>
    <xf numFmtId="0" fontId="6" fillId="0" borderId="0" xfId="25" applyBorder="1">
      <alignment wrapText="1"/>
    </xf>
    <xf numFmtId="0" fontId="7" fillId="0" borderId="3" xfId="26" applyAlignment="1">
      <alignment horizontal="right" wrapText="1"/>
    </xf>
    <xf numFmtId="2" fontId="7" fillId="0" borderId="3" xfId="26" applyNumberFormat="1" applyAlignment="1">
      <alignment horizontal="right" wrapText="1"/>
    </xf>
    <xf numFmtId="0" fontId="7" fillId="0" borderId="1" xfId="27">
      <alignment wrapText="1"/>
    </xf>
    <xf numFmtId="0" fontId="7" fillId="0" borderId="1" xfId="27" applyAlignment="1">
      <alignment horizontal="right" wrapText="1"/>
    </xf>
    <xf numFmtId="2" fontId="7" fillId="0" borderId="1" xfId="27" applyNumberFormat="1" applyAlignment="1">
      <alignment horizontal="right" wrapText="1"/>
    </xf>
    <xf numFmtId="4" fontId="6" fillId="0" borderId="2" xfId="25" applyNumberFormat="1">
      <alignment wrapText="1"/>
    </xf>
    <xf numFmtId="4" fontId="6" fillId="0" borderId="0" xfId="25" applyNumberFormat="1" applyBorder="1">
      <alignment wrapText="1"/>
    </xf>
    <xf numFmtId="4" fontId="7" fillId="0" borderId="0" xfId="25" applyNumberFormat="1" applyFont="1" applyBorder="1">
      <alignment wrapText="1"/>
    </xf>
    <xf numFmtId="4" fontId="6" fillId="0" borderId="0" xfId="25" applyNumberFormat="1" applyBorder="1" applyAlignment="1">
      <alignment horizontal="right" wrapText="1"/>
    </xf>
    <xf numFmtId="164" fontId="6" fillId="0" borderId="0" xfId="25" applyNumberFormat="1" applyBorder="1">
      <alignment wrapText="1"/>
    </xf>
    <xf numFmtId="2" fontId="6" fillId="0" borderId="0" xfId="25" applyNumberFormat="1" applyBorder="1">
      <alignment wrapText="1"/>
    </xf>
    <xf numFmtId="0" fontId="8" fillId="0" borderId="0" xfId="29" applyAlignment="1" applyProtection="1"/>
    <xf numFmtId="2" fontId="5" fillId="0" borderId="0" xfId="24" applyNumberFormat="1"/>
    <xf numFmtId="0" fontId="9" fillId="0" borderId="0" xfId="24" applyFont="1"/>
    <xf numFmtId="0" fontId="10" fillId="0" borderId="0" xfId="24" applyFont="1"/>
    <xf numFmtId="0" fontId="10" fillId="0" borderId="0" xfId="24" applyFont="1" applyFill="1"/>
    <xf numFmtId="4" fontId="11" fillId="0" borderId="2" xfId="25" applyNumberFormat="1" applyFont="1">
      <alignment wrapText="1"/>
    </xf>
    <xf numFmtId="4" fontId="11" fillId="0" borderId="0" xfId="25" applyNumberFormat="1" applyFont="1" applyBorder="1">
      <alignment wrapText="1"/>
    </xf>
    <xf numFmtId="0" fontId="9" fillId="0" borderId="0" xfId="0" applyFont="1"/>
    <xf numFmtId="4" fontId="12" fillId="0" borderId="2" xfId="25" applyNumberFormat="1" applyFont="1">
      <alignment wrapText="1"/>
    </xf>
    <xf numFmtId="0" fontId="7" fillId="0" borderId="5" xfId="28" applyFont="1">
      <alignment vertical="top" wrapText="1"/>
    </xf>
    <xf numFmtId="0" fontId="7" fillId="0" borderId="0" xfId="25" applyFont="1" applyBorder="1">
      <alignment wrapText="1"/>
    </xf>
    <xf numFmtId="0" fontId="6" fillId="0" borderId="0" xfId="25" applyBorder="1" applyAlignment="1">
      <alignment vertical="top" wrapText="1"/>
    </xf>
    <xf numFmtId="0" fontId="4" fillId="0" borderId="0" xfId="23">
      <alignment horizontal="left"/>
    </xf>
    <xf numFmtId="0" fontId="7" fillId="0" borderId="3" xfId="26">
      <alignment wrapText="1"/>
    </xf>
    <xf numFmtId="4" fontId="7" fillId="0" borderId="3" xfId="26" applyNumberFormat="1">
      <alignment wrapText="1"/>
    </xf>
    <xf numFmtId="4" fontId="7" fillId="0" borderId="4" xfId="26" applyNumberFormat="1" applyBorder="1">
      <alignment wrapText="1"/>
    </xf>
  </cellXfs>
  <cellStyles count="54">
    <cellStyle name="Body: normal cell" xfId="2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nt: Calibri, 9pt regular" xfId="30"/>
    <cellStyle name="Footnotes: all except top row" xfId="31"/>
    <cellStyle name="Footnotes: top row" xfId="28"/>
    <cellStyle name="Header: bottom row" xfId="27"/>
    <cellStyle name="Header: top rows" xfId="32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9" builtinId="8"/>
    <cellStyle name="Normal" xfId="0" builtinId="0"/>
    <cellStyle name="Normal 2" xfId="24"/>
    <cellStyle name="Parent row" xfId="26"/>
    <cellStyle name="Section Break" xfId="33"/>
    <cellStyle name="Section Break: parent row" xfId="34"/>
    <cellStyle name="Table title" xfId="2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portal.pnl.gov/+CSCO+1075676763663A2F2F7A6E76797661672E636161792E746269++/owa/-CSCO-3h--redir.aspx?C=Mg-icqFT_fUUZTcnSvigsfmH0eiqvqGv2P7c-T_uZfwS78jUZ_fTCA..&amp;URL=https%3a%2f%2fwww.eia.gov%2fenvironment%2femissions%2fco2_vol_mas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C11" sqref="C11"/>
    </sheetView>
  </sheetViews>
  <sheetFormatPr baseColWidth="10" defaultColWidth="11" defaultRowHeight="15" x14ac:dyDescent="0"/>
  <cols>
    <col min="3" max="3" width="12" customWidth="1"/>
  </cols>
  <sheetData>
    <row r="1" spans="1:5">
      <c r="A1" t="s">
        <v>9</v>
      </c>
      <c r="B1" t="s">
        <v>0</v>
      </c>
      <c r="C1" t="s">
        <v>2</v>
      </c>
      <c r="D1" t="s">
        <v>1</v>
      </c>
      <c r="E1" t="s">
        <v>10</v>
      </c>
    </row>
    <row r="2" spans="1:5">
      <c r="B2" t="s">
        <v>3</v>
      </c>
      <c r="C2">
        <f>CDIAC!E2</f>
        <v>9.0526088796080198E-11</v>
      </c>
      <c r="D2" s="1" t="str">
        <f>CDIAC!F2</f>
        <v>kt CO2/kJ</v>
      </c>
      <c r="E2" t="s">
        <v>94</v>
      </c>
    </row>
    <row r="3" spans="1:5">
      <c r="B3" t="s">
        <v>4</v>
      </c>
      <c r="C3">
        <f>CDIAC!E3</f>
        <v>3.0676839999999999</v>
      </c>
      <c r="D3" s="1" t="str">
        <f>CDIAC!F3</f>
        <v>kt CO2/kt</v>
      </c>
      <c r="E3" t="s">
        <v>94</v>
      </c>
    </row>
    <row r="4" spans="1:5">
      <c r="B4" t="s">
        <v>5</v>
      </c>
      <c r="C4">
        <f>CDIAC!E4</f>
        <v>4.9192864000000003E-2</v>
      </c>
      <c r="D4" s="1" t="str">
        <f>CDIAC!F4</f>
        <v>kt CO2/TJ</v>
      </c>
      <c r="E4" t="s">
        <v>94</v>
      </c>
    </row>
    <row r="5" spans="1:5">
      <c r="B5" t="s">
        <v>6</v>
      </c>
      <c r="C5">
        <f>CDIAC!E5</f>
        <v>3.1327199999999999</v>
      </c>
      <c r="D5" s="1" t="str">
        <f>CDIAC!F5</f>
        <v>kt CO2/kt</v>
      </c>
      <c r="E5" t="s">
        <v>94</v>
      </c>
    </row>
    <row r="6" spans="1:5">
      <c r="B6" t="s">
        <v>8</v>
      </c>
      <c r="C6">
        <f>CDIAC!E6</f>
        <v>4.9295456000000001E-2</v>
      </c>
      <c r="D6" s="1" t="str">
        <f>CDIAC!F6</f>
        <v>kt CO2/TJ</v>
      </c>
      <c r="E6" t="s">
        <v>94</v>
      </c>
    </row>
    <row r="7" spans="1:5">
      <c r="A7" t="s">
        <v>11</v>
      </c>
      <c r="C7">
        <f>EIA!J32</f>
        <v>3.0636890225739433</v>
      </c>
      <c r="D7" t="str">
        <f>EIA!K32</f>
        <v>kt CO2/kt</v>
      </c>
      <c r="E7" t="s">
        <v>95</v>
      </c>
    </row>
    <row r="8" spans="1:5">
      <c r="A8" s="19" t="s">
        <v>77</v>
      </c>
      <c r="C8">
        <f>EIA!J19</f>
        <v>4.3210700017102557</v>
      </c>
      <c r="D8" t="str">
        <f>EIA!K19</f>
        <v>kt CO2/kt</v>
      </c>
      <c r="E8" t="s">
        <v>95</v>
      </c>
    </row>
    <row r="9" spans="1:5">
      <c r="A9" s="19" t="s">
        <v>78</v>
      </c>
      <c r="C9">
        <f>EIA!J8</f>
        <v>3.1853670873830175</v>
      </c>
      <c r="D9" t="str">
        <f>EIA!K8</f>
        <v>kt CO2/kt</v>
      </c>
      <c r="E9" t="s">
        <v>95</v>
      </c>
    </row>
    <row r="10" spans="1:5">
      <c r="A10" s="19" t="s">
        <v>79</v>
      </c>
      <c r="C10">
        <f>EIA!J12</f>
        <v>3.084497129615889</v>
      </c>
      <c r="D10" t="str">
        <f>EIA!K12</f>
        <v>kt CO2/kt</v>
      </c>
      <c r="E10" t="s">
        <v>95</v>
      </c>
    </row>
    <row r="11" spans="1:5">
      <c r="A11" s="20" t="s">
        <v>80</v>
      </c>
      <c r="C11">
        <f>EIA!J15</f>
        <v>3.0461949575680598</v>
      </c>
      <c r="D11" t="str">
        <f>EIA!K15</f>
        <v>kt CO2/kt</v>
      </c>
      <c r="E11" t="s">
        <v>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3" sqref="G3"/>
    </sheetView>
  </sheetViews>
  <sheetFormatPr baseColWidth="10" defaultColWidth="11" defaultRowHeight="15" x14ac:dyDescent="0"/>
  <sheetData>
    <row r="1" spans="1:7" s="2" customFormat="1">
      <c r="A1" s="2" t="s">
        <v>0</v>
      </c>
      <c r="B1" s="2" t="s">
        <v>14</v>
      </c>
      <c r="C1" s="2" t="s">
        <v>15</v>
      </c>
      <c r="E1" s="2" t="s">
        <v>2</v>
      </c>
      <c r="F1" s="2" t="s">
        <v>1</v>
      </c>
      <c r="G1" s="2" t="s">
        <v>10</v>
      </c>
    </row>
    <row r="2" spans="1:7">
      <c r="A2" t="s">
        <v>3</v>
      </c>
      <c r="B2">
        <v>0.72409999999999997</v>
      </c>
      <c r="C2" t="s">
        <v>13</v>
      </c>
      <c r="E2" s="1">
        <f>B2*conversion!B5/conversion!B6</f>
        <v>9.0526088796080198E-11</v>
      </c>
      <c r="F2" t="s">
        <v>74</v>
      </c>
      <c r="G2" s="1" t="s">
        <v>97</v>
      </c>
    </row>
    <row r="3" spans="1:7">
      <c r="A3" t="s">
        <v>4</v>
      </c>
      <c r="B3">
        <f>0.85*conversion!B21</f>
        <v>0.83724999999999994</v>
      </c>
      <c r="C3" t="s">
        <v>17</v>
      </c>
      <c r="E3">
        <f>B3*conversion!B5</f>
        <v>3.0676839999999999</v>
      </c>
      <c r="F3" t="s">
        <v>75</v>
      </c>
      <c r="G3" t="s">
        <v>7</v>
      </c>
    </row>
    <row r="4" spans="1:7">
      <c r="A4" t="s">
        <v>5</v>
      </c>
      <c r="B4">
        <f>0.0137*conversion!B22</f>
        <v>1.3426E-2</v>
      </c>
      <c r="C4" t="s">
        <v>18</v>
      </c>
      <c r="E4">
        <f>B4*conversion!B5</f>
        <v>4.9192864000000003E-2</v>
      </c>
      <c r="F4" t="s">
        <v>76</v>
      </c>
      <c r="G4" t="s">
        <v>7</v>
      </c>
    </row>
    <row r="5" spans="1:7">
      <c r="A5" t="s">
        <v>6</v>
      </c>
      <c r="B5">
        <f>0.855*conversion!B23</f>
        <v>0.85499999999999998</v>
      </c>
      <c r="C5" t="s">
        <v>17</v>
      </c>
      <c r="E5">
        <f>B5*conversion!B5</f>
        <v>3.1327199999999999</v>
      </c>
      <c r="F5" t="s">
        <v>75</v>
      </c>
      <c r="G5" t="s">
        <v>7</v>
      </c>
    </row>
    <row r="6" spans="1:7">
      <c r="A6" t="s">
        <v>8</v>
      </c>
      <c r="B6">
        <f>13.454*conversion!B24</f>
        <v>13.454000000000001</v>
      </c>
      <c r="C6" t="s">
        <v>19</v>
      </c>
      <c r="E6">
        <f>B6*conversion!B5/1000</f>
        <v>4.9295456000000001E-2</v>
      </c>
      <c r="F6" t="s">
        <v>76</v>
      </c>
      <c r="G6" t="s">
        <v>7</v>
      </c>
    </row>
    <row r="9" spans="1:7">
      <c r="D9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showGridLines="0" topLeftCell="A8" workbookViewId="0">
      <selection activeCell="J15" sqref="J15"/>
    </sheetView>
  </sheetViews>
  <sheetFormatPr baseColWidth="10" defaultColWidth="8.83203125" defaultRowHeight="14" x14ac:dyDescent="0"/>
  <cols>
    <col min="1" max="1" width="19" style="3" customWidth="1"/>
    <col min="2" max="2" width="11.5" style="3" customWidth="1"/>
    <col min="3" max="3" width="11.33203125" style="3" customWidth="1"/>
    <col min="4" max="4" width="8.83203125" style="3" customWidth="1"/>
    <col min="5" max="5" width="9.33203125" style="3" customWidth="1"/>
    <col min="6" max="6" width="7.5" style="17" customWidth="1"/>
    <col min="7" max="7" width="11.6640625" style="17" customWidth="1"/>
    <col min="8" max="9" width="8.83203125" style="3"/>
    <col min="10" max="11" width="8.83203125" style="18"/>
    <col min="12" max="16384" width="8.83203125" style="3"/>
  </cols>
  <sheetData>
    <row r="1" spans="1:11" ht="18.75" customHeight="1">
      <c r="A1" s="28" t="s">
        <v>20</v>
      </c>
      <c r="B1" s="28"/>
      <c r="C1" s="28"/>
      <c r="D1" s="28"/>
      <c r="E1" s="28"/>
      <c r="F1" s="28"/>
      <c r="G1" s="28"/>
    </row>
    <row r="2" spans="1:11" ht="30" customHeight="1">
      <c r="A2" s="4"/>
      <c r="B2" s="5" t="s">
        <v>21</v>
      </c>
      <c r="C2" s="5"/>
      <c r="D2" s="5" t="s">
        <v>22</v>
      </c>
      <c r="E2" s="5"/>
      <c r="F2" s="6" t="s">
        <v>23</v>
      </c>
      <c r="G2" s="6" t="s">
        <v>22</v>
      </c>
    </row>
    <row r="3" spans="1:11" ht="27.75" customHeight="1" thickBot="1">
      <c r="A3" s="7" t="s">
        <v>24</v>
      </c>
      <c r="B3" s="8" t="s">
        <v>25</v>
      </c>
      <c r="C3" s="8"/>
      <c r="D3" s="8" t="s">
        <v>25</v>
      </c>
      <c r="E3" s="8"/>
      <c r="F3" s="9" t="s">
        <v>26</v>
      </c>
      <c r="G3" s="9" t="s">
        <v>26</v>
      </c>
    </row>
    <row r="4" spans="1:11" ht="15.75" customHeight="1" thickTop="1">
      <c r="A4" s="29" t="s">
        <v>27</v>
      </c>
      <c r="B4" s="29"/>
      <c r="C4" s="29"/>
      <c r="D4" s="29"/>
      <c r="E4" s="29"/>
      <c r="F4" s="29"/>
      <c r="G4" s="29"/>
    </row>
    <row r="5" spans="1:11">
      <c r="A5" s="10" t="s">
        <v>28</v>
      </c>
      <c r="B5" s="10">
        <v>12.7</v>
      </c>
      <c r="C5" s="10" t="s">
        <v>29</v>
      </c>
      <c r="D5" s="10">
        <f t="shared" ref="D5:D13" si="0">B5/2.20462</f>
        <v>5.7606299498326248</v>
      </c>
      <c r="E5" s="10" t="s">
        <v>29</v>
      </c>
      <c r="F5" s="10">
        <v>139.04859867504859</v>
      </c>
      <c r="G5" s="10">
        <f>(F5/2.20462)</f>
        <v>63.071458425963932</v>
      </c>
    </row>
    <row r="6" spans="1:11">
      <c r="A6" s="10" t="s">
        <v>30</v>
      </c>
      <c r="B6" s="10">
        <v>14.8</v>
      </c>
      <c r="C6" s="10" t="s">
        <v>29</v>
      </c>
      <c r="D6" s="10">
        <f t="shared" si="0"/>
        <v>6.7131750596474689</v>
      </c>
      <c r="E6" s="10" t="s">
        <v>29</v>
      </c>
      <c r="F6" s="10">
        <v>143.19829002512873</v>
      </c>
      <c r="G6" s="10">
        <f t="shared" ref="G6:G13" si="1">(F6/2.20462)</f>
        <v>64.953728998706694</v>
      </c>
    </row>
    <row r="7" spans="1:11" ht="15" customHeight="1">
      <c r="A7" s="10" t="s">
        <v>31</v>
      </c>
      <c r="B7" s="10">
        <v>13.7</v>
      </c>
      <c r="C7" s="10" t="s">
        <v>29</v>
      </c>
      <c r="D7" s="10">
        <f t="shared" si="0"/>
        <v>6.214222859268264</v>
      </c>
      <c r="E7" s="10" t="s">
        <v>29</v>
      </c>
      <c r="F7" s="10">
        <v>141.12344435008868</v>
      </c>
      <c r="G7" s="10">
        <f t="shared" si="1"/>
        <v>64.012593712335317</v>
      </c>
    </row>
    <row r="8" spans="1:11" ht="26.25" customHeight="1">
      <c r="A8" s="21" t="s">
        <v>32</v>
      </c>
      <c r="B8" s="10">
        <v>22.4</v>
      </c>
      <c r="C8" s="10" t="s">
        <v>29</v>
      </c>
      <c r="D8" s="10">
        <f t="shared" si="0"/>
        <v>10.160481171358329</v>
      </c>
      <c r="E8" s="10" t="s">
        <v>29</v>
      </c>
      <c r="F8" s="10">
        <v>161.30000000000001</v>
      </c>
      <c r="G8" s="10">
        <f t="shared" si="1"/>
        <v>73.164536291968702</v>
      </c>
      <c r="H8" s="3" t="s">
        <v>81</v>
      </c>
      <c r="J8" s="18">
        <f>D8*conversion!B21/conversion!C13</f>
        <v>3.1853670873830175</v>
      </c>
      <c r="K8" s="18" t="s">
        <v>75</v>
      </c>
    </row>
    <row r="9" spans="1:11">
      <c r="A9" s="10" t="s">
        <v>33</v>
      </c>
      <c r="B9" s="10">
        <v>21.5</v>
      </c>
      <c r="C9" s="10" t="s">
        <v>29</v>
      </c>
      <c r="D9" s="10">
        <f t="shared" si="0"/>
        <v>9.7522475528662547</v>
      </c>
      <c r="E9" s="10" t="s">
        <v>29</v>
      </c>
      <c r="F9" s="10">
        <v>159.4</v>
      </c>
      <c r="G9" s="10">
        <f t="shared" si="1"/>
        <v>72.302709764040983</v>
      </c>
    </row>
    <row r="10" spans="1:11">
      <c r="A10" s="10" t="s">
        <v>34</v>
      </c>
      <c r="B10" s="10">
        <v>4631.5</v>
      </c>
      <c r="C10" s="10" t="s">
        <v>35</v>
      </c>
      <c r="D10" s="10">
        <f t="shared" si="0"/>
        <v>2100.8155600511654</v>
      </c>
      <c r="E10" s="10" t="s">
        <v>35</v>
      </c>
      <c r="F10" s="10">
        <v>210.2</v>
      </c>
      <c r="G10" s="10">
        <f t="shared" si="1"/>
        <v>95.345229563371475</v>
      </c>
    </row>
    <row r="11" spans="1:11" ht="25">
      <c r="A11" s="10" t="s">
        <v>36</v>
      </c>
      <c r="B11" s="10">
        <v>117.1</v>
      </c>
      <c r="C11" s="10" t="s">
        <v>37</v>
      </c>
      <c r="D11" s="10">
        <f t="shared" si="0"/>
        <v>53.115729694913412</v>
      </c>
      <c r="E11" s="10" t="s">
        <v>37</v>
      </c>
      <c r="F11" s="10">
        <v>117</v>
      </c>
      <c r="G11" s="10">
        <f t="shared" si="1"/>
        <v>53.070370403969847</v>
      </c>
    </row>
    <row r="12" spans="1:11" ht="15" customHeight="1">
      <c r="A12" s="21" t="s">
        <v>38</v>
      </c>
      <c r="B12" s="10">
        <v>19.600000000000001</v>
      </c>
      <c r="C12" s="10" t="s">
        <v>29</v>
      </c>
      <c r="D12" s="10">
        <f t="shared" si="0"/>
        <v>8.89042102493854</v>
      </c>
      <c r="E12" s="10" t="s">
        <v>29</v>
      </c>
      <c r="F12" s="10">
        <v>157.19999999999999</v>
      </c>
      <c r="G12" s="10">
        <v>71.3</v>
      </c>
      <c r="H12" s="3" t="s">
        <v>85</v>
      </c>
      <c r="J12" s="18">
        <f>D12*conversion!B21/conversion!C14</f>
        <v>3.084497129615889</v>
      </c>
      <c r="K12" s="18" t="s">
        <v>75</v>
      </c>
    </row>
    <row r="13" spans="1:11" ht="25">
      <c r="A13" s="10" t="s">
        <v>39</v>
      </c>
      <c r="B13" s="10">
        <v>26</v>
      </c>
      <c r="C13" s="10" t="s">
        <v>29</v>
      </c>
      <c r="D13" s="10">
        <f t="shared" si="0"/>
        <v>11.793415645326633</v>
      </c>
      <c r="E13" s="10" t="s">
        <v>29</v>
      </c>
      <c r="F13" s="10">
        <v>173.7</v>
      </c>
      <c r="G13" s="10">
        <f t="shared" si="1"/>
        <v>78.789088368970624</v>
      </c>
    </row>
    <row r="14" spans="1:11" ht="15.75" customHeight="1">
      <c r="A14" s="30" t="s">
        <v>40</v>
      </c>
      <c r="B14" s="30"/>
      <c r="C14" s="30"/>
      <c r="D14" s="30"/>
      <c r="E14" s="30"/>
      <c r="F14" s="30"/>
      <c r="G14" s="30"/>
    </row>
    <row r="15" spans="1:11" ht="15" customHeight="1">
      <c r="A15" s="21" t="s">
        <v>41</v>
      </c>
      <c r="B15" s="10">
        <v>21.1</v>
      </c>
      <c r="C15" s="10" t="s">
        <v>29</v>
      </c>
      <c r="D15" s="10">
        <f>B15/2.20462</f>
        <v>9.5708103890919993</v>
      </c>
      <c r="E15" s="10" t="s">
        <v>29</v>
      </c>
      <c r="F15" s="10">
        <v>156.30000000000001</v>
      </c>
      <c r="G15" s="10">
        <f>(F15/2.20462)</f>
        <v>70.896571744790492</v>
      </c>
      <c r="H15" s="3" t="s">
        <v>82</v>
      </c>
      <c r="J15" s="18">
        <f>D15*conversion!B23/conversion!C13</f>
        <v>3.0461949575680598</v>
      </c>
      <c r="K15" s="18" t="s">
        <v>75</v>
      </c>
    </row>
    <row r="16" spans="1:11">
      <c r="A16" s="10" t="s">
        <v>42</v>
      </c>
      <c r="B16" s="10">
        <v>18.399999999999999</v>
      </c>
      <c r="C16" s="10" t="s">
        <v>29</v>
      </c>
      <c r="D16" s="10">
        <f>B16/2.20462</f>
        <v>8.3461095336157705</v>
      </c>
      <c r="E16" s="10" t="s">
        <v>29</v>
      </c>
      <c r="F16" s="10">
        <v>152.6</v>
      </c>
      <c r="G16" s="10">
        <v>69.2</v>
      </c>
    </row>
    <row r="17" spans="1:11" ht="15.75" customHeight="1">
      <c r="A17" s="30" t="s">
        <v>43</v>
      </c>
      <c r="B17" s="30"/>
      <c r="C17" s="30"/>
      <c r="D17" s="30"/>
      <c r="E17" s="30"/>
      <c r="F17" s="30"/>
      <c r="G17" s="30"/>
    </row>
    <row r="18" spans="1:11" ht="22.5" customHeight="1">
      <c r="A18" s="10" t="s">
        <v>44</v>
      </c>
      <c r="B18" s="10">
        <v>120.7</v>
      </c>
      <c r="C18" s="10" t="s">
        <v>37</v>
      </c>
      <c r="D18" s="10">
        <f>B18/2.20462</f>
        <v>54.748664168881717</v>
      </c>
      <c r="E18" s="10" t="s">
        <v>37</v>
      </c>
      <c r="F18" s="10">
        <v>120.6</v>
      </c>
      <c r="G18" s="10">
        <f>(F18/2.20462)</f>
        <v>54.703304877938152</v>
      </c>
    </row>
    <row r="19" spans="1:11">
      <c r="A19" s="21" t="s">
        <v>45</v>
      </c>
      <c r="B19" s="10">
        <v>32.4</v>
      </c>
      <c r="C19" s="10" t="s">
        <v>29</v>
      </c>
      <c r="D19" s="10">
        <f>B19/2.20462</f>
        <v>14.696410265714727</v>
      </c>
      <c r="E19" s="10" t="s">
        <v>29</v>
      </c>
      <c r="F19" s="10">
        <v>225.1</v>
      </c>
      <c r="G19" s="10">
        <f>(F19/2.20462)</f>
        <v>102.10376391396251</v>
      </c>
      <c r="H19" s="3" t="s">
        <v>84</v>
      </c>
      <c r="J19" s="18">
        <f>D19*conversion!B21/conversion!C12</f>
        <v>4.3210700017102557</v>
      </c>
      <c r="K19" s="23" t="s">
        <v>75</v>
      </c>
    </row>
    <row r="20" spans="1:11" ht="25">
      <c r="A20" s="10" t="s">
        <v>46</v>
      </c>
      <c r="B20" s="10">
        <f>F20*5.796/42</f>
        <v>22.093800000000002</v>
      </c>
      <c r="C20" s="10" t="s">
        <v>29</v>
      </c>
      <c r="D20" s="10">
        <f>B20/2.20462</f>
        <v>10.021591022489138</v>
      </c>
      <c r="E20" s="10" t="s">
        <v>29</v>
      </c>
      <c r="F20" s="10">
        <v>160.1</v>
      </c>
      <c r="G20" s="10">
        <f>(F20/2.20462)</f>
        <v>72.620224800645914</v>
      </c>
    </row>
    <row r="21" spans="1:11" ht="15.75" customHeight="1">
      <c r="A21" s="30" t="s">
        <v>47</v>
      </c>
      <c r="B21" s="30"/>
      <c r="C21" s="30"/>
      <c r="D21" s="30"/>
      <c r="E21" s="30"/>
      <c r="F21" s="30"/>
      <c r="G21" s="30"/>
    </row>
    <row r="22" spans="1:11">
      <c r="A22" s="10" t="s">
        <v>48</v>
      </c>
      <c r="B22" s="10">
        <f>F22*6.636/42</f>
        <v>26.3386</v>
      </c>
      <c r="C22" s="10" t="s">
        <v>29</v>
      </c>
      <c r="D22" s="10">
        <f>B22/2.20462</f>
        <v>11.94700220446154</v>
      </c>
      <c r="E22" s="10" t="s">
        <v>29</v>
      </c>
      <c r="F22" s="10">
        <v>166.7</v>
      </c>
      <c r="G22" s="10">
        <f>(F22/2.20462)</f>
        <v>75.613938002921145</v>
      </c>
    </row>
    <row r="23" spans="1:11">
      <c r="A23" s="24" t="s">
        <v>49</v>
      </c>
      <c r="B23" s="10">
        <f>F23*6.065/42</f>
        <v>23.624619047619049</v>
      </c>
      <c r="C23" s="10" t="s">
        <v>29</v>
      </c>
      <c r="D23" s="10">
        <f>B23/2.20462</f>
        <v>10.715959688118158</v>
      </c>
      <c r="E23" s="10" t="s">
        <v>29</v>
      </c>
      <c r="F23" s="10">
        <v>163.6</v>
      </c>
      <c r="G23" s="10">
        <f>(F23/2.20462)</f>
        <v>74.207799983670654</v>
      </c>
      <c r="K23" s="23"/>
    </row>
    <row r="24" spans="1:11">
      <c r="A24" s="10" t="s">
        <v>50</v>
      </c>
      <c r="B24" s="10">
        <f>F24*6.636/42</f>
        <v>24.742799999999999</v>
      </c>
      <c r="C24" s="10" t="s">
        <v>29</v>
      </c>
      <c r="D24" s="10">
        <f>B24/2.20462</f>
        <v>11.223158639584147</v>
      </c>
      <c r="E24" s="10" t="s">
        <v>29</v>
      </c>
      <c r="F24" s="10">
        <v>156.6</v>
      </c>
      <c r="G24" s="10">
        <f>(F24/2.20462)</f>
        <v>71.032649617621175</v>
      </c>
    </row>
    <row r="25" spans="1:11">
      <c r="A25" s="10" t="s">
        <v>51</v>
      </c>
      <c r="B25" s="10">
        <f>F25*5.248/42</f>
        <v>20.054857142857145</v>
      </c>
      <c r="C25" s="10" t="s">
        <v>29</v>
      </c>
      <c r="D25" s="10">
        <f>B25/2.20462</f>
        <v>9.0967409997446946</v>
      </c>
      <c r="E25" s="10" t="s">
        <v>29</v>
      </c>
      <c r="F25" s="10">
        <v>160.5</v>
      </c>
      <c r="G25" s="10">
        <f>(F25/2.20462)</f>
        <v>72.801661964420177</v>
      </c>
    </row>
    <row r="26" spans="1:11">
      <c r="A26" s="10" t="s">
        <v>52</v>
      </c>
      <c r="B26" s="10">
        <f>F26*5.537/42</f>
        <v>21.106516666666668</v>
      </c>
      <c r="C26" s="10" t="s">
        <v>29</v>
      </c>
      <c r="D26" s="10">
        <f>B26/2.20462</f>
        <v>9.5737663028851543</v>
      </c>
      <c r="E26" s="10" t="s">
        <v>29</v>
      </c>
      <c r="F26" s="10">
        <v>160.1</v>
      </c>
      <c r="G26" s="10">
        <f>(F26/2.20462)</f>
        <v>72.620224800645914</v>
      </c>
    </row>
    <row r="27" spans="1:11" ht="15.75" customHeight="1">
      <c r="A27" s="31" t="s">
        <v>53</v>
      </c>
      <c r="B27" s="31"/>
      <c r="C27" s="31"/>
      <c r="D27" s="31"/>
      <c r="E27" s="31"/>
      <c r="F27" s="31"/>
      <c r="G27" s="31"/>
    </row>
    <row r="28" spans="1:11">
      <c r="A28" s="10" t="s">
        <v>54</v>
      </c>
      <c r="B28" s="10">
        <v>5685</v>
      </c>
      <c r="C28" s="10" t="s">
        <v>35</v>
      </c>
      <c r="D28" s="10">
        <f>B28/2.20462</f>
        <v>2578.675690141612</v>
      </c>
      <c r="E28" s="10" t="s">
        <v>35</v>
      </c>
      <c r="F28" s="10">
        <v>228.6</v>
      </c>
      <c r="G28" s="10">
        <v>103.7</v>
      </c>
    </row>
    <row r="29" spans="1:11">
      <c r="A29" s="10" t="s">
        <v>55</v>
      </c>
      <c r="B29" s="10">
        <v>4931.3</v>
      </c>
      <c r="C29" s="10" t="s">
        <v>35</v>
      </c>
      <c r="D29" s="10">
        <f>B29/2.20462</f>
        <v>2236.8027142999704</v>
      </c>
      <c r="E29" s="10" t="s">
        <v>35</v>
      </c>
      <c r="F29" s="10">
        <v>205.7</v>
      </c>
      <c r="G29" s="10">
        <v>93.3</v>
      </c>
    </row>
    <row r="30" spans="1:11">
      <c r="A30" s="10" t="s">
        <v>56</v>
      </c>
      <c r="B30" s="10">
        <v>3715.9</v>
      </c>
      <c r="C30" s="10" t="s">
        <v>35</v>
      </c>
      <c r="D30" s="10">
        <f>B30/2.20462</f>
        <v>1685.5058921718937</v>
      </c>
      <c r="E30" s="10" t="s">
        <v>35</v>
      </c>
      <c r="F30" s="10">
        <v>214.3</v>
      </c>
      <c r="G30" s="10">
        <v>97.2</v>
      </c>
    </row>
    <row r="31" spans="1:11">
      <c r="A31" s="10" t="s">
        <v>57</v>
      </c>
      <c r="B31" s="10">
        <v>2791.6</v>
      </c>
      <c r="C31" s="10" t="s">
        <v>35</v>
      </c>
      <c r="D31" s="10">
        <f>B31/2.20462</f>
        <v>1266.2499659805319</v>
      </c>
      <c r="E31" s="10" t="s">
        <v>35</v>
      </c>
      <c r="F31" s="10">
        <v>215.4</v>
      </c>
      <c r="G31" s="10">
        <f>(F31/2.20462)</f>
        <v>97.703912692436802</v>
      </c>
    </row>
    <row r="32" spans="1:11">
      <c r="A32" s="22" t="s">
        <v>58</v>
      </c>
      <c r="B32" s="11">
        <f>F32*24.8</f>
        <v>6239.68</v>
      </c>
      <c r="C32" s="11" t="s">
        <v>35</v>
      </c>
      <c r="D32" s="11">
        <f>B32/2.20462</f>
        <v>2830.2746051473728</v>
      </c>
      <c r="E32" s="11" t="s">
        <v>35</v>
      </c>
      <c r="F32" s="11">
        <v>251.6</v>
      </c>
      <c r="G32" s="11">
        <f>(F32/2.20462)</f>
        <v>114.12397601400696</v>
      </c>
      <c r="H32" s="3" t="s">
        <v>83</v>
      </c>
      <c r="J32" s="18">
        <f>D32*conversion!B20/(1000*conversion!B4)</f>
        <v>3.0636890225739433</v>
      </c>
      <c r="K32" s="18" t="s">
        <v>75</v>
      </c>
    </row>
    <row r="33" spans="1:11">
      <c r="A33" s="12" t="s">
        <v>59</v>
      </c>
      <c r="B33" s="11"/>
      <c r="C33" s="11"/>
      <c r="D33" s="11"/>
      <c r="E33" s="11"/>
      <c r="F33" s="11"/>
      <c r="G33" s="11"/>
    </row>
    <row r="34" spans="1:11" ht="25">
      <c r="A34" s="11" t="s">
        <v>60</v>
      </c>
      <c r="B34" s="13" t="s">
        <v>61</v>
      </c>
      <c r="C34" s="13"/>
      <c r="D34" s="13" t="s">
        <v>61</v>
      </c>
      <c r="E34" s="11"/>
      <c r="F34" s="11">
        <v>16.989999999999998</v>
      </c>
      <c r="G34" s="11">
        <f>(F34/2.20462)</f>
        <v>7.7065435313115183</v>
      </c>
    </row>
    <row r="35" spans="1:11">
      <c r="A35" s="11" t="s">
        <v>62</v>
      </c>
      <c r="B35" s="11">
        <v>5771</v>
      </c>
      <c r="C35" s="11" t="s">
        <v>35</v>
      </c>
      <c r="D35" s="11">
        <f>B35/2.20462</f>
        <v>2617.6846803530771</v>
      </c>
      <c r="E35" s="11" t="s">
        <v>35</v>
      </c>
      <c r="F35" s="11">
        <v>91.9</v>
      </c>
      <c r="G35" s="11">
        <f>(F35/2.20462)</f>
        <v>41.685188377135297</v>
      </c>
    </row>
    <row r="36" spans="1:11">
      <c r="A36" s="11" t="s">
        <v>63</v>
      </c>
      <c r="B36" s="11">
        <v>6160</v>
      </c>
      <c r="C36" s="11" t="s">
        <v>35</v>
      </c>
      <c r="D36" s="11">
        <f>B36/2.20462</f>
        <v>2794.1323221235407</v>
      </c>
      <c r="E36" s="11" t="s">
        <v>35</v>
      </c>
      <c r="F36" s="11">
        <v>189.54</v>
      </c>
      <c r="G36" s="11">
        <f>(F36/2.20462)</f>
        <v>85.974000054431158</v>
      </c>
    </row>
    <row r="37" spans="1:11" ht="15" thickBot="1">
      <c r="A37" s="4" t="s">
        <v>64</v>
      </c>
      <c r="B37" s="14">
        <f>F37*4.4</f>
        <v>924.00000000000011</v>
      </c>
      <c r="C37" s="4" t="s">
        <v>65</v>
      </c>
      <c r="D37" s="11">
        <f>B37/2.20462</f>
        <v>419.11984831853118</v>
      </c>
      <c r="E37" s="4" t="s">
        <v>65</v>
      </c>
      <c r="F37" s="15">
        <v>210</v>
      </c>
      <c r="G37" s="11">
        <f>(F37/2.20462)</f>
        <v>95.254510981484344</v>
      </c>
    </row>
    <row r="38" spans="1:11" ht="13.5" customHeight="1">
      <c r="A38" s="25" t="s">
        <v>66</v>
      </c>
      <c r="B38" s="25"/>
      <c r="C38" s="25"/>
      <c r="D38" s="25"/>
      <c r="E38" s="25"/>
      <c r="F38" s="25"/>
      <c r="G38" s="25"/>
    </row>
    <row r="39" spans="1:11" ht="11.25" customHeight="1">
      <c r="A39" s="26" t="s">
        <v>67</v>
      </c>
      <c r="B39" s="26"/>
      <c r="C39" s="26"/>
      <c r="D39" s="26"/>
      <c r="E39" s="26"/>
      <c r="F39" s="26"/>
      <c r="G39" s="26"/>
      <c r="K39" s="23"/>
    </row>
    <row r="40" spans="1:11" ht="12.75" customHeight="1">
      <c r="A40" s="26" t="s">
        <v>68</v>
      </c>
      <c r="B40" s="26"/>
      <c r="C40" s="26"/>
      <c r="D40" s="26"/>
      <c r="E40" s="26"/>
      <c r="F40" s="26"/>
      <c r="G40" s="26"/>
    </row>
    <row r="41" spans="1:11" ht="24" customHeight="1">
      <c r="A41" s="4"/>
      <c r="B41" s="4"/>
      <c r="C41" s="4"/>
      <c r="D41" s="27"/>
      <c r="E41" s="27"/>
      <c r="F41" s="27"/>
      <c r="G41" s="27"/>
    </row>
    <row r="42" spans="1:11" ht="12" customHeight="1">
      <c r="A42" s="4"/>
      <c r="B42" s="4"/>
      <c r="C42" s="4"/>
      <c r="D42" s="4"/>
      <c r="E42" s="4"/>
      <c r="F42" s="4"/>
      <c r="G42" s="4"/>
    </row>
    <row r="43" spans="1:11">
      <c r="A43" s="16" t="s">
        <v>12</v>
      </c>
      <c r="D43" s="4"/>
      <c r="E43" s="4"/>
      <c r="F43" s="15"/>
      <c r="G43" s="15"/>
    </row>
  </sheetData>
  <mergeCells count="10">
    <mergeCell ref="A38:G38"/>
    <mergeCell ref="A39:G39"/>
    <mergeCell ref="A40:G40"/>
    <mergeCell ref="D41:G41"/>
    <mergeCell ref="A1:G1"/>
    <mergeCell ref="A4:G4"/>
    <mergeCell ref="A14:G14"/>
    <mergeCell ref="A17:G17"/>
    <mergeCell ref="A21:G21"/>
    <mergeCell ref="A27:G27"/>
  </mergeCells>
  <hyperlinks>
    <hyperlink ref="A43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B21" sqref="B21"/>
    </sheetView>
  </sheetViews>
  <sheetFormatPr baseColWidth="10" defaultColWidth="11" defaultRowHeight="15" x14ac:dyDescent="0"/>
  <sheetData>
    <row r="1" spans="1:4">
      <c r="A1" t="s">
        <v>69</v>
      </c>
      <c r="B1">
        <v>1055870</v>
      </c>
    </row>
    <row r="2" spans="1:4">
      <c r="A2" t="s">
        <v>70</v>
      </c>
      <c r="B2">
        <f>10^6</f>
        <v>1000000</v>
      </c>
    </row>
    <row r="3" spans="1:4">
      <c r="A3" t="s">
        <v>71</v>
      </c>
      <c r="B3">
        <f>10^9</f>
        <v>1000000000</v>
      </c>
    </row>
    <row r="4" spans="1:4">
      <c r="A4" t="s">
        <v>72</v>
      </c>
      <c r="B4">
        <v>0.90718399999999999</v>
      </c>
    </row>
    <row r="5" spans="1:4">
      <c r="A5" t="s">
        <v>73</v>
      </c>
      <c r="B5">
        <v>3.6640000000000001</v>
      </c>
    </row>
    <row r="6" spans="1:4">
      <c r="A6" t="s">
        <v>16</v>
      </c>
      <c r="B6" s="1">
        <v>29307600000</v>
      </c>
    </row>
    <row r="7" spans="1:4">
      <c r="A7" t="s">
        <v>92</v>
      </c>
      <c r="B7">
        <v>3.7854099999999999E-3</v>
      </c>
    </row>
    <row r="10" spans="1:4">
      <c r="A10" s="2" t="s">
        <v>89</v>
      </c>
    </row>
    <row r="11" spans="1:4">
      <c r="A11" t="s">
        <v>86</v>
      </c>
    </row>
    <row r="12" spans="1:4">
      <c r="A12" t="s">
        <v>88</v>
      </c>
      <c r="B12">
        <f>(800+970)/2</f>
        <v>885</v>
      </c>
      <c r="C12">
        <f>B12*$B$7</f>
        <v>3.35008785</v>
      </c>
      <c r="D12" t="s">
        <v>77</v>
      </c>
    </row>
    <row r="13" spans="1:4">
      <c r="A13" t="s">
        <v>90</v>
      </c>
      <c r="B13">
        <f>(800+860)/2</f>
        <v>830</v>
      </c>
      <c r="C13">
        <f>B13*$B$7</f>
        <v>3.1418903</v>
      </c>
      <c r="D13" t="s">
        <v>78</v>
      </c>
    </row>
    <row r="14" spans="1:4">
      <c r="A14" t="s">
        <v>91</v>
      </c>
      <c r="B14">
        <f>(710+790)/2</f>
        <v>750</v>
      </c>
      <c r="C14">
        <f>B14*$B$7</f>
        <v>2.8390575</v>
      </c>
      <c r="D14" t="s">
        <v>79</v>
      </c>
    </row>
    <row r="15" spans="1:4">
      <c r="B15" t="s">
        <v>87</v>
      </c>
      <c r="C15" t="s">
        <v>93</v>
      </c>
    </row>
    <row r="18" spans="1:2">
      <c r="A18" s="2" t="s">
        <v>96</v>
      </c>
    </row>
    <row r="19" spans="1:2">
      <c r="A19" t="s">
        <v>98</v>
      </c>
    </row>
    <row r="20" spans="1:2">
      <c r="A20" t="s">
        <v>3</v>
      </c>
      <c r="B20">
        <f>0.982</f>
        <v>0.98199999999999998</v>
      </c>
    </row>
    <row r="21" spans="1:2">
      <c r="A21" t="s">
        <v>4</v>
      </c>
      <c r="B21">
        <v>0.98499999999999999</v>
      </c>
    </row>
    <row r="22" spans="1:2">
      <c r="A22" t="s">
        <v>5</v>
      </c>
      <c r="B22">
        <f>0.98</f>
        <v>0.98</v>
      </c>
    </row>
    <row r="23" spans="1:2">
      <c r="A23" t="s">
        <v>6</v>
      </c>
      <c r="B23">
        <v>1</v>
      </c>
    </row>
    <row r="24" spans="1:2">
      <c r="A24" t="s">
        <v>8</v>
      </c>
      <c r="B24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CDIAC</vt:lpstr>
      <vt:lpstr>EIA</vt:lpstr>
      <vt:lpstr>conversion</vt:lpstr>
    </vt:vector>
  </TitlesOfParts>
  <Company>Dartmouth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Vu</dc:creator>
  <cp:lastModifiedBy>Linh Vu</cp:lastModifiedBy>
  <dcterms:created xsi:type="dcterms:W3CDTF">2016-10-19T18:07:28Z</dcterms:created>
  <dcterms:modified xsi:type="dcterms:W3CDTF">2016-11-08T16:14:30Z</dcterms:modified>
</cp:coreProperties>
</file>