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Costos Operativos" sheetId="1" r:id="rId4"/>
    <sheet state="hidden" name="Costos Indirectos" sheetId="2" r:id="rId5"/>
    <sheet state="visible" name="Costos Admtivo-Ventas" sheetId="3" r:id="rId6"/>
    <sheet state="hidden" name="Inversión" sheetId="4" r:id="rId7"/>
    <sheet state="hidden" name="Capital de Trabajo" sheetId="5" r:id="rId8"/>
    <sheet state="hidden" name="Flujo de Caja" sheetId="6" r:id="rId9"/>
    <sheet state="hidden" name="Hoja1" sheetId="7" r:id="rId10"/>
  </sheets>
  <definedNames/>
  <calcPr/>
  <extLst>
    <ext uri="GoogleSheetsCustomDataVersion1">
      <go:sheetsCustomData xmlns:go="http://customooxmlschemas.google.com/" r:id="rId11" roundtripDataSignature="AMtx7mhWzB4pq2Io2WJBc9qUq6bY7w3zU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44">
      <text>
        <t xml:space="preserve">======
ID#AAAALuzgoC8
Orlando    (2021-03-26 11:19:17)
Aplicación de 300gr/planta x 1200= 360kg/Ha</t>
      </text>
    </comment>
    <comment authorId="0" ref="A91">
      <text>
        <t xml:space="preserve">======
ID#AAAALuzgoDM
Orlando    (2021-03-26 11:19:17)
Encalar con 290 gr/planta/año.</t>
      </text>
    </comment>
    <comment authorId="0" ref="E48">
      <text>
        <t xml:space="preserve">======
ID#AAAALuzgoDE
Orlando    (2021-03-26 11:19:17)
8 gr/planta</t>
      </text>
    </comment>
    <comment authorId="0" ref="A89">
      <text>
        <t xml:space="preserve">======
ID#AAAALuzgoDI
Orlando    (2021-03-26 11:19:17)
17-6-18-2</t>
      </text>
    </comment>
    <comment authorId="0" ref="C48">
      <text>
        <t xml:space="preserve">======
ID#AAAALuzgoDA
Orlando    (2021-03-26 11:19:17)
200 gr/planta en la siembra.</t>
      </text>
    </comment>
    <comment authorId="0" ref="A46">
      <text>
        <t xml:space="preserve">======
ID#AAAALuzgoC4
Orlando    (2021-03-26 11:19:17)
Encalar con 290 gr/planta/año.</t>
      </text>
    </comment>
    <comment authorId="0" ref="E44">
      <text>
        <t xml:space="preserve">======
ID#AAAALuzgoC0
Orlando    (2021-03-26 11:19:17)
150gr/planta x 1200= 180 kg/Ha (6 - 12 meses)
Para plátano se usarán 500 gr/planta x 1200= 600 kg/Ha</t>
      </text>
    </comment>
    <comment authorId="0" ref="C44">
      <text>
        <t xml:space="preserve">======
ID#AAAALuzgoCw
Orlando    (2021-03-26 11:19:17)
50gr/planta x 1200= 60kg/Ha (0 - 2 meses)
70gr/planta x 1200= 84kg/Ha (2 - 6 meses)
90gr/planta x 1200= 108kg/Ha (6 - 12 meses)
Para plátano se usarán 500 gr/planta x 1200= 600 kg/Ha</t>
      </text>
    </comment>
    <comment authorId="0" ref="D44">
      <text>
        <t xml:space="preserve">======
ID#AAAALuzgoCs
Orlando    (2021-03-26 11:19:17)
50gr/planta x 1200= 60kg/Ha (0 - 2 meses)
70gr/planta x 1200= 84kg/Ha (2 - 6 meses)
90gr/planta x 1200= 108kg/Ha (6 - 12 meses)
Para plátano se usarán 500 gr/planta x 1200= 600 kg/Ha</t>
      </text>
    </comment>
    <comment authorId="0" ref="A68">
      <text>
        <t xml:space="preserve">======
ID#AAAALuzgoCk
Orlando    (2021-03-26 11:19:17)
17-6-18-2</t>
      </text>
    </comment>
    <comment authorId="0" ref="A44">
      <text>
        <t xml:space="preserve">======
ID#AAAALuzgoCo
Orlando    (2021-03-26 11:19:17)
17-6-18-2</t>
      </text>
    </comment>
    <comment authorId="0" ref="A70">
      <text>
        <t xml:space="preserve">======
ID#AAAALuzgoCg
Orlando    (2021-03-26 11:19:17)
Encalar con 290 gr/planta/año.</t>
      </text>
    </comment>
  </commentList>
  <extLst>
    <ext uri="GoogleSheetsCustomDataVersion1">
      <go:sheetsCustomData xmlns:go="http://customooxmlschemas.google.com/" r:id="rId1" roundtripDataSignature="AMtx7mjWHDCTetT3o64c/BRzsstobQZwnQ=="/>
    </ext>
  </extLst>
</comments>
</file>

<file path=xl/sharedStrings.xml><?xml version="1.0" encoding="utf-8"?>
<sst xmlns="http://schemas.openxmlformats.org/spreadsheetml/2006/main" count="558" uniqueCount="265">
  <si>
    <t>SISTEMAS  AGROFORESTALES  CON CULTIVOS DE  CACAO, PLATANO Y  MADERABLES</t>
  </si>
  <si>
    <t>SISTEMA AGROFORESTAL DE CACAO - PLATANO - MADERABLE</t>
  </si>
  <si>
    <t>CACAO: distancia de siembra: 3m. X 3m = 1200 arboles / Ha.</t>
  </si>
  <si>
    <t>PLATANO: distancia  de  siembra 3m. X  3m. = 1200 arboles / Ha</t>
  </si>
  <si>
    <t>CEDRO: Distancia  de siembra  21*3 = 158 arboles / Ha</t>
  </si>
  <si>
    <t>AÑOS</t>
  </si>
  <si>
    <t>ACTIVIDAD</t>
  </si>
  <si>
    <t>UNIDAD</t>
  </si>
  <si>
    <t>MANO DE OBRA</t>
  </si>
  <si>
    <t>Preparación del terreno</t>
  </si>
  <si>
    <t>Jornales</t>
  </si>
  <si>
    <t>Trazado y estacado</t>
  </si>
  <si>
    <t>Aplicación de correctivos</t>
  </si>
  <si>
    <t>Ahoyado plátano</t>
  </si>
  <si>
    <t>Ahoyado para maderables</t>
  </si>
  <si>
    <t>Desinfección de colinos de plátano</t>
  </si>
  <si>
    <t>Siembra de colinos de plátano</t>
  </si>
  <si>
    <t>Siembra de árboles maderables</t>
  </si>
  <si>
    <t>Ahoyado para cacao</t>
  </si>
  <si>
    <t>Siembra de cacao</t>
  </si>
  <si>
    <t>Transporte de material vegetal</t>
  </si>
  <si>
    <t>Control de malezas (4 por año)</t>
  </si>
  <si>
    <t>Control fitosanitario plátano</t>
  </si>
  <si>
    <t>Control fitosanitario cacao</t>
  </si>
  <si>
    <t>Fertilización</t>
  </si>
  <si>
    <t>Resiembras de cacao</t>
  </si>
  <si>
    <t>Arreglo sombrío plátano</t>
  </si>
  <si>
    <t>Arreglo sombrío maderables</t>
  </si>
  <si>
    <t>Podas y desplumille</t>
  </si>
  <si>
    <t>Construcción y Mantenimiento de drenajes</t>
  </si>
  <si>
    <t>Cosecha y beneficio del plátano</t>
  </si>
  <si>
    <t>Cosecha y beneficio de cacao</t>
  </si>
  <si>
    <t>TOTAL MANO DE OBRA</t>
  </si>
  <si>
    <t>Número de empleos</t>
  </si>
  <si>
    <t>Empleos</t>
  </si>
  <si>
    <t>Análisis de suelos</t>
  </si>
  <si>
    <t>Und</t>
  </si>
  <si>
    <t>EQUIPOS Y MATERIAL VEGETAL</t>
  </si>
  <si>
    <t>Colino de Plátano</t>
  </si>
  <si>
    <t>Plantulas de cacao injertado</t>
  </si>
  <si>
    <t>Árboles Cedro</t>
  </si>
  <si>
    <t>Bolsa para embolsar racimos</t>
  </si>
  <si>
    <t>Bolsa de 20 kg para empaque</t>
  </si>
  <si>
    <t>AGROQUIMICOS</t>
  </si>
  <si>
    <t>ABONO ORGANICO (Compostaje)</t>
  </si>
  <si>
    <t>Bulto</t>
  </si>
  <si>
    <t>Fertilizantes varios</t>
  </si>
  <si>
    <t>kg</t>
  </si>
  <si>
    <t>Pasta cicatrizante</t>
  </si>
  <si>
    <t>Cal dolomita plátano</t>
  </si>
  <si>
    <t>Cal dolomita cacao</t>
  </si>
  <si>
    <t>Micorrizas</t>
  </si>
  <si>
    <t>Insecticida Ecológico</t>
  </si>
  <si>
    <t>Lts</t>
  </si>
  <si>
    <t>Fungicida Ecológico</t>
  </si>
  <si>
    <t>Biofertilizante foliar</t>
  </si>
  <si>
    <t>MATRIZ DE PRECIOS DE INSUMOS</t>
  </si>
  <si>
    <t>DESCRIPCION DEL INSUMO</t>
  </si>
  <si>
    <t>Vr Mano de Obra.</t>
  </si>
  <si>
    <t>$/Jornal</t>
  </si>
  <si>
    <t>Dotación Industrial</t>
  </si>
  <si>
    <t>Análisis de Suelo</t>
  </si>
  <si>
    <t>$/Und</t>
  </si>
  <si>
    <t>ABONO ORGANICO (Lombricompost)</t>
  </si>
  <si>
    <t>$/Bulto</t>
  </si>
  <si>
    <t>$/kg</t>
  </si>
  <si>
    <t>$/Lts</t>
  </si>
  <si>
    <t>RESULTADOS DE COSTOS</t>
  </si>
  <si>
    <t>$</t>
  </si>
  <si>
    <r>
      <rPr>
        <rFont val="Tahoma"/>
        <color theme="1"/>
        <sz val="11.0"/>
      </rPr>
      <t>An</t>
    </r>
    <r>
      <rPr>
        <rFont val="Arial"/>
        <color theme="1"/>
        <sz val="11.0"/>
      </rPr>
      <t>á</t>
    </r>
    <r>
      <rPr>
        <rFont val="Tahoma"/>
        <color theme="1"/>
        <sz val="11.0"/>
      </rPr>
      <t>lisis de Suelo</t>
    </r>
  </si>
  <si>
    <r>
      <rPr>
        <rFont val="Arial"/>
        <color theme="1"/>
        <sz val="11.0"/>
      </rPr>
      <t>Á</t>
    </r>
    <r>
      <rPr>
        <rFont val="Tahoma"/>
        <color theme="1"/>
        <sz val="11.0"/>
      </rPr>
      <t>rboles Nogal</t>
    </r>
  </si>
  <si>
    <t>TOTAL  EGRESOS</t>
  </si>
  <si>
    <t xml:space="preserve">RENDIMIENTOS TOTALES </t>
  </si>
  <si>
    <t>Rendimientos Cacao</t>
  </si>
  <si>
    <t>Kg</t>
  </si>
  <si>
    <t>Rendimientos Plátano (racimo 13 Kg).</t>
  </si>
  <si>
    <t>Rendimientos de  Cedro</t>
  </si>
  <si>
    <t>Rastra</t>
  </si>
  <si>
    <t>Precio de Cacao</t>
  </si>
  <si>
    <t>$/KG</t>
  </si>
  <si>
    <t>Precio de Plátano</t>
  </si>
  <si>
    <t>Venta de Cedro</t>
  </si>
  <si>
    <t>$/RASTRA</t>
  </si>
  <si>
    <t>INGRESOS</t>
  </si>
  <si>
    <t>Venta de Cacao</t>
  </si>
  <si>
    <t>$/AÑO</t>
  </si>
  <si>
    <t>Venta de Plátano</t>
  </si>
  <si>
    <t>TOTAL  INGRESOS</t>
  </si>
  <si>
    <r>
      <rPr>
        <rFont val="Arial"/>
        <b/>
        <color theme="1"/>
        <sz val="12.0"/>
      </rPr>
      <t>Nota:</t>
    </r>
    <r>
      <rPr>
        <rFont val="Arial"/>
        <b val="0"/>
        <color theme="1"/>
        <sz val="12.0"/>
      </rPr>
      <t xml:space="preserve"> Los costos e ingresos anteriores corresponden a 1 hectárea de producción del sistema agroforestal. El proyecto constará de 5,0 hectáreas, por lo que todos los costos, volúmenes de producción e ingresos, se multiplicarán por este factor.</t>
    </r>
  </si>
  <si>
    <t>Año 1</t>
  </si>
  <si>
    <t>Año 2</t>
  </si>
  <si>
    <t>Año 3</t>
  </si>
  <si>
    <t>Año 4</t>
  </si>
  <si>
    <t>Año 5</t>
  </si>
  <si>
    <t>Año 6</t>
  </si>
  <si>
    <t>Año 7</t>
  </si>
  <si>
    <t>Año 8</t>
  </si>
  <si>
    <t>Año 9</t>
  </si>
  <si>
    <t>Año 10</t>
  </si>
  <si>
    <t>TOTAL  EGRESOS PARA 5 Ha</t>
  </si>
  <si>
    <t>RENDIMIENTOS TOTALES (5 Ha)</t>
  </si>
  <si>
    <r>
      <rPr>
        <rFont val="Tahoma"/>
        <color theme="1"/>
        <sz val="11.0"/>
      </rPr>
      <t>Rendimientos Pl</t>
    </r>
    <r>
      <rPr>
        <rFont val="Arial"/>
        <color theme="1"/>
        <sz val="11.0"/>
      </rPr>
      <t>á</t>
    </r>
    <r>
      <rPr>
        <rFont val="Tahoma"/>
        <color theme="1"/>
        <sz val="11.0"/>
      </rPr>
      <t>tano (racimo 13 Kg).</t>
    </r>
  </si>
  <si>
    <t>INGRESOS PARA 5 Ha</t>
  </si>
  <si>
    <t>TOTAL  INGRESOS (5 Ha)</t>
  </si>
  <si>
    <t xml:space="preserve">Para efectos de asignar costos por  Kg o unidad producida, se ponderará la participación en costos acorde a su participación en ingresos. Para el caso del año 1, </t>
  </si>
  <si>
    <t>los costos de este se cargarán al año 2, pues en el año 1 no hay producción.</t>
  </si>
  <si>
    <t>A continuación ponderamos acorde al ingreso de cada producto:</t>
  </si>
  <si>
    <t>PONDERADORES</t>
  </si>
  <si>
    <t>Cacao</t>
  </si>
  <si>
    <r>
      <rPr>
        <rFont val="Tahoma"/>
        <b/>
        <color theme="1"/>
        <sz val="10.0"/>
      </rPr>
      <t>Pl</t>
    </r>
    <r>
      <rPr>
        <rFont val="Arial"/>
        <b/>
        <color theme="1"/>
        <sz val="10.0"/>
      </rPr>
      <t>á</t>
    </r>
    <r>
      <rPr>
        <rFont val="Tahoma"/>
        <b/>
        <color theme="1"/>
        <sz val="10.0"/>
      </rPr>
      <t>tano</t>
    </r>
  </si>
  <si>
    <t>No se tiene en cuenta la producción de Cedro, porque ésta comienza a partir del año 11.</t>
  </si>
  <si>
    <t>COSTOS TOTALES</t>
  </si>
  <si>
    <t>Año 2***</t>
  </si>
  <si>
    <t>Costos Totales</t>
  </si>
  <si>
    <r>
      <rPr>
        <rFont val="Calibri"/>
        <color theme="1"/>
      </rPr>
      <t>***Incluye los costos del a</t>
    </r>
    <r>
      <rPr>
        <rFont val="Arial"/>
        <color theme="1"/>
        <sz val="10.0"/>
      </rPr>
      <t>ñ</t>
    </r>
    <r>
      <rPr>
        <rFont val="Arial"/>
        <color theme="1"/>
        <sz val="10.0"/>
      </rPr>
      <t>o 1.</t>
    </r>
  </si>
  <si>
    <t>Costos Mano de Obra Total</t>
  </si>
  <si>
    <t>Costos Mano de Obra Cacao</t>
  </si>
  <si>
    <t>Unitario Mano Obra Cacao</t>
  </si>
  <si>
    <t>Costos Mano de Obra Plátano</t>
  </si>
  <si>
    <t>Unitario Mano Obra Plátano</t>
  </si>
  <si>
    <t>Costos Insumos Total</t>
  </si>
  <si>
    <t>Costos Insumos Cacao</t>
  </si>
  <si>
    <t>Unitario Insumo Cacao</t>
  </si>
  <si>
    <t>Costos Insumo Plátano</t>
  </si>
  <si>
    <t>Unitario Insumo Plátano</t>
  </si>
  <si>
    <t>COSTOS TOTALES ASOCIADOS A CADA PRODUCTO</t>
  </si>
  <si>
    <r>
      <rPr>
        <rFont val="Tahoma"/>
        <b/>
        <color theme="1"/>
        <sz val="10.0"/>
      </rPr>
      <t>Pl</t>
    </r>
    <r>
      <rPr>
        <rFont val="Arial"/>
        <b/>
        <color theme="1"/>
        <sz val="10.0"/>
      </rPr>
      <t>á</t>
    </r>
    <r>
      <rPr>
        <rFont val="Tahoma"/>
        <b/>
        <color theme="1"/>
        <sz val="10.0"/>
      </rPr>
      <t>tano</t>
    </r>
  </si>
  <si>
    <t>COSTOS UNITARIOS ASOCIADOS A CADA PRODUCTO</t>
  </si>
  <si>
    <t>Cacao ($/Kg)</t>
  </si>
  <si>
    <r>
      <rPr>
        <rFont val="Tahoma"/>
        <b/>
        <color theme="1"/>
        <sz val="10.0"/>
      </rPr>
      <t>Pl</t>
    </r>
    <r>
      <rPr>
        <rFont val="Arial"/>
        <b/>
        <color theme="1"/>
        <sz val="10.0"/>
      </rPr>
      <t>á</t>
    </r>
    <r>
      <rPr>
        <rFont val="Tahoma"/>
        <b/>
        <color theme="1"/>
        <sz val="10.0"/>
      </rPr>
      <t>tano ($/Kg)</t>
    </r>
  </si>
  <si>
    <t>Se plantean 4 operarios:</t>
  </si>
  <si>
    <t>Frec./Año</t>
  </si>
  <si>
    <t>Operarios</t>
  </si>
  <si>
    <t>Cantidad</t>
  </si>
  <si>
    <t>Unitario</t>
  </si>
  <si>
    <t>Total</t>
  </si>
  <si>
    <t>Vr/Operario</t>
  </si>
  <si>
    <t>Botas de Caucho</t>
  </si>
  <si>
    <t>Overol</t>
  </si>
  <si>
    <t>Careta</t>
  </si>
  <si>
    <t>Guantes</t>
  </si>
  <si>
    <t>Total/Año</t>
  </si>
  <si>
    <t>Total/mes</t>
  </si>
  <si>
    <t>COSTOS INDIRECTOS</t>
  </si>
  <si>
    <t>Valor/Mes</t>
  </si>
  <si>
    <t>Valor/Año 1</t>
  </si>
  <si>
    <t>Valor/Año 2</t>
  </si>
  <si>
    <t>Servicios Publicos</t>
  </si>
  <si>
    <t>Plan de Celular</t>
  </si>
  <si>
    <t>Suministros Oficina</t>
  </si>
  <si>
    <t>OTROS COSTOS DE FABRICACION</t>
  </si>
  <si>
    <t>COSTOS ADMINISTRATIVOS</t>
  </si>
  <si>
    <t>Valor/mes</t>
  </si>
  <si>
    <t>Prestaciones</t>
  </si>
  <si>
    <t>Total/Año 1</t>
  </si>
  <si>
    <t>Gerente</t>
  </si>
  <si>
    <t>Contador</t>
  </si>
  <si>
    <t>GASTOS ADMINISTRATIVOS</t>
  </si>
  <si>
    <t>Asistente Técnico</t>
  </si>
  <si>
    <t xml:space="preserve">TOTAL </t>
  </si>
  <si>
    <t>COSTOS  DE VENTAS</t>
  </si>
  <si>
    <t>Flete Marfil - Manizales para Cacao ($/Kg)</t>
  </si>
  <si>
    <t>Flete Marfil - Pto Boyacá para Plátano($/Kg)</t>
  </si>
  <si>
    <t>Empaques:</t>
  </si>
  <si>
    <t>Producto</t>
  </si>
  <si>
    <t>Empaque</t>
  </si>
  <si>
    <t>Costo Unitario</t>
  </si>
  <si>
    <t>Capacidad</t>
  </si>
  <si>
    <t>Costal de Fique 3 Rayas</t>
  </si>
  <si>
    <t>Bolsa de 20 kg para empaque de Plátano</t>
  </si>
  <si>
    <t>Bolsa de polipropileno de baja densidad</t>
  </si>
  <si>
    <t>RESUMEN COSTO DE VENTAS</t>
  </si>
  <si>
    <t>Año 1 y 2</t>
  </si>
  <si>
    <t>Plátano</t>
  </si>
  <si>
    <t>GASTOS DE VENTAS</t>
  </si>
  <si>
    <t>INVERSION PROYECTO CACAO AGROFORESTAL "INVERSIONES BELLA VISTA"</t>
  </si>
  <si>
    <t>MAQUINARIA Y EQUIPO</t>
  </si>
  <si>
    <t>Descripción</t>
  </si>
  <si>
    <t>Valor Unitario</t>
  </si>
  <si>
    <t>Valor Total</t>
  </si>
  <si>
    <t>Canecas de 200 L</t>
  </si>
  <si>
    <t>Balde Plástico</t>
  </si>
  <si>
    <t>Máquina aspersora</t>
  </si>
  <si>
    <t>Tijera Podadora</t>
  </si>
  <si>
    <t>Palin</t>
  </si>
  <si>
    <t>Machete</t>
  </si>
  <si>
    <t>Bascula x 100 Kg</t>
  </si>
  <si>
    <t>Medialuna</t>
  </si>
  <si>
    <t>SUBTOTAL</t>
  </si>
  <si>
    <t>EQUIPOS DE OFICINA</t>
  </si>
  <si>
    <t>Equipo de cómputo con impresora</t>
  </si>
  <si>
    <t>CONSTRUCCIONES Y EDIFICIOS</t>
  </si>
  <si>
    <t>Observaciones</t>
  </si>
  <si>
    <t>Bodega Almacenamiento *</t>
  </si>
  <si>
    <t>Global</t>
  </si>
  <si>
    <t>Ver descripción del item en la parte inferior</t>
  </si>
  <si>
    <t>Construcción Beneficiadero</t>
  </si>
  <si>
    <t>CULTIVOS PERMANENTES</t>
  </si>
  <si>
    <t>Adecuación del Terreno **</t>
  </si>
  <si>
    <t>Material Vegetal y Empaque ***</t>
  </si>
  <si>
    <t>TOTAL INVERSION</t>
  </si>
  <si>
    <t>Bodega de almacenamiento</t>
  </si>
  <si>
    <t>Valor unitario</t>
  </si>
  <si>
    <t>Bloques</t>
  </si>
  <si>
    <t>Varilla 1/2"</t>
  </si>
  <si>
    <t>Varilla 1/4"</t>
  </si>
  <si>
    <t>Cemento</t>
  </si>
  <si>
    <t>Perfil (3cmx4cmx4mt)</t>
  </si>
  <si>
    <t>Zinc (3mt)</t>
  </si>
  <si>
    <t>Zinc (4mt)</t>
  </si>
  <si>
    <t>Arena</t>
  </si>
  <si>
    <t>Arenon</t>
  </si>
  <si>
    <t>Gravilla</t>
  </si>
  <si>
    <t>Mano de Obra</t>
  </si>
  <si>
    <t>Ventana</t>
  </si>
  <si>
    <t>Puerta</t>
  </si>
  <si>
    <t>Flete</t>
  </si>
  <si>
    <t>Beneficiadero</t>
  </si>
  <si>
    <t>Fermentación</t>
  </si>
  <si>
    <t>Cajones de Madera</t>
  </si>
  <si>
    <t>Secado</t>
  </si>
  <si>
    <t>Tejas de Zinc</t>
  </si>
  <si>
    <t>Estructura Madera</t>
  </si>
  <si>
    <t>Pasera 2x2</t>
  </si>
  <si>
    <t>ADECUACION DE TERRENO ***</t>
  </si>
  <si>
    <t>Actividad</t>
  </si>
  <si>
    <t>Unidad</t>
  </si>
  <si>
    <t>Vr/Unitario</t>
  </si>
  <si>
    <t>Vr/Total</t>
  </si>
  <si>
    <t>TOTAL</t>
  </si>
  <si>
    <t>Multiplicar por 5 Ha.</t>
  </si>
  <si>
    <t>RECURSOS SOLICITADOS AL FONDO EMPRENDER</t>
  </si>
  <si>
    <t>Inversión</t>
  </si>
  <si>
    <t>Capital de Trabajo</t>
  </si>
  <si>
    <t>SMMLV</t>
  </si>
  <si>
    <t>N° SMMLV</t>
  </si>
  <si>
    <t>CAPITAL DE TRABAJO PROYECTO CACAO AGROFORESTAL</t>
  </si>
  <si>
    <t>Observación</t>
  </si>
  <si>
    <t>Incluye Año y Cuatro meses</t>
  </si>
  <si>
    <t>Insumos</t>
  </si>
  <si>
    <t>2 meses</t>
  </si>
  <si>
    <t>1 Año</t>
  </si>
  <si>
    <t>Asistencia Técnica</t>
  </si>
  <si>
    <t>6 meses</t>
  </si>
  <si>
    <t>1 Mes</t>
  </si>
  <si>
    <t>Costo Empaque y Flete Plátano</t>
  </si>
  <si>
    <t>2 Meses (2° Año)</t>
  </si>
  <si>
    <t>Gastos de Constitución</t>
  </si>
  <si>
    <t>1 Vez</t>
  </si>
  <si>
    <t xml:space="preserve">Total </t>
  </si>
  <si>
    <t>GASTOS ANTICIPADOS</t>
  </si>
  <si>
    <t>Registro Mercantil</t>
  </si>
  <si>
    <t>Impuestos</t>
  </si>
  <si>
    <t>RENDIMIENTOS TOTALES (3 Ha)</t>
  </si>
  <si>
    <r>
      <rPr>
        <rFont val="Tahoma"/>
        <color theme="1"/>
        <sz val="11.0"/>
      </rPr>
      <t>Rendimientos Pl</t>
    </r>
    <r>
      <rPr>
        <rFont val="Arial"/>
        <color theme="1"/>
        <sz val="11.0"/>
      </rPr>
      <t>á</t>
    </r>
    <r>
      <rPr>
        <rFont val="Tahoma"/>
        <color theme="1"/>
        <sz val="11.0"/>
      </rPr>
      <t xml:space="preserve">tano </t>
    </r>
  </si>
  <si>
    <t>Rendimientos de  Nogal</t>
  </si>
  <si>
    <t>Venta de Nogal</t>
  </si>
  <si>
    <t>EGRESOS PARA 5 Ha</t>
  </si>
  <si>
    <t>Egresos Operativos</t>
  </si>
  <si>
    <t>Subtotal</t>
  </si>
  <si>
    <t>Egresos Administrativos</t>
  </si>
  <si>
    <t>Egresos de Ventas</t>
  </si>
  <si>
    <t>Egresos indirectos</t>
  </si>
  <si>
    <t>TOTAL EGRESOS PARA 5 Ha</t>
  </si>
  <si>
    <t>FLUJO NETO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</si>
</sst>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0.0"/>
    <numFmt numFmtId="165" formatCode="&quot;$&quot;#,##0"/>
    <numFmt numFmtId="166" formatCode="#,##0.000"/>
    <numFmt numFmtId="167" formatCode="0.0%"/>
    <numFmt numFmtId="168" formatCode="&quot;$&quot;#,##0.00"/>
    <numFmt numFmtId="169" formatCode="&quot;$&quot;\ #,##0;[Red]&quot;$&quot;\ \-#,##0"/>
    <numFmt numFmtId="170" formatCode="&quot;$&quot;\ #,##0"/>
    <numFmt numFmtId="171" formatCode="&quot;$&quot;\ #,##0.0"/>
    <numFmt numFmtId="172" formatCode="_ &quot;$&quot;\ * #,##0_ ;_ &quot;$&quot;\ * \-#,##0_ ;_ &quot;$&quot;\ * &quot;-&quot;??_ ;_ @_ "/>
  </numFmts>
  <fonts count="32">
    <font>
      <sz val="10.0"/>
      <color rgb="FF000000"/>
      <name val="Arial"/>
    </font>
    <font>
      <b/>
      <sz val="14.0"/>
      <color theme="1"/>
      <name val="Tahoma"/>
    </font>
    <font>
      <sz val="11.0"/>
      <color theme="1"/>
      <name val="Tahoma"/>
    </font>
    <font>
      <b/>
      <sz val="12.0"/>
      <color rgb="FF0000FF"/>
      <name val="Tahoma"/>
    </font>
    <font/>
    <font>
      <sz val="12.0"/>
      <color theme="1"/>
      <name val="Arial"/>
    </font>
    <font>
      <b/>
      <sz val="11.0"/>
      <color theme="1"/>
      <name val="Tahoma"/>
    </font>
    <font>
      <b/>
      <sz val="10.0"/>
      <color rgb="FFFFFFFF"/>
      <name val="Tahoma"/>
    </font>
    <font>
      <sz val="11.0"/>
      <color rgb="FFFFFFFF"/>
      <name val="Tahoma"/>
    </font>
    <font>
      <b/>
      <sz val="12.0"/>
      <color rgb="FFFFFFFF"/>
      <name val="Tahoma"/>
    </font>
    <font>
      <b/>
      <sz val="11.0"/>
      <color theme="1"/>
      <name val="Arial"/>
    </font>
    <font>
      <sz val="11.0"/>
      <color theme="1"/>
      <name val="Arial"/>
    </font>
    <font>
      <sz val="10.0"/>
      <color theme="1"/>
      <name val="Arial"/>
    </font>
    <font>
      <b/>
      <sz val="11.0"/>
      <color rgb="FF0000FF"/>
      <name val="Arial"/>
    </font>
    <font>
      <b/>
      <sz val="10.0"/>
      <color theme="1"/>
      <name val="Tahoma"/>
    </font>
    <font>
      <b/>
      <sz val="12.0"/>
      <color theme="1"/>
      <name val="Tahoma"/>
    </font>
    <font>
      <b/>
      <sz val="12.0"/>
      <color theme="1"/>
      <name val="Arial"/>
    </font>
    <font>
      <color theme="1"/>
      <name val="Calibri"/>
    </font>
    <font>
      <b/>
      <i/>
      <u/>
      <sz val="10.0"/>
      <color theme="1"/>
      <name val="Arial"/>
    </font>
    <font>
      <b/>
      <sz val="10.0"/>
      <color theme="1"/>
      <name val="Arial"/>
    </font>
    <font>
      <b/>
      <i/>
      <u/>
      <sz val="10.0"/>
      <color theme="1"/>
      <name val="Arial"/>
    </font>
    <font>
      <b/>
      <i/>
      <u/>
      <sz val="12.0"/>
      <color theme="1"/>
      <name val="Arial"/>
    </font>
    <font>
      <b/>
      <i/>
      <u/>
      <sz val="10.0"/>
      <color theme="1"/>
      <name val="Arial"/>
    </font>
    <font>
      <b/>
      <i/>
      <u/>
      <sz val="10.0"/>
      <color theme="1"/>
      <name val="Arial"/>
    </font>
    <font>
      <b/>
      <i/>
      <u/>
      <sz val="10.0"/>
      <color theme="1"/>
      <name val="Arial"/>
    </font>
    <font>
      <b/>
      <i/>
      <u/>
      <sz val="10.0"/>
      <color theme="1"/>
      <name val="Arial"/>
    </font>
    <font>
      <b/>
      <sz val="14.0"/>
      <color theme="1"/>
      <name val="Arial"/>
    </font>
    <font>
      <i/>
      <u/>
      <sz val="12.0"/>
      <color theme="1"/>
      <name val="Arial"/>
    </font>
    <font>
      <i/>
      <u/>
      <sz val="12.0"/>
      <color theme="1"/>
      <name val="Arial"/>
    </font>
    <font>
      <sz val="10.0"/>
      <color theme="1"/>
      <name val="Tahoma"/>
    </font>
    <font>
      <b/>
      <u/>
      <sz val="12.0"/>
      <color theme="1"/>
      <name val="Tahoma"/>
    </font>
    <font>
      <b/>
      <i/>
      <u/>
      <sz val="12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00FF"/>
        <bgColor rgb="FF0000FF"/>
      </patternFill>
    </fill>
    <fill>
      <patternFill patternType="solid">
        <fgColor rgb="FF99CCFF"/>
        <bgColor rgb="FF99CCFF"/>
      </patternFill>
    </fill>
    <fill>
      <patternFill patternType="solid">
        <fgColor theme="0"/>
        <bgColor theme="0"/>
      </patternFill>
    </fill>
    <fill>
      <patternFill patternType="solid">
        <fgColor rgb="FF8DB3E2"/>
        <bgColor rgb="FF8DB3E2"/>
      </patternFill>
    </fill>
    <fill>
      <patternFill patternType="solid">
        <fgColor rgb="FFFABF8F"/>
        <bgColor rgb="FFFABF8F"/>
      </patternFill>
    </fill>
    <fill>
      <patternFill patternType="solid">
        <fgColor rgb="FF95B3D7"/>
        <bgColor rgb="FF95B3D7"/>
      </patternFill>
    </fill>
    <fill>
      <patternFill patternType="solid">
        <fgColor theme="9"/>
        <bgColor theme="9"/>
      </patternFill>
    </fill>
    <fill>
      <patternFill patternType="solid">
        <fgColor rgb="FFCCC0D9"/>
        <bgColor rgb="FFCCC0D9"/>
      </patternFill>
    </fill>
  </fills>
  <borders count="8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/>
      <right/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top style="medium">
        <color rgb="FF000000"/>
      </top>
    </border>
    <border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/>
      <top/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47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1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center" shrinkToFit="0" vertical="bottom" wrapText="0"/>
    </xf>
    <xf borderId="1" fillId="2" fontId="3" numFmtId="0" xfId="0" applyAlignment="1" applyBorder="1" applyFill="1" applyFont="1">
      <alignment horizontal="center" shrinkToFit="0" vertical="center" wrapText="0"/>
    </xf>
    <xf borderId="2" fillId="0" fontId="4" numFmtId="0" xfId="0" applyBorder="1" applyFont="1"/>
    <xf borderId="0" fillId="0" fontId="5" numFmtId="0" xfId="0" applyAlignment="1" applyFont="1">
      <alignment shrinkToFit="0" vertical="bottom" wrapText="0"/>
    </xf>
    <xf borderId="3" fillId="0" fontId="6" numFmtId="0" xfId="0" applyAlignment="1" applyBorder="1" applyFont="1">
      <alignment horizontal="left" shrinkToFit="0" vertical="bottom" wrapText="0"/>
    </xf>
    <xf borderId="4" fillId="0" fontId="4" numFmtId="0" xfId="0" applyBorder="1" applyFont="1"/>
    <xf borderId="0" fillId="0" fontId="6" numFmtId="0" xfId="0" applyAlignment="1" applyFont="1">
      <alignment horizontal="left" shrinkToFit="0" vertical="bottom" wrapText="0"/>
    </xf>
    <xf borderId="5" fillId="0" fontId="6" numFmtId="0" xfId="0" applyAlignment="1" applyBorder="1" applyFont="1">
      <alignment horizontal="left" shrinkToFit="0" vertical="bottom" wrapText="0"/>
    </xf>
    <xf borderId="5" fillId="0" fontId="7" numFmtId="0" xfId="0" applyAlignment="1" applyBorder="1" applyFont="1">
      <alignment shrinkToFit="0" vertical="bottom" wrapText="0"/>
    </xf>
    <xf borderId="0" fillId="0" fontId="8" numFmtId="0" xfId="0" applyAlignment="1" applyFont="1">
      <alignment horizontal="center" shrinkToFit="0" vertical="bottom" wrapText="0"/>
    </xf>
    <xf borderId="0" fillId="0" fontId="8" numFmtId="0" xfId="0" applyAlignment="1" applyFont="1">
      <alignment shrinkToFit="0" vertical="bottom" wrapText="0"/>
    </xf>
    <xf borderId="6" fillId="0" fontId="8" numFmtId="0" xfId="0" applyAlignment="1" applyBorder="1" applyFont="1">
      <alignment shrinkToFit="0" vertical="bottom" wrapText="0"/>
    </xf>
    <xf borderId="7" fillId="0" fontId="8" numFmtId="0" xfId="0" applyAlignment="1" applyBorder="1" applyFont="1">
      <alignment horizontal="center" shrinkToFit="0" vertical="bottom" wrapText="0"/>
    </xf>
    <xf borderId="8" fillId="3" fontId="9" numFmtId="0" xfId="0" applyAlignment="1" applyBorder="1" applyFill="1" applyFont="1">
      <alignment horizontal="center" shrinkToFit="0" vertical="bottom" wrapText="0"/>
    </xf>
    <xf borderId="9" fillId="0" fontId="4" numFmtId="0" xfId="0" applyBorder="1" applyFont="1"/>
    <xf borderId="10" fillId="0" fontId="4" numFmtId="0" xfId="0" applyBorder="1" applyFont="1"/>
    <xf borderId="11" fillId="4" fontId="3" numFmtId="0" xfId="0" applyAlignment="1" applyBorder="1" applyFill="1" applyFont="1">
      <alignment shrinkToFit="0" vertical="bottom" wrapText="0"/>
    </xf>
    <xf borderId="12" fillId="4" fontId="3" numFmtId="0" xfId="0" applyAlignment="1" applyBorder="1" applyFont="1">
      <alignment horizontal="center" shrinkToFit="0" vertical="bottom" wrapText="0"/>
    </xf>
    <xf borderId="13" fillId="4" fontId="3" numFmtId="0" xfId="0" applyAlignment="1" applyBorder="1" applyFont="1">
      <alignment horizontal="center" shrinkToFit="0" vertical="bottom" wrapText="0"/>
    </xf>
    <xf borderId="14" fillId="4" fontId="3" numFmtId="0" xfId="0" applyAlignment="1" applyBorder="1" applyFont="1">
      <alignment horizontal="center" shrinkToFit="0" vertical="bottom" wrapText="0"/>
    </xf>
    <xf borderId="15" fillId="4" fontId="3" numFmtId="0" xfId="0" applyAlignment="1" applyBorder="1" applyFont="1">
      <alignment horizontal="center" shrinkToFit="0" vertical="bottom" wrapText="0"/>
    </xf>
    <xf borderId="12" fillId="0" fontId="10" numFmtId="0" xfId="0" applyAlignment="1" applyBorder="1" applyFont="1">
      <alignment shrinkToFit="0" vertical="bottom" wrapText="0"/>
    </xf>
    <xf borderId="16" fillId="0" fontId="11" numFmtId="0" xfId="0" applyAlignment="1" applyBorder="1" applyFont="1">
      <alignment horizontal="center" shrinkToFit="0" vertical="bottom" wrapText="0"/>
    </xf>
    <xf borderId="17" fillId="0" fontId="11" numFmtId="0" xfId="0" applyAlignment="1" applyBorder="1" applyFont="1">
      <alignment shrinkToFit="0" vertical="bottom" wrapText="0"/>
    </xf>
    <xf borderId="18" fillId="0" fontId="11" numFmtId="0" xfId="0" applyAlignment="1" applyBorder="1" applyFont="1">
      <alignment shrinkToFit="0" vertical="bottom" wrapText="0"/>
    </xf>
    <xf borderId="19" fillId="0" fontId="11" numFmtId="0" xfId="0" applyAlignment="1" applyBorder="1" applyFont="1">
      <alignment shrinkToFit="0" vertical="bottom" wrapText="0"/>
    </xf>
    <xf borderId="20" fillId="0" fontId="11" numFmtId="0" xfId="0" applyAlignment="1" applyBorder="1" applyFont="1">
      <alignment shrinkToFit="0" vertical="top" wrapText="1"/>
    </xf>
    <xf borderId="21" fillId="0" fontId="11" numFmtId="0" xfId="0" applyAlignment="1" applyBorder="1" applyFont="1">
      <alignment horizontal="center" shrinkToFit="0" vertical="top" wrapText="1"/>
    </xf>
    <xf borderId="18" fillId="0" fontId="11" numFmtId="0" xfId="0" applyAlignment="1" applyBorder="1" applyFont="1">
      <alignment horizontal="center" shrinkToFit="0" vertical="bottom" wrapText="0"/>
    </xf>
    <xf borderId="19" fillId="0" fontId="11" numFmtId="0" xfId="0" applyAlignment="1" applyBorder="1" applyFont="1">
      <alignment horizontal="center" shrinkToFit="0" vertical="bottom" wrapText="0"/>
    </xf>
    <xf borderId="22" fillId="0" fontId="11" numFmtId="0" xfId="0" applyAlignment="1" applyBorder="1" applyFont="1">
      <alignment shrinkToFit="0" vertical="top" wrapText="1"/>
    </xf>
    <xf borderId="17" fillId="0" fontId="11" numFmtId="0" xfId="0" applyAlignment="1" applyBorder="1" applyFont="1">
      <alignment horizontal="center" shrinkToFit="0" vertical="top" wrapText="1"/>
    </xf>
    <xf borderId="23" fillId="0" fontId="11" numFmtId="0" xfId="0" applyAlignment="1" applyBorder="1" applyFont="1">
      <alignment shrinkToFit="0" vertical="top" wrapText="1"/>
    </xf>
    <xf borderId="24" fillId="0" fontId="11" numFmtId="0" xfId="0" applyAlignment="1" applyBorder="1" applyFont="1">
      <alignment horizontal="center" shrinkToFit="0" vertical="top" wrapText="1"/>
    </xf>
    <xf borderId="24" fillId="0" fontId="11" numFmtId="0" xfId="0" applyAlignment="1" applyBorder="1" applyFont="1">
      <alignment horizontal="center" shrinkToFit="0" vertical="center" wrapText="1"/>
    </xf>
    <xf borderId="18" fillId="0" fontId="11" numFmtId="0" xfId="0" applyAlignment="1" applyBorder="1" applyFont="1">
      <alignment horizontal="center" shrinkToFit="0" vertical="center" wrapText="0"/>
    </xf>
    <xf borderId="19" fillId="0" fontId="11" numFmtId="0" xfId="0" applyAlignment="1" applyBorder="1" applyFont="1">
      <alignment horizontal="center" shrinkToFit="0" vertical="center" wrapText="0"/>
    </xf>
    <xf borderId="25" fillId="0" fontId="11" numFmtId="0" xfId="0" applyAlignment="1" applyBorder="1" applyFont="1">
      <alignment horizontal="center" shrinkToFit="0" vertical="bottom" wrapText="0"/>
    </xf>
    <xf borderId="26" fillId="0" fontId="11" numFmtId="0" xfId="0" applyAlignment="1" applyBorder="1" applyFont="1">
      <alignment horizontal="center" shrinkToFit="0" vertical="bottom" wrapText="0"/>
    </xf>
    <xf borderId="27" fillId="0" fontId="11" numFmtId="0" xfId="0" applyAlignment="1" applyBorder="1" applyFont="1">
      <alignment horizontal="center" shrinkToFit="0" vertical="bottom" wrapText="0"/>
    </xf>
    <xf borderId="28" fillId="0" fontId="10" numFmtId="0" xfId="0" applyAlignment="1" applyBorder="1" applyFont="1">
      <alignment shrinkToFit="0" vertical="top" wrapText="1"/>
    </xf>
    <xf borderId="29" fillId="0" fontId="11" numFmtId="0" xfId="0" applyAlignment="1" applyBorder="1" applyFont="1">
      <alignment horizontal="center" shrinkToFit="0" vertical="bottom" wrapText="0"/>
    </xf>
    <xf borderId="30" fillId="0" fontId="10" numFmtId="0" xfId="0" applyAlignment="1" applyBorder="1" applyFont="1">
      <alignment horizontal="center" shrinkToFit="0" vertical="bottom" wrapText="0"/>
    </xf>
    <xf borderId="31" fillId="0" fontId="10" numFmtId="0" xfId="0" applyAlignment="1" applyBorder="1" applyFont="1">
      <alignment horizontal="center" shrinkToFit="0" vertical="bottom" wrapText="0"/>
    </xf>
    <xf borderId="32" fillId="0" fontId="10" numFmtId="0" xfId="0" applyAlignment="1" applyBorder="1" applyFont="1">
      <alignment horizontal="center" shrinkToFit="0" vertical="bottom" wrapText="0"/>
    </xf>
    <xf borderId="1" fillId="0" fontId="11" numFmtId="0" xfId="0" applyAlignment="1" applyBorder="1" applyFont="1">
      <alignment shrinkToFit="0" vertical="top" wrapText="1"/>
    </xf>
    <xf borderId="17" fillId="0" fontId="11" numFmtId="164" xfId="0" applyAlignment="1" applyBorder="1" applyFont="1" applyNumberFormat="1">
      <alignment horizontal="center" shrinkToFit="0" vertical="top" wrapText="1"/>
    </xf>
    <xf borderId="18" fillId="0" fontId="11" numFmtId="164" xfId="0" applyAlignment="1" applyBorder="1" applyFont="1" applyNumberFormat="1">
      <alignment horizontal="center" shrinkToFit="0" vertical="top" wrapText="1"/>
    </xf>
    <xf borderId="33" fillId="0" fontId="11" numFmtId="0" xfId="0" applyAlignment="1" applyBorder="1" applyFont="1">
      <alignment shrinkToFit="0" vertical="top" wrapText="1"/>
    </xf>
    <xf borderId="34" fillId="0" fontId="11" numFmtId="0" xfId="0" applyAlignment="1" applyBorder="1" applyFont="1">
      <alignment horizontal="center" shrinkToFit="0" vertical="bottom" wrapText="0"/>
    </xf>
    <xf borderId="35" fillId="0" fontId="10" numFmtId="0" xfId="0" applyAlignment="1" applyBorder="1" applyFont="1">
      <alignment horizontal="center" shrinkToFit="0" vertical="bottom" wrapText="0"/>
    </xf>
    <xf borderId="36" fillId="0" fontId="10" numFmtId="0" xfId="0" applyAlignment="1" applyBorder="1" applyFont="1">
      <alignment horizontal="center" shrinkToFit="0" vertical="bottom" wrapText="0"/>
    </xf>
    <xf borderId="37" fillId="0" fontId="10" numFmtId="0" xfId="0" applyAlignment="1" applyBorder="1" applyFont="1">
      <alignment horizontal="center" shrinkToFit="0" vertical="bottom" wrapText="0"/>
    </xf>
    <xf borderId="38" fillId="0" fontId="10" numFmtId="0" xfId="0" applyAlignment="1" applyBorder="1" applyFont="1">
      <alignment shrinkToFit="0" vertical="bottom" wrapText="0"/>
    </xf>
    <xf borderId="39" fillId="0" fontId="11" numFmtId="0" xfId="0" applyAlignment="1" applyBorder="1" applyFont="1">
      <alignment horizontal="center" shrinkToFit="0" vertical="bottom" wrapText="0"/>
    </xf>
    <xf borderId="40" fillId="0" fontId="11" numFmtId="0" xfId="0" applyAlignment="1" applyBorder="1" applyFont="1">
      <alignment horizontal="center" shrinkToFit="0" vertical="bottom" wrapText="0"/>
    </xf>
    <xf borderId="41" fillId="0" fontId="11" numFmtId="0" xfId="0" applyAlignment="1" applyBorder="1" applyFont="1">
      <alignment horizontal="center" shrinkToFit="0" vertical="bottom" wrapText="0"/>
    </xf>
    <xf borderId="42" fillId="0" fontId="11" numFmtId="0" xfId="0" applyAlignment="1" applyBorder="1" applyFont="1">
      <alignment horizontal="center" shrinkToFit="0" vertical="bottom" wrapText="0"/>
    </xf>
    <xf borderId="22" fillId="0" fontId="11" numFmtId="0" xfId="0" applyAlignment="1" applyBorder="1" applyFont="1">
      <alignment shrinkToFit="0" vertical="bottom" wrapText="0"/>
    </xf>
    <xf borderId="17" fillId="0" fontId="11" numFmtId="0" xfId="0" applyAlignment="1" applyBorder="1" applyFont="1">
      <alignment horizontal="center" shrinkToFit="0" vertical="bottom" wrapText="0"/>
    </xf>
    <xf borderId="43" fillId="5" fontId="11" numFmtId="0" xfId="0" applyAlignment="1" applyBorder="1" applyFill="1" applyFont="1">
      <alignment shrinkToFit="0" vertical="bottom" wrapText="0"/>
    </xf>
    <xf borderId="23" fillId="0" fontId="11" numFmtId="0" xfId="0" applyAlignment="1" applyBorder="1" applyFont="1">
      <alignment shrinkToFit="0" vertical="bottom" wrapText="0"/>
    </xf>
    <xf borderId="24" fillId="0" fontId="11" numFmtId="0" xfId="0" applyAlignment="1" applyBorder="1" applyFont="1">
      <alignment horizontal="center" shrinkToFit="0" vertical="bottom" wrapText="0"/>
    </xf>
    <xf borderId="44" fillId="5" fontId="11" numFmtId="0" xfId="0" applyAlignment="1" applyBorder="1" applyFont="1">
      <alignment shrinkToFit="0" vertical="bottom" wrapText="0"/>
    </xf>
    <xf borderId="45" fillId="0" fontId="10" numFmtId="0" xfId="0" applyAlignment="1" applyBorder="1" applyFont="1">
      <alignment shrinkToFit="0" vertical="bottom" wrapText="0"/>
    </xf>
    <xf borderId="12" fillId="0" fontId="11" numFmtId="0" xfId="0" applyAlignment="1" applyBorder="1" applyFont="1">
      <alignment horizontal="center" shrinkToFit="0" vertical="bottom" wrapText="0"/>
    </xf>
    <xf borderId="46" fillId="0" fontId="11" numFmtId="0" xfId="0" applyAlignment="1" applyBorder="1" applyFont="1">
      <alignment horizontal="center" shrinkToFit="0" vertical="bottom" wrapText="0"/>
    </xf>
    <xf borderId="14" fillId="0" fontId="11" numFmtId="0" xfId="0" applyAlignment="1" applyBorder="1" applyFont="1">
      <alignment horizontal="center" shrinkToFit="0" vertical="bottom" wrapText="0"/>
    </xf>
    <xf borderId="15" fillId="0" fontId="11" numFmtId="0" xfId="0" applyAlignment="1" applyBorder="1" applyFont="1">
      <alignment horizontal="center" shrinkToFit="0" vertical="bottom" wrapText="0"/>
    </xf>
    <xf borderId="20" fillId="0" fontId="11" numFmtId="0" xfId="0" applyAlignment="1" applyBorder="1" applyFont="1">
      <alignment shrinkToFit="0" vertical="bottom" wrapText="0"/>
    </xf>
    <xf borderId="47" fillId="0" fontId="11" numFmtId="0" xfId="0" applyAlignment="1" applyBorder="1" applyFont="1">
      <alignment horizontal="center" shrinkToFit="0" vertical="bottom" wrapText="0"/>
    </xf>
    <xf borderId="48" fillId="0" fontId="11" numFmtId="0" xfId="0" applyAlignment="1" applyBorder="1" applyFont="1">
      <alignment horizontal="center" shrinkToFit="0" vertical="bottom" wrapText="0"/>
    </xf>
    <xf borderId="41" fillId="0" fontId="11" numFmtId="3" xfId="0" applyAlignment="1" applyBorder="1" applyFont="1" applyNumberFormat="1">
      <alignment horizontal="center" shrinkToFit="0" vertical="bottom" wrapText="0"/>
    </xf>
    <xf borderId="49" fillId="0" fontId="11" numFmtId="0" xfId="0" applyAlignment="1" applyBorder="1" applyFont="1">
      <alignment horizontal="center" shrinkToFit="0" vertical="bottom" wrapText="0"/>
    </xf>
    <xf borderId="50" fillId="0" fontId="11" numFmtId="0" xfId="0" applyAlignment="1" applyBorder="1" applyFont="1">
      <alignment horizontal="center" shrinkToFit="0" vertical="bottom" wrapText="0"/>
    </xf>
    <xf borderId="51" fillId="0" fontId="11" numFmtId="0" xfId="0" applyAlignment="1" applyBorder="1" applyFont="1">
      <alignment shrinkToFit="0" vertical="bottom" wrapText="0"/>
    </xf>
    <xf borderId="52" fillId="0" fontId="11" numFmtId="0" xfId="0" applyAlignment="1" applyBorder="1" applyFont="1">
      <alignment horizontal="center" shrinkToFit="0" vertical="bottom" wrapText="0"/>
    </xf>
    <xf borderId="53" fillId="0" fontId="11" numFmtId="0" xfId="0" applyAlignment="1" applyBorder="1" applyFont="1">
      <alignment horizontal="center" shrinkToFit="0" vertical="bottom" wrapText="0"/>
    </xf>
    <xf borderId="54" fillId="0" fontId="11" numFmtId="0" xfId="0" applyAlignment="1" applyBorder="1" applyFont="1">
      <alignment horizontal="center" shrinkToFit="0" vertical="bottom" wrapText="0"/>
    </xf>
    <xf borderId="55" fillId="0" fontId="11" numFmtId="0" xfId="0" applyAlignment="1" applyBorder="1" applyFont="1">
      <alignment horizontal="center" shrinkToFit="0" vertical="bottom" wrapText="0"/>
    </xf>
    <xf borderId="0" fillId="0" fontId="12" numFmtId="0" xfId="0" applyAlignment="1" applyFont="1">
      <alignment shrinkToFit="0" vertical="bottom" wrapText="0"/>
    </xf>
    <xf borderId="45" fillId="6" fontId="10" numFmtId="0" xfId="0" applyAlignment="1" applyBorder="1" applyFill="1" applyFont="1">
      <alignment horizontal="center" shrinkToFit="0" vertical="bottom" wrapText="0"/>
    </xf>
    <xf borderId="56" fillId="0" fontId="4" numFmtId="0" xfId="0" applyBorder="1" applyFont="1"/>
    <xf borderId="57" fillId="0" fontId="4" numFmtId="0" xfId="0" applyBorder="1" applyFont="1"/>
    <xf borderId="58" fillId="0" fontId="11" numFmtId="0" xfId="0" applyAlignment="1" applyBorder="1" applyFont="1">
      <alignment shrinkToFit="0" vertical="bottom" wrapText="0"/>
    </xf>
    <xf borderId="12" fillId="0" fontId="11" numFmtId="0" xfId="0" applyAlignment="1" applyBorder="1" applyFont="1">
      <alignment shrinkToFit="0" vertical="bottom" wrapText="0"/>
    </xf>
    <xf borderId="45" fillId="7" fontId="10" numFmtId="0" xfId="0" applyAlignment="1" applyBorder="1" applyFill="1" applyFont="1">
      <alignment horizontal="center" shrinkToFit="0" vertical="bottom" wrapText="0"/>
    </xf>
    <xf borderId="13" fillId="4" fontId="13" numFmtId="0" xfId="0" applyAlignment="1" applyBorder="1" applyFont="1">
      <alignment horizontal="center" shrinkToFit="0" vertical="bottom" wrapText="0"/>
    </xf>
    <xf borderId="14" fillId="4" fontId="13" numFmtId="0" xfId="0" applyAlignment="1" applyBorder="1" applyFont="1">
      <alignment horizontal="center" shrinkToFit="0" vertical="bottom" wrapText="0"/>
    </xf>
    <xf borderId="15" fillId="4" fontId="13" numFmtId="0" xfId="0" applyAlignment="1" applyBorder="1" applyFont="1">
      <alignment horizontal="center" shrinkToFit="0" vertical="bottom" wrapText="0"/>
    </xf>
    <xf borderId="21" fillId="0" fontId="11" numFmtId="165" xfId="0" applyAlignment="1" applyBorder="1" applyFont="1" applyNumberFormat="1">
      <alignment horizontal="center" shrinkToFit="0" vertical="bottom" wrapText="0"/>
    </xf>
    <xf borderId="59" fillId="0" fontId="11" numFmtId="165" xfId="0" applyAlignment="1" applyBorder="1" applyFont="1" applyNumberFormat="1">
      <alignment horizontal="center" shrinkToFit="0" vertical="bottom" wrapText="0"/>
    </xf>
    <xf borderId="60" fillId="0" fontId="11" numFmtId="165" xfId="0" applyAlignment="1" applyBorder="1" applyFont="1" applyNumberFormat="1">
      <alignment horizontal="center" shrinkToFit="0" vertical="bottom" wrapText="0"/>
    </xf>
    <xf borderId="17" fillId="0" fontId="11" numFmtId="165" xfId="0" applyAlignment="1" applyBorder="1" applyFont="1" applyNumberFormat="1">
      <alignment horizontal="center" shrinkToFit="0" vertical="bottom" wrapText="0"/>
    </xf>
    <xf borderId="18" fillId="0" fontId="11" numFmtId="165" xfId="0" applyAlignment="1" applyBorder="1" applyFont="1" applyNumberFormat="1">
      <alignment horizontal="center" shrinkToFit="0" vertical="bottom" wrapText="0"/>
    </xf>
    <xf borderId="19" fillId="0" fontId="11" numFmtId="165" xfId="0" applyAlignment="1" applyBorder="1" applyFont="1" applyNumberFormat="1">
      <alignment horizontal="center" shrinkToFit="0" vertical="bottom" wrapText="0"/>
    </xf>
    <xf borderId="22" fillId="0" fontId="10" numFmtId="0" xfId="0" applyAlignment="1" applyBorder="1" applyFont="1">
      <alignment shrinkToFit="0" vertical="bottom" wrapText="0"/>
    </xf>
    <xf borderId="18" fillId="5" fontId="11" numFmtId="165" xfId="0" applyAlignment="1" applyBorder="1" applyFont="1" applyNumberFormat="1">
      <alignment horizontal="center" shrinkToFit="0" vertical="bottom" wrapText="0"/>
    </xf>
    <xf borderId="19" fillId="5" fontId="11" numFmtId="165" xfId="0" applyAlignment="1" applyBorder="1" applyFont="1" applyNumberFormat="1">
      <alignment horizontal="center" shrinkToFit="0" vertical="bottom" wrapText="0"/>
    </xf>
    <xf borderId="24" fillId="0" fontId="11" numFmtId="165" xfId="0" applyAlignment="1" applyBorder="1" applyFont="1" applyNumberFormat="1">
      <alignment horizontal="center" shrinkToFit="0" vertical="bottom" wrapText="0"/>
    </xf>
    <xf borderId="61" fillId="5" fontId="11" numFmtId="165" xfId="0" applyAlignment="1" applyBorder="1" applyFont="1" applyNumberFormat="1">
      <alignment horizontal="center" shrinkToFit="0" vertical="bottom" wrapText="0"/>
    </xf>
    <xf borderId="46" fillId="0" fontId="11" numFmtId="165" xfId="0" applyAlignment="1" applyBorder="1" applyFont="1" applyNumberFormat="1">
      <alignment horizontal="center" shrinkToFit="0" vertical="bottom" wrapText="0"/>
    </xf>
    <xf borderId="14" fillId="0" fontId="11" numFmtId="165" xfId="0" applyAlignment="1" applyBorder="1" applyFont="1" applyNumberFormat="1">
      <alignment horizontal="center" shrinkToFit="0" vertical="bottom" wrapText="0"/>
    </xf>
    <xf borderId="15" fillId="0" fontId="11" numFmtId="165" xfId="0" applyAlignment="1" applyBorder="1" applyFont="1" applyNumberFormat="1">
      <alignment horizontal="center" shrinkToFit="0" vertical="bottom" wrapText="0"/>
    </xf>
    <xf borderId="62" fillId="0" fontId="11" numFmtId="165" xfId="0" applyAlignment="1" applyBorder="1" applyFont="1" applyNumberFormat="1">
      <alignment horizontal="center" shrinkToFit="0" vertical="bottom" wrapText="0"/>
    </xf>
    <xf borderId="54" fillId="0" fontId="11" numFmtId="165" xfId="0" applyAlignment="1" applyBorder="1" applyFont="1" applyNumberFormat="1">
      <alignment horizontal="center" shrinkToFit="0" vertical="bottom" wrapText="0"/>
    </xf>
    <xf borderId="55" fillId="0" fontId="11" numFmtId="165" xfId="0" applyAlignment="1" applyBorder="1" applyFont="1" applyNumberFormat="1">
      <alignment horizontal="center" shrinkToFit="0" vertical="bottom" wrapText="0"/>
    </xf>
    <xf borderId="0" fillId="0" fontId="2" numFmtId="165" xfId="0" applyAlignment="1" applyFont="1" applyNumberFormat="1">
      <alignment horizontal="center" shrinkToFit="0" vertical="bottom" wrapText="0"/>
    </xf>
    <xf borderId="12" fillId="8" fontId="6" numFmtId="0" xfId="0" applyAlignment="1" applyBorder="1" applyFill="1" applyFont="1">
      <alignment shrinkToFit="0" vertical="bottom" wrapText="0"/>
    </xf>
    <xf borderId="12" fillId="8" fontId="2" numFmtId="0" xfId="0" applyAlignment="1" applyBorder="1" applyFont="1">
      <alignment shrinkToFit="0" vertical="bottom" wrapText="0"/>
    </xf>
    <xf borderId="13" fillId="8" fontId="3" numFmtId="0" xfId="0" applyAlignment="1" applyBorder="1" applyFont="1">
      <alignment horizontal="center" shrinkToFit="0" vertical="bottom" wrapText="0"/>
    </xf>
    <xf borderId="14" fillId="8" fontId="3" numFmtId="0" xfId="0" applyAlignment="1" applyBorder="1" applyFont="1">
      <alignment horizontal="center" shrinkToFit="0" vertical="bottom" wrapText="0"/>
    </xf>
    <xf borderId="15" fillId="8" fontId="3" numFmtId="0" xfId="0" applyAlignment="1" applyBorder="1" applyFont="1">
      <alignment horizontal="center" shrinkToFit="0" vertical="bottom" wrapText="0"/>
    </xf>
    <xf borderId="20" fillId="0" fontId="2" numFmtId="0" xfId="0" applyAlignment="1" applyBorder="1" applyFont="1">
      <alignment shrinkToFit="0" vertical="bottom" wrapText="0"/>
    </xf>
    <xf borderId="39" fillId="0" fontId="2" numFmtId="0" xfId="0" applyAlignment="1" applyBorder="1" applyFont="1">
      <alignment horizontal="center" shrinkToFit="0" vertical="bottom" wrapText="0"/>
    </xf>
    <xf borderId="48" fillId="0" fontId="2" numFmtId="165" xfId="0" applyAlignment="1" applyBorder="1" applyFont="1" applyNumberFormat="1">
      <alignment horizontal="center" shrinkToFit="0" vertical="bottom" wrapText="0"/>
    </xf>
    <xf borderId="41" fillId="0" fontId="2" numFmtId="165" xfId="0" applyAlignment="1" applyBorder="1" applyFont="1" applyNumberFormat="1">
      <alignment horizontal="center" shrinkToFit="0" vertical="bottom" wrapText="0"/>
    </xf>
    <xf borderId="42" fillId="0" fontId="2" numFmtId="165" xfId="0" applyAlignment="1" applyBorder="1" applyFont="1" applyNumberFormat="1">
      <alignment horizontal="center" shrinkToFit="0" vertical="bottom" wrapText="0"/>
    </xf>
    <xf borderId="58" fillId="0" fontId="2" numFmtId="0" xfId="0" applyAlignment="1" applyBorder="1" applyFont="1">
      <alignment shrinkToFit="0" vertical="bottom" wrapText="0"/>
    </xf>
    <xf borderId="63" fillId="0" fontId="2" numFmtId="0" xfId="0" applyAlignment="1" applyBorder="1" applyFont="1">
      <alignment horizontal="center" shrinkToFit="0" vertical="bottom" wrapText="0"/>
    </xf>
    <xf borderId="64" fillId="0" fontId="2" numFmtId="165" xfId="0" applyAlignment="1" applyBorder="1" applyFont="1" applyNumberFormat="1">
      <alignment horizontal="center" shrinkToFit="0" vertical="bottom" wrapText="0"/>
    </xf>
    <xf borderId="24" fillId="0" fontId="2" numFmtId="165" xfId="0" applyAlignment="1" applyBorder="1" applyFont="1" applyNumberFormat="1">
      <alignment horizontal="center" shrinkToFit="0" vertical="bottom" wrapText="0"/>
    </xf>
    <xf borderId="65" fillId="0" fontId="2" numFmtId="165" xfId="0" applyAlignment="1" applyBorder="1" applyFont="1" applyNumberFormat="1">
      <alignment horizontal="center" shrinkToFit="0" vertical="bottom" wrapText="0"/>
    </xf>
    <xf borderId="23" fillId="0" fontId="2" numFmtId="0" xfId="0" applyAlignment="1" applyBorder="1" applyFont="1">
      <alignment shrinkToFit="0" vertical="bottom" wrapText="0"/>
    </xf>
    <xf borderId="25" fillId="0" fontId="2" numFmtId="0" xfId="0" applyAlignment="1" applyBorder="1" applyFont="1">
      <alignment horizontal="center" shrinkToFit="0" vertical="bottom" wrapText="0"/>
    </xf>
    <xf borderId="53" fillId="0" fontId="2" numFmtId="165" xfId="0" applyAlignment="1" applyBorder="1" applyFont="1" applyNumberFormat="1">
      <alignment horizontal="center" shrinkToFit="0" vertical="bottom" wrapText="0"/>
    </xf>
    <xf borderId="54" fillId="0" fontId="2" numFmtId="165" xfId="0" applyAlignment="1" applyBorder="1" applyFont="1" applyNumberFormat="1">
      <alignment horizontal="center" shrinkToFit="0" vertical="bottom" wrapText="0"/>
    </xf>
    <xf borderId="55" fillId="0" fontId="2" numFmtId="165" xfId="0" applyAlignment="1" applyBorder="1" applyFont="1" applyNumberFormat="1">
      <alignment horizontal="center" shrinkToFit="0" vertical="bottom" wrapText="0"/>
    </xf>
    <xf borderId="45" fillId="0" fontId="14" numFmtId="0" xfId="0" applyAlignment="1" applyBorder="1" applyFont="1">
      <alignment shrinkToFit="0" vertical="bottom" wrapText="0"/>
    </xf>
    <xf borderId="12" fillId="0" fontId="2" numFmtId="0" xfId="0" applyAlignment="1" applyBorder="1" applyFont="1">
      <alignment horizontal="center" shrinkToFit="0" vertical="bottom" wrapText="0"/>
    </xf>
    <xf borderId="46" fillId="0" fontId="2" numFmtId="165" xfId="0" applyAlignment="1" applyBorder="1" applyFont="1" applyNumberFormat="1">
      <alignment horizontal="center" shrinkToFit="0" vertical="bottom" wrapText="0"/>
    </xf>
    <xf borderId="14" fillId="0" fontId="2" numFmtId="165" xfId="0" applyAlignment="1" applyBorder="1" applyFont="1" applyNumberFormat="1">
      <alignment horizontal="center" shrinkToFit="0" vertical="bottom" wrapText="0"/>
    </xf>
    <xf borderId="15" fillId="0" fontId="2" numFmtId="165" xfId="0" applyAlignment="1" applyBorder="1" applyFont="1" applyNumberFormat="1">
      <alignment horizontal="center" shrinkToFit="0" vertical="bottom" wrapText="0"/>
    </xf>
    <xf borderId="22" fillId="0" fontId="2" numFmtId="0" xfId="0" applyAlignment="1" applyBorder="1" applyFont="1">
      <alignment shrinkToFit="0" vertical="bottom" wrapText="0"/>
    </xf>
    <xf borderId="16" fillId="0" fontId="2" numFmtId="0" xfId="0" applyAlignment="1" applyBorder="1" applyFont="1">
      <alignment horizontal="center" shrinkToFit="0" vertical="bottom" wrapText="0"/>
    </xf>
    <xf borderId="17" fillId="0" fontId="2" numFmtId="165" xfId="0" applyAlignment="1" applyBorder="1" applyFont="1" applyNumberFormat="1">
      <alignment horizontal="center" shrinkToFit="0" vertical="bottom" wrapText="0"/>
    </xf>
    <xf borderId="18" fillId="0" fontId="2" numFmtId="165" xfId="0" applyAlignment="1" applyBorder="1" applyFont="1" applyNumberFormat="1">
      <alignment horizontal="center" shrinkToFit="0" vertical="bottom" wrapText="0"/>
    </xf>
    <xf borderId="19" fillId="0" fontId="2" numFmtId="165" xfId="0" applyAlignment="1" applyBorder="1" applyFont="1" applyNumberFormat="1">
      <alignment horizontal="center" shrinkToFit="0" vertical="bottom" wrapText="0"/>
    </xf>
    <xf borderId="45" fillId="0" fontId="6" numFmtId="0" xfId="0" applyAlignment="1" applyBorder="1" applyFont="1">
      <alignment shrinkToFit="0" vertical="bottom" wrapText="0"/>
    </xf>
    <xf borderId="47" fillId="0" fontId="2" numFmtId="0" xfId="0" applyAlignment="1" applyBorder="1" applyFont="1">
      <alignment horizontal="center" shrinkToFit="0" vertical="bottom" wrapText="0"/>
    </xf>
    <xf borderId="49" fillId="0" fontId="2" numFmtId="165" xfId="0" applyAlignment="1" applyBorder="1" applyFont="1" applyNumberFormat="1">
      <alignment horizontal="center" shrinkToFit="0" vertical="bottom" wrapText="0"/>
    </xf>
    <xf borderId="45" fillId="0" fontId="15" numFmtId="0" xfId="0" applyAlignment="1" applyBorder="1" applyFont="1">
      <alignment shrinkToFit="0" vertical="bottom" wrapText="0"/>
    </xf>
    <xf borderId="12" fillId="0" fontId="6" numFmtId="0" xfId="0" applyAlignment="1" applyBorder="1" applyFont="1">
      <alignment horizontal="center" shrinkToFit="0" vertical="bottom" wrapText="0"/>
    </xf>
    <xf borderId="46" fillId="0" fontId="6" numFmtId="165" xfId="0" applyAlignment="1" applyBorder="1" applyFont="1" applyNumberFormat="1">
      <alignment horizontal="center" shrinkToFit="0" vertical="bottom" wrapText="0"/>
    </xf>
    <xf borderId="14" fillId="0" fontId="6" numFmtId="165" xfId="0" applyAlignment="1" applyBorder="1" applyFont="1" applyNumberFormat="1">
      <alignment horizontal="center" shrinkToFit="0" vertical="bottom" wrapText="0"/>
    </xf>
    <xf borderId="15" fillId="0" fontId="6" numFmtId="165" xfId="0" applyAlignment="1" applyBorder="1" applyFont="1" applyNumberFormat="1">
      <alignment horizontal="center" shrinkToFit="0" vertical="bottom" wrapText="0"/>
    </xf>
    <xf borderId="46" fillId="0" fontId="6" numFmtId="0" xfId="0" applyAlignment="1" applyBorder="1" applyFont="1">
      <alignment horizontal="center" shrinkToFit="0" vertical="bottom" wrapText="0"/>
    </xf>
    <xf borderId="14" fillId="0" fontId="6" numFmtId="0" xfId="0" applyAlignment="1" applyBorder="1" applyFont="1">
      <alignment horizontal="center" shrinkToFit="0" vertical="bottom" wrapText="0"/>
    </xf>
    <xf borderId="15" fillId="0" fontId="6" numFmtId="0" xfId="0" applyAlignment="1" applyBorder="1" applyFont="1">
      <alignment horizontal="center" shrinkToFit="0" vertical="bottom" wrapText="0"/>
    </xf>
    <xf borderId="38" fillId="0" fontId="2" numFmtId="0" xfId="0" applyAlignment="1" applyBorder="1" applyFont="1">
      <alignment shrinkToFit="0" vertical="bottom" wrapText="0"/>
    </xf>
    <xf borderId="48" fillId="0" fontId="2" numFmtId="0" xfId="0" applyAlignment="1" applyBorder="1" applyFont="1">
      <alignment horizontal="center" shrinkToFit="0" vertical="bottom" wrapText="0"/>
    </xf>
    <xf borderId="41" fillId="0" fontId="2" numFmtId="0" xfId="0" applyAlignment="1" applyBorder="1" applyFont="1">
      <alignment horizontal="center" shrinkToFit="0" vertical="bottom" wrapText="0"/>
    </xf>
    <xf borderId="49" fillId="0" fontId="2" numFmtId="0" xfId="0" applyAlignment="1" applyBorder="1" applyFont="1">
      <alignment horizontal="center" shrinkToFit="0" vertical="bottom" wrapText="0"/>
    </xf>
    <xf borderId="18" fillId="0" fontId="2" numFmtId="0" xfId="0" applyAlignment="1" applyBorder="1" applyFont="1">
      <alignment horizontal="center" shrinkToFit="0" vertical="bottom" wrapText="0"/>
    </xf>
    <xf borderId="18" fillId="0" fontId="2" numFmtId="1" xfId="0" applyAlignment="1" applyBorder="1" applyFont="1" applyNumberFormat="1">
      <alignment horizontal="center" shrinkToFit="0" vertical="bottom" wrapText="0"/>
    </xf>
    <xf borderId="19" fillId="0" fontId="2" numFmtId="1" xfId="0" applyAlignment="1" applyBorder="1" applyFont="1" applyNumberFormat="1">
      <alignment horizontal="center" shrinkToFit="0" vertical="bottom" wrapText="0"/>
    </xf>
    <xf borderId="19" fillId="0" fontId="2" numFmtId="0" xfId="0" applyAlignment="1" applyBorder="1" applyFont="1">
      <alignment horizontal="center" shrinkToFit="0" vertical="bottom" wrapText="0"/>
    </xf>
    <xf borderId="49" fillId="0" fontId="2" numFmtId="3" xfId="0" applyAlignment="1" applyBorder="1" applyFont="1" applyNumberFormat="1">
      <alignment shrinkToFit="0" vertical="bottom" wrapText="0"/>
    </xf>
    <xf borderId="18" fillId="0" fontId="2" numFmtId="3" xfId="0" applyAlignment="1" applyBorder="1" applyFont="1" applyNumberFormat="1">
      <alignment shrinkToFit="0" vertical="bottom" wrapText="0"/>
    </xf>
    <xf borderId="19" fillId="0" fontId="2" numFmtId="3" xfId="0" applyAlignment="1" applyBorder="1" applyFont="1" applyNumberFormat="1">
      <alignment shrinkToFit="0" vertical="bottom" wrapText="0"/>
    </xf>
    <xf borderId="26" fillId="0" fontId="2" numFmtId="165" xfId="0" applyAlignment="1" applyBorder="1" applyFont="1" applyNumberFormat="1">
      <alignment horizontal="center" shrinkToFit="0" vertical="bottom" wrapText="0"/>
    </xf>
    <xf borderId="27" fillId="0" fontId="2" numFmtId="165" xfId="0" applyAlignment="1" applyBorder="1" applyFont="1" applyNumberFormat="1">
      <alignment horizontal="center" shrinkToFit="0" vertical="bottom" wrapText="0"/>
    </xf>
    <xf borderId="51" fillId="0" fontId="2" numFmtId="0" xfId="0" applyAlignment="1" applyBorder="1" applyFont="1">
      <alignment shrinkToFit="0" vertical="bottom" wrapText="0"/>
    </xf>
    <xf borderId="52" fillId="0" fontId="2" numFmtId="0" xfId="0" applyAlignment="1" applyBorder="1" applyFont="1">
      <alignment horizontal="center" shrinkToFit="0" vertical="bottom" wrapText="0"/>
    </xf>
    <xf borderId="0" fillId="0" fontId="14" numFmtId="0" xfId="0" applyAlignment="1" applyFont="1">
      <alignment shrinkToFit="0" vertical="bottom" wrapText="0"/>
    </xf>
    <xf borderId="46" fillId="0" fontId="2" numFmtId="166" xfId="0" applyAlignment="1" applyBorder="1" applyFont="1" applyNumberFormat="1">
      <alignment shrinkToFit="0" vertical="bottom" wrapText="0"/>
    </xf>
    <xf borderId="14" fillId="0" fontId="2" numFmtId="3" xfId="0" applyAlignment="1" applyBorder="1" applyFont="1" applyNumberFormat="1">
      <alignment shrinkToFit="0" vertical="bottom" wrapText="0"/>
    </xf>
    <xf borderId="15" fillId="0" fontId="2" numFmtId="3" xfId="0" applyAlignment="1" applyBorder="1" applyFont="1" applyNumberFormat="1">
      <alignment shrinkToFit="0" vertical="bottom" wrapText="0"/>
    </xf>
    <xf borderId="66" fillId="0" fontId="2" numFmtId="0" xfId="0" applyAlignment="1" applyBorder="1" applyFont="1">
      <alignment shrinkToFit="0" vertical="bottom" wrapText="0"/>
    </xf>
    <xf borderId="6" fillId="0" fontId="2" numFmtId="165" xfId="0" applyAlignment="1" applyBorder="1" applyFont="1" applyNumberFormat="1">
      <alignment horizontal="center" shrinkToFit="0" vertical="bottom" wrapText="0"/>
    </xf>
    <xf borderId="31" fillId="0" fontId="2" numFmtId="165" xfId="0" applyAlignment="1" applyBorder="1" applyFont="1" applyNumberFormat="1">
      <alignment horizontal="center" shrinkToFit="0" vertical="bottom" wrapText="0"/>
    </xf>
    <xf borderId="32" fillId="0" fontId="2" numFmtId="165" xfId="0" applyAlignment="1" applyBorder="1" applyFont="1" applyNumberFormat="1">
      <alignment horizontal="center" shrinkToFit="0" vertical="bottom" wrapText="0"/>
    </xf>
    <xf borderId="1" fillId="0" fontId="2" numFmtId="0" xfId="0" applyAlignment="1" applyBorder="1" applyFont="1">
      <alignment shrinkToFit="0" vertical="bottom" wrapText="0"/>
    </xf>
    <xf borderId="3" fillId="0" fontId="2" numFmtId="0" xfId="0" applyAlignment="1" applyBorder="1" applyFont="1">
      <alignment shrinkToFit="0" vertical="bottom" wrapText="0"/>
    </xf>
    <xf borderId="0" fillId="0" fontId="16" numFmtId="0" xfId="0" applyAlignment="1" applyFont="1">
      <alignment horizontal="left" shrinkToFit="0" vertical="center" wrapText="1"/>
    </xf>
    <xf borderId="0" fillId="0" fontId="16" numFmtId="0" xfId="0" applyAlignment="1" applyFont="1">
      <alignment horizontal="center" shrinkToFit="0" vertical="bottom" wrapText="0"/>
    </xf>
    <xf borderId="56" fillId="0" fontId="6" numFmtId="165" xfId="0" applyAlignment="1" applyBorder="1" applyFont="1" applyNumberFormat="1">
      <alignment horizontal="center" shrinkToFit="0" vertical="bottom" wrapText="0"/>
    </xf>
    <xf borderId="0" fillId="0" fontId="15" numFmtId="0" xfId="0" applyAlignment="1" applyFont="1">
      <alignment shrinkToFit="0" vertical="bottom" wrapText="0"/>
    </xf>
    <xf borderId="0" fillId="0" fontId="6" numFmtId="165" xfId="0" applyAlignment="1" applyFont="1" applyNumberFormat="1">
      <alignment horizontal="center" shrinkToFit="0" vertical="bottom" wrapText="0"/>
    </xf>
    <xf borderId="12" fillId="0" fontId="15" numFmtId="0" xfId="0" applyAlignment="1" applyBorder="1" applyFont="1">
      <alignment shrinkToFit="0" vertical="bottom" wrapText="0"/>
    </xf>
    <xf borderId="0" fillId="0" fontId="5" numFmtId="0" xfId="0" applyAlignment="1" applyFont="1">
      <alignment horizontal="center" shrinkToFit="0" vertical="bottom" wrapText="0"/>
    </xf>
    <xf borderId="39" fillId="0" fontId="2" numFmtId="0" xfId="0" applyAlignment="1" applyBorder="1" applyFont="1">
      <alignment shrinkToFit="0" vertical="bottom" wrapText="0"/>
    </xf>
    <xf borderId="67" fillId="0" fontId="2" numFmtId="0" xfId="0" applyAlignment="1" applyBorder="1" applyFont="1">
      <alignment horizontal="center" shrinkToFit="0" vertical="bottom" wrapText="0"/>
    </xf>
    <xf borderId="39" fillId="9" fontId="2" numFmtId="0" xfId="0" applyAlignment="1" applyBorder="1" applyFill="1" applyFont="1">
      <alignment horizontal="center" shrinkToFit="0" vertical="bottom" wrapText="0"/>
    </xf>
    <xf borderId="16" fillId="0" fontId="2" numFmtId="0" xfId="0" applyAlignment="1" applyBorder="1" applyFont="1">
      <alignment shrinkToFit="0" vertical="bottom" wrapText="0"/>
    </xf>
    <xf borderId="2" fillId="0" fontId="2" numFmtId="0" xfId="0" applyAlignment="1" applyBorder="1" applyFont="1">
      <alignment horizontal="center" shrinkToFit="0" vertical="bottom" wrapText="0"/>
    </xf>
    <xf borderId="16" fillId="9" fontId="2" numFmtId="0" xfId="0" applyAlignment="1" applyBorder="1" applyFont="1">
      <alignment horizontal="center" shrinkToFit="0" vertical="bottom" wrapText="0"/>
    </xf>
    <xf borderId="52" fillId="0" fontId="2" numFmtId="0" xfId="0" applyAlignment="1" applyBorder="1" applyFont="1">
      <alignment shrinkToFit="0" vertical="bottom" wrapText="0"/>
    </xf>
    <xf borderId="68" fillId="0" fontId="2" numFmtId="0" xfId="0" applyAlignment="1" applyBorder="1" applyFont="1">
      <alignment horizontal="center" shrinkToFit="0" vertical="bottom" wrapText="0"/>
    </xf>
    <xf borderId="69" fillId="0" fontId="2" numFmtId="0" xfId="0" applyAlignment="1" applyBorder="1" applyFont="1">
      <alignment horizontal="center" shrinkToFit="0" vertical="bottom" wrapText="0"/>
    </xf>
    <xf borderId="39" fillId="0" fontId="2" numFmtId="165" xfId="0" applyAlignment="1" applyBorder="1" applyFont="1" applyNumberFormat="1">
      <alignment horizontal="center" shrinkToFit="0" vertical="bottom" wrapText="0"/>
    </xf>
    <xf borderId="70" fillId="9" fontId="2" numFmtId="165" xfId="0" applyAlignment="1" applyBorder="1" applyFont="1" applyNumberFormat="1">
      <alignment horizontal="center" shrinkToFit="0" vertical="bottom" wrapText="0"/>
    </xf>
    <xf borderId="39" fillId="9" fontId="2" numFmtId="165" xfId="0" applyAlignment="1" applyBorder="1" applyFont="1" applyNumberFormat="1">
      <alignment horizontal="center" shrinkToFit="0" vertical="bottom" wrapText="0"/>
    </xf>
    <xf borderId="67" fillId="0" fontId="2" numFmtId="165" xfId="0" applyAlignment="1" applyBorder="1" applyFont="1" applyNumberFormat="1">
      <alignment horizontal="center" shrinkToFit="0" vertical="bottom" wrapText="0"/>
    </xf>
    <xf borderId="71" fillId="0" fontId="2" numFmtId="165" xfId="0" applyAlignment="1" applyBorder="1" applyFont="1" applyNumberFormat="1">
      <alignment horizontal="center" shrinkToFit="0" vertical="bottom" wrapText="0"/>
    </xf>
    <xf borderId="16" fillId="0" fontId="2" numFmtId="165" xfId="0" applyAlignment="1" applyBorder="1" applyFont="1" applyNumberFormat="1">
      <alignment horizontal="center" shrinkToFit="0" vertical="bottom" wrapText="0"/>
    </xf>
    <xf borderId="72" fillId="9" fontId="2" numFmtId="165" xfId="0" applyAlignment="1" applyBorder="1" applyFont="1" applyNumberFormat="1">
      <alignment horizontal="center" shrinkToFit="0" vertical="bottom" wrapText="0"/>
    </xf>
    <xf borderId="16" fillId="9" fontId="2" numFmtId="165" xfId="0" applyAlignment="1" applyBorder="1" applyFont="1" applyNumberFormat="1">
      <alignment horizontal="center" shrinkToFit="0" vertical="bottom" wrapText="0"/>
    </xf>
    <xf borderId="2" fillId="0" fontId="2" numFmtId="165" xfId="0" applyAlignment="1" applyBorder="1" applyFont="1" applyNumberFormat="1">
      <alignment horizontal="center" shrinkToFit="0" vertical="bottom" wrapText="0"/>
    </xf>
    <xf borderId="50" fillId="0" fontId="2" numFmtId="165" xfId="0" applyAlignment="1" applyBorder="1" applyFont="1" applyNumberFormat="1">
      <alignment horizontal="center" shrinkToFit="0" vertical="bottom" wrapText="0"/>
    </xf>
    <xf borderId="52" fillId="0" fontId="2" numFmtId="165" xfId="0" applyAlignment="1" applyBorder="1" applyFont="1" applyNumberFormat="1">
      <alignment horizontal="center" shrinkToFit="0" vertical="bottom" wrapText="0"/>
    </xf>
    <xf borderId="68" fillId="0" fontId="2" numFmtId="165" xfId="0" applyAlignment="1" applyBorder="1" applyFont="1" applyNumberFormat="1">
      <alignment horizontal="center" shrinkToFit="0" vertical="bottom" wrapText="0"/>
    </xf>
    <xf borderId="73" fillId="0" fontId="2" numFmtId="165" xfId="0" applyAlignment="1" applyBorder="1" applyFont="1" applyNumberFormat="1">
      <alignment horizontal="center" shrinkToFit="0" vertical="bottom" wrapText="0"/>
    </xf>
    <xf borderId="0" fillId="0" fontId="15" numFmtId="0" xfId="0" applyAlignment="1" applyFont="1">
      <alignment horizontal="left" shrinkToFit="0" vertical="bottom" wrapText="0"/>
    </xf>
    <xf borderId="38" fillId="0" fontId="2" numFmtId="0" xfId="0" applyAlignment="1" applyBorder="1" applyFont="1">
      <alignment horizontal="center" shrinkToFit="0" vertical="bottom" wrapText="0"/>
    </xf>
    <xf borderId="38" fillId="0" fontId="6" numFmtId="165" xfId="0" applyAlignment="1" applyBorder="1" applyFont="1" applyNumberFormat="1">
      <alignment horizontal="center" shrinkToFit="0" vertical="bottom" wrapText="0"/>
    </xf>
    <xf borderId="39" fillId="0" fontId="6" numFmtId="165" xfId="0" applyAlignment="1" applyBorder="1" applyFont="1" applyNumberFormat="1">
      <alignment horizontal="center" shrinkToFit="0" vertical="bottom" wrapText="0"/>
    </xf>
    <xf borderId="67" fillId="0" fontId="6" numFmtId="165" xfId="0" applyAlignment="1" applyBorder="1" applyFont="1" applyNumberFormat="1">
      <alignment horizontal="center" shrinkToFit="0" vertical="bottom" wrapText="0"/>
    </xf>
    <xf borderId="22" fillId="0" fontId="2" numFmtId="0" xfId="0" applyAlignment="1" applyBorder="1" applyFont="1">
      <alignment horizontal="center" shrinkToFit="0" vertical="bottom" wrapText="0"/>
    </xf>
    <xf borderId="22" fillId="0" fontId="6" numFmtId="165" xfId="0" applyAlignment="1" applyBorder="1" applyFont="1" applyNumberFormat="1">
      <alignment horizontal="center" shrinkToFit="0" vertical="bottom" wrapText="0"/>
    </xf>
    <xf borderId="16" fillId="0" fontId="6" numFmtId="165" xfId="0" applyAlignment="1" applyBorder="1" applyFont="1" applyNumberFormat="1">
      <alignment horizontal="center" shrinkToFit="0" vertical="bottom" wrapText="0"/>
    </xf>
    <xf borderId="2" fillId="0" fontId="6" numFmtId="165" xfId="0" applyAlignment="1" applyBorder="1" applyFont="1" applyNumberFormat="1">
      <alignment horizontal="center" shrinkToFit="0" vertical="bottom" wrapText="0"/>
    </xf>
    <xf borderId="51" fillId="0" fontId="2" numFmtId="0" xfId="0" applyAlignment="1" applyBorder="1" applyFont="1">
      <alignment horizontal="center" shrinkToFit="0" vertical="bottom" wrapText="0"/>
    </xf>
    <xf borderId="51" fillId="0" fontId="6" numFmtId="165" xfId="0" applyAlignment="1" applyBorder="1" applyFont="1" applyNumberFormat="1">
      <alignment horizontal="center" shrinkToFit="0" vertical="bottom" wrapText="0"/>
    </xf>
    <xf borderId="52" fillId="0" fontId="6" numFmtId="165" xfId="0" applyAlignment="1" applyBorder="1" applyFont="1" applyNumberFormat="1">
      <alignment horizontal="center" shrinkToFit="0" vertical="bottom" wrapText="0"/>
    </xf>
    <xf borderId="68" fillId="0" fontId="6" numFmtId="165" xfId="0" applyAlignment="1" applyBorder="1" applyFont="1" applyNumberFormat="1">
      <alignment horizontal="center" shrinkToFit="0" vertical="bottom" wrapText="0"/>
    </xf>
    <xf borderId="45" fillId="0" fontId="6" numFmtId="165" xfId="0" applyAlignment="1" applyBorder="1" applyFont="1" applyNumberFormat="1">
      <alignment horizontal="center" shrinkToFit="0" vertical="bottom" wrapText="0"/>
    </xf>
    <xf borderId="12" fillId="0" fontId="6" numFmtId="165" xfId="0" applyAlignment="1" applyBorder="1" applyFont="1" applyNumberFormat="1">
      <alignment horizontal="center" shrinkToFit="0" vertical="bottom" wrapText="0"/>
    </xf>
    <xf borderId="0" fillId="0" fontId="12" numFmtId="9" xfId="0" applyAlignment="1" applyFont="1" applyNumberFormat="1">
      <alignment horizontal="center" shrinkToFit="0" vertical="bottom" wrapText="0"/>
    </xf>
    <xf borderId="29" fillId="0" fontId="14" numFmtId="0" xfId="0" applyAlignment="1" applyBorder="1" applyFont="1">
      <alignment shrinkToFit="0" vertical="bottom" wrapText="0"/>
    </xf>
    <xf borderId="29" fillId="0" fontId="12" numFmtId="167" xfId="0" applyAlignment="1" applyBorder="1" applyFont="1" applyNumberFormat="1">
      <alignment horizontal="center" shrinkToFit="0" vertical="bottom" wrapText="0"/>
    </xf>
    <xf borderId="74" fillId="0" fontId="12" numFmtId="167" xfId="0" applyAlignment="1" applyBorder="1" applyFont="1" applyNumberFormat="1">
      <alignment horizontal="center" shrinkToFit="0" vertical="bottom" wrapText="0"/>
    </xf>
    <xf borderId="34" fillId="0" fontId="14" numFmtId="0" xfId="0" applyAlignment="1" applyBorder="1" applyFont="1">
      <alignment shrinkToFit="0" vertical="bottom" wrapText="0"/>
    </xf>
    <xf borderId="34" fillId="0" fontId="12" numFmtId="167" xfId="0" applyAlignment="1" applyBorder="1" applyFont="1" applyNumberFormat="1">
      <alignment horizontal="center" shrinkToFit="0" vertical="bottom" wrapText="0"/>
    </xf>
    <xf borderId="75" fillId="0" fontId="12" numFmtId="167" xfId="0" applyAlignment="1" applyBorder="1" applyFont="1" applyNumberFormat="1">
      <alignment horizontal="center" shrinkToFit="0" vertical="bottom" wrapText="0"/>
    </xf>
    <xf borderId="0" fillId="0" fontId="16" numFmtId="0" xfId="0" applyAlignment="1" applyFont="1">
      <alignment shrinkToFit="0" vertical="bottom" wrapText="0"/>
    </xf>
    <xf borderId="12" fillId="0" fontId="14" numFmtId="0" xfId="0" applyAlignment="1" applyBorder="1" applyFont="1">
      <alignment shrinkToFit="0" vertical="bottom" wrapText="0"/>
    </xf>
    <xf borderId="56" fillId="0" fontId="2" numFmtId="165" xfId="0" applyAlignment="1" applyBorder="1" applyFont="1" applyNumberFormat="1">
      <alignment horizontal="center" shrinkToFit="0" vertical="bottom" wrapText="0"/>
    </xf>
    <xf borderId="12" fillId="0" fontId="2" numFmtId="165" xfId="0" applyAlignment="1" applyBorder="1" applyFont="1" applyNumberFormat="1">
      <alignment horizontal="center" shrinkToFit="0" vertical="bottom" wrapText="0"/>
    </xf>
    <xf borderId="0" fillId="0" fontId="17" numFmtId="0" xfId="0" applyFont="1"/>
    <xf borderId="0" fillId="0" fontId="18" numFmtId="0" xfId="0" applyAlignment="1" applyFont="1">
      <alignment horizontal="center" shrinkToFit="0" vertical="bottom" wrapText="0"/>
    </xf>
    <xf borderId="0" fillId="0" fontId="16" numFmtId="165" xfId="0" applyAlignment="1" applyFont="1" applyNumberFormat="1">
      <alignment horizontal="center" shrinkToFit="0" vertical="bottom" wrapText="0"/>
    </xf>
    <xf borderId="0" fillId="0" fontId="19" numFmtId="0" xfId="0" applyAlignment="1" applyFont="1">
      <alignment horizontal="left" shrinkToFit="0" vertical="bottom" wrapText="0"/>
    </xf>
    <xf borderId="0" fillId="0" fontId="12" numFmtId="165" xfId="0" applyAlignment="1" applyFont="1" applyNumberFormat="1">
      <alignment horizontal="center" shrinkToFit="0" vertical="bottom" wrapText="0"/>
    </xf>
    <xf borderId="45" fillId="9" fontId="19" numFmtId="0" xfId="0" applyAlignment="1" applyBorder="1" applyFont="1">
      <alignment horizontal="left" shrinkToFit="0" vertical="bottom" wrapText="0"/>
    </xf>
    <xf borderId="12" fillId="9" fontId="12" numFmtId="165" xfId="0" applyAlignment="1" applyBorder="1" applyFont="1" applyNumberFormat="1">
      <alignment horizontal="center" shrinkToFit="0" vertical="bottom" wrapText="0"/>
    </xf>
    <xf borderId="76" fillId="9" fontId="12" numFmtId="165" xfId="0" applyAlignment="1" applyBorder="1" applyFont="1" applyNumberFormat="1">
      <alignment horizontal="center" shrinkToFit="0" vertical="bottom" wrapText="0"/>
    </xf>
    <xf borderId="77" fillId="9" fontId="12" numFmtId="165" xfId="0" applyAlignment="1" applyBorder="1" applyFont="1" applyNumberFormat="1">
      <alignment horizontal="center" shrinkToFit="0" vertical="bottom" wrapText="0"/>
    </xf>
    <xf borderId="38" fillId="0" fontId="14" numFmtId="0" xfId="0" applyAlignment="1" applyBorder="1" applyFont="1">
      <alignment shrinkToFit="0" vertical="bottom" wrapText="0"/>
    </xf>
    <xf borderId="39" fillId="0" fontId="12" numFmtId="168" xfId="0" applyAlignment="1" applyBorder="1" applyFont="1" applyNumberFormat="1">
      <alignment horizontal="center" shrinkToFit="0" vertical="bottom" wrapText="0"/>
    </xf>
    <xf borderId="67" fillId="0" fontId="12" numFmtId="168" xfId="0" applyAlignment="1" applyBorder="1" applyFont="1" applyNumberFormat="1">
      <alignment horizontal="center" shrinkToFit="0" vertical="bottom" wrapText="0"/>
    </xf>
    <xf borderId="71" fillId="0" fontId="12" numFmtId="168" xfId="0" applyAlignment="1" applyBorder="1" applyFont="1" applyNumberFormat="1">
      <alignment horizontal="center" shrinkToFit="0" vertical="bottom" wrapText="0"/>
    </xf>
    <xf borderId="51" fillId="0" fontId="14" numFmtId="0" xfId="0" applyAlignment="1" applyBorder="1" applyFont="1">
      <alignment shrinkToFit="0" vertical="bottom" wrapText="0"/>
    </xf>
    <xf borderId="52" fillId="0" fontId="12" numFmtId="168" xfId="0" applyAlignment="1" applyBorder="1" applyFont="1" applyNumberFormat="1">
      <alignment horizontal="center" shrinkToFit="0" vertical="bottom" wrapText="0"/>
    </xf>
    <xf borderId="68" fillId="0" fontId="12" numFmtId="168" xfId="0" applyAlignment="1" applyBorder="1" applyFont="1" applyNumberFormat="1">
      <alignment horizontal="center" shrinkToFit="0" vertical="bottom" wrapText="0"/>
    </xf>
    <xf borderId="73" fillId="0" fontId="12" numFmtId="168" xfId="0" applyAlignment="1" applyBorder="1" applyFont="1" applyNumberFormat="1">
      <alignment horizontal="center" shrinkToFit="0" vertical="bottom" wrapText="0"/>
    </xf>
    <xf borderId="0" fillId="0" fontId="12" numFmtId="168" xfId="0" applyAlignment="1" applyFont="1" applyNumberFormat="1">
      <alignment horizontal="center" shrinkToFit="0" vertical="bottom" wrapText="0"/>
    </xf>
    <xf borderId="0" fillId="0" fontId="12" numFmtId="165" xfId="0" applyAlignment="1" applyFont="1" applyNumberFormat="1">
      <alignment shrinkToFit="0" vertical="bottom" wrapText="0"/>
    </xf>
    <xf borderId="0" fillId="0" fontId="19" numFmtId="0" xfId="0" applyAlignment="1" applyFont="1">
      <alignment shrinkToFit="0" vertical="bottom" wrapText="0"/>
    </xf>
    <xf borderId="78" fillId="2" fontId="12" numFmtId="0" xfId="0" applyAlignment="1" applyBorder="1" applyFont="1">
      <alignment shrinkToFit="0" vertical="bottom" wrapText="0"/>
    </xf>
    <xf borderId="0" fillId="0" fontId="19" numFmtId="0" xfId="0" applyAlignment="1" applyFont="1">
      <alignment horizontal="center" shrinkToFit="0" vertical="bottom" wrapText="0"/>
    </xf>
    <xf borderId="0" fillId="0" fontId="12" numFmtId="0" xfId="0" applyAlignment="1" applyFont="1">
      <alignment horizontal="center" shrinkToFit="0" vertical="bottom" wrapText="0"/>
    </xf>
    <xf borderId="0" fillId="0" fontId="12" numFmtId="169" xfId="0" applyAlignment="1" applyFont="1" applyNumberFormat="1">
      <alignment horizontal="center" shrinkToFit="0" vertical="bottom" wrapText="0"/>
    </xf>
    <xf borderId="0" fillId="0" fontId="12" numFmtId="169" xfId="0" applyAlignment="1" applyFont="1" applyNumberFormat="1">
      <alignment shrinkToFit="0" vertical="bottom" wrapText="0"/>
    </xf>
    <xf borderId="0" fillId="0" fontId="12" numFmtId="170" xfId="0" applyAlignment="1" applyFont="1" applyNumberFormat="1">
      <alignment shrinkToFit="0" vertical="bottom" wrapText="0"/>
    </xf>
    <xf borderId="12" fillId="0" fontId="12" numFmtId="0" xfId="0" applyAlignment="1" applyBorder="1" applyFont="1">
      <alignment shrinkToFit="0" vertical="bottom" wrapText="0"/>
    </xf>
    <xf borderId="46" fillId="0" fontId="19" numFmtId="0" xfId="0" applyAlignment="1" applyBorder="1" applyFont="1">
      <alignment horizontal="center" shrinkToFit="0" vertical="bottom" wrapText="0"/>
    </xf>
    <xf borderId="15" fillId="0" fontId="19" numFmtId="0" xfId="0" applyAlignment="1" applyBorder="1" applyFont="1">
      <alignment horizontal="center" shrinkToFit="0" vertical="bottom" wrapText="0"/>
    </xf>
    <xf borderId="47" fillId="0" fontId="19" numFmtId="0" xfId="0" applyAlignment="1" applyBorder="1" applyFont="1">
      <alignment shrinkToFit="0" vertical="bottom" wrapText="0"/>
    </xf>
    <xf borderId="21" fillId="0" fontId="12" numFmtId="170" xfId="0" applyAlignment="1" applyBorder="1" applyFont="1" applyNumberFormat="1">
      <alignment horizontal="center" shrinkToFit="0" vertical="bottom" wrapText="0"/>
    </xf>
    <xf borderId="60" fillId="0" fontId="12" numFmtId="170" xfId="0" applyAlignment="1" applyBorder="1" applyFont="1" applyNumberFormat="1">
      <alignment horizontal="center" shrinkToFit="0" vertical="bottom" wrapText="0"/>
    </xf>
    <xf borderId="0" fillId="0" fontId="12" numFmtId="170" xfId="0" applyAlignment="1" applyFont="1" applyNumberFormat="1">
      <alignment horizontal="center" shrinkToFit="0" vertical="bottom" wrapText="0"/>
    </xf>
    <xf borderId="16" fillId="0" fontId="19" numFmtId="0" xfId="0" applyAlignment="1" applyBorder="1" applyFont="1">
      <alignment shrinkToFit="0" vertical="bottom" wrapText="0"/>
    </xf>
    <xf borderId="17" fillId="0" fontId="12" numFmtId="170" xfId="0" applyAlignment="1" applyBorder="1" applyFont="1" applyNumberFormat="1">
      <alignment horizontal="center" shrinkToFit="0" vertical="bottom" wrapText="0"/>
    </xf>
    <xf borderId="19" fillId="0" fontId="12" numFmtId="170" xfId="0" applyAlignment="1" applyBorder="1" applyFont="1" applyNumberFormat="1">
      <alignment horizontal="center" shrinkToFit="0" vertical="bottom" wrapText="0"/>
    </xf>
    <xf borderId="52" fillId="0" fontId="19" numFmtId="0" xfId="0" applyAlignment="1" applyBorder="1" applyFont="1">
      <alignment shrinkToFit="0" vertical="bottom" wrapText="0"/>
    </xf>
    <xf borderId="62" fillId="0" fontId="12" numFmtId="170" xfId="0" applyAlignment="1" applyBorder="1" applyFont="1" applyNumberFormat="1">
      <alignment horizontal="center" shrinkToFit="0" vertical="bottom" wrapText="0"/>
    </xf>
    <xf borderId="55" fillId="0" fontId="12" numFmtId="170" xfId="0" applyAlignment="1" applyBorder="1" applyFont="1" applyNumberFormat="1">
      <alignment horizontal="center" shrinkToFit="0" vertical="bottom" wrapText="0"/>
    </xf>
    <xf borderId="45" fillId="0" fontId="19" numFmtId="0" xfId="0" applyAlignment="1" applyBorder="1" applyFont="1">
      <alignment horizontal="center" shrinkToFit="0" vertical="bottom" wrapText="0"/>
    </xf>
    <xf borderId="12" fillId="2" fontId="19" numFmtId="0" xfId="0" applyAlignment="1" applyBorder="1" applyFont="1">
      <alignment horizontal="center" shrinkToFit="0" vertical="bottom" wrapText="0"/>
    </xf>
    <xf borderId="0" fillId="0" fontId="19" numFmtId="170" xfId="0" applyAlignment="1" applyFont="1" applyNumberFormat="1">
      <alignment shrinkToFit="0" vertical="bottom" wrapText="0"/>
    </xf>
    <xf borderId="12" fillId="2" fontId="19" numFmtId="170" xfId="0" applyAlignment="1" applyBorder="1" applyFont="1" applyNumberFormat="1">
      <alignment shrinkToFit="0" vertical="bottom" wrapText="0"/>
    </xf>
    <xf borderId="79" fillId="0" fontId="19" numFmtId="0" xfId="0" applyAlignment="1" applyBorder="1" applyFont="1">
      <alignment horizontal="center" shrinkToFit="0" vertical="bottom" wrapText="0"/>
    </xf>
    <xf borderId="14" fillId="0" fontId="19" numFmtId="0" xfId="0" applyAlignment="1" applyBorder="1" applyFont="1">
      <alignment horizontal="center" shrinkToFit="0" vertical="bottom" wrapText="0"/>
    </xf>
    <xf borderId="39" fillId="0" fontId="19" numFmtId="0" xfId="0" applyAlignment="1" applyBorder="1" applyFont="1">
      <alignment shrinkToFit="0" vertical="bottom" wrapText="0"/>
    </xf>
    <xf borderId="40" fillId="0" fontId="12" numFmtId="170" xfId="0" applyAlignment="1" applyBorder="1" applyFont="1" applyNumberFormat="1">
      <alignment horizontal="center" shrinkToFit="0" vertical="bottom" wrapText="0"/>
    </xf>
    <xf borderId="41" fillId="0" fontId="12" numFmtId="170" xfId="0" applyAlignment="1" applyBorder="1" applyFont="1" applyNumberFormat="1">
      <alignment horizontal="center" shrinkToFit="0" vertical="bottom" wrapText="0"/>
    </xf>
    <xf borderId="41" fillId="0" fontId="12" numFmtId="170" xfId="0" applyAlignment="1" applyBorder="1" applyFont="1" applyNumberFormat="1">
      <alignment shrinkToFit="0" vertical="bottom" wrapText="0"/>
    </xf>
    <xf borderId="42" fillId="0" fontId="12" numFmtId="170" xfId="0" applyAlignment="1" applyBorder="1" applyFont="1" applyNumberFormat="1">
      <alignment horizontal="center" shrinkToFit="0" vertical="bottom" wrapText="0"/>
    </xf>
    <xf borderId="18" fillId="0" fontId="12" numFmtId="0" xfId="0" applyAlignment="1" applyBorder="1" applyFont="1">
      <alignment shrinkToFit="0" vertical="bottom" wrapText="0"/>
    </xf>
    <xf borderId="18" fillId="0" fontId="12" numFmtId="170" xfId="0" applyAlignment="1" applyBorder="1" applyFont="1" applyNumberFormat="1">
      <alignment shrinkToFit="0" vertical="bottom" wrapText="0"/>
    </xf>
    <xf borderId="56" fillId="0" fontId="16" numFmtId="0" xfId="0" applyAlignment="1" applyBorder="1" applyFont="1">
      <alignment horizontal="center" shrinkToFit="0" vertical="bottom" wrapText="0"/>
    </xf>
    <xf borderId="54" fillId="0" fontId="12" numFmtId="0" xfId="0" applyAlignment="1" applyBorder="1" applyFont="1">
      <alignment shrinkToFit="0" vertical="bottom" wrapText="0"/>
    </xf>
    <xf borderId="54" fillId="0" fontId="12" numFmtId="170" xfId="0" applyAlignment="1" applyBorder="1" applyFont="1" applyNumberFormat="1">
      <alignment shrinkToFit="0" vertical="bottom" wrapText="0"/>
    </xf>
    <xf borderId="77" fillId="2" fontId="16" numFmtId="0" xfId="0" applyAlignment="1" applyBorder="1" applyFont="1">
      <alignment horizontal="center" shrinkToFit="0" vertical="bottom" wrapText="0"/>
    </xf>
    <xf borderId="12" fillId="2" fontId="16" numFmtId="0" xfId="0" applyAlignment="1" applyBorder="1" applyFont="1">
      <alignment horizontal="center" shrinkToFit="0" vertical="bottom" wrapText="0"/>
    </xf>
    <xf borderId="34" fillId="0" fontId="12" numFmtId="0" xfId="0" applyAlignment="1" applyBorder="1" applyFont="1">
      <alignment shrinkToFit="0" vertical="bottom" wrapText="0"/>
    </xf>
    <xf borderId="35" fillId="0" fontId="12" numFmtId="0" xfId="0" applyAlignment="1" applyBorder="1" applyFont="1">
      <alignment shrinkToFit="0" vertical="bottom" wrapText="0"/>
    </xf>
    <xf borderId="36" fillId="0" fontId="12" numFmtId="0" xfId="0" applyAlignment="1" applyBorder="1" applyFont="1">
      <alignment shrinkToFit="0" vertical="bottom" wrapText="0"/>
    </xf>
    <xf borderId="36" fillId="0" fontId="19" numFmtId="0" xfId="0" applyAlignment="1" applyBorder="1" applyFont="1">
      <alignment shrinkToFit="0" vertical="bottom" wrapText="0"/>
    </xf>
    <xf borderId="37" fillId="0" fontId="16" numFmtId="170" xfId="0" applyAlignment="1" applyBorder="1" applyFont="1" applyNumberFormat="1">
      <alignment horizontal="center" shrinkToFit="0" vertical="bottom" wrapText="0"/>
    </xf>
    <xf borderId="77" fillId="2" fontId="19" numFmtId="170" xfId="0" applyAlignment="1" applyBorder="1" applyFont="1" applyNumberFormat="1">
      <alignment shrinkToFit="0" vertical="bottom" wrapText="0"/>
    </xf>
    <xf borderId="78" fillId="2" fontId="19" numFmtId="0" xfId="0" applyAlignment="1" applyBorder="1" applyFont="1">
      <alignment shrinkToFit="0" vertical="bottom" wrapText="0"/>
    </xf>
    <xf borderId="12" fillId="0" fontId="20" numFmtId="0" xfId="0" applyAlignment="1" applyBorder="1" applyFont="1">
      <alignment shrinkToFit="0" vertical="bottom" wrapText="0"/>
    </xf>
    <xf borderId="12" fillId="0" fontId="19" numFmtId="0" xfId="0" applyAlignment="1" applyBorder="1" applyFont="1">
      <alignment horizontal="center" shrinkToFit="0" vertical="bottom" wrapText="0"/>
    </xf>
    <xf borderId="47" fillId="0" fontId="12" numFmtId="0" xfId="0" applyAlignment="1" applyBorder="1" applyFont="1">
      <alignment horizontal="left" shrinkToFit="0" vertical="bottom" wrapText="0"/>
    </xf>
    <xf borderId="21" fillId="0" fontId="12" numFmtId="0" xfId="0" applyAlignment="1" applyBorder="1" applyFont="1">
      <alignment shrinkToFit="0" vertical="bottom" wrapText="0"/>
    </xf>
    <xf borderId="59" fillId="0" fontId="12" numFmtId="170" xfId="0" applyAlignment="1" applyBorder="1" applyFont="1" applyNumberFormat="1">
      <alignment horizontal="center" shrinkToFit="0" vertical="bottom" wrapText="0"/>
    </xf>
    <xf borderId="59" fillId="0" fontId="12" numFmtId="0" xfId="0" applyAlignment="1" applyBorder="1" applyFont="1">
      <alignment horizontal="center" shrinkToFit="0" vertical="bottom" wrapText="0"/>
    </xf>
    <xf borderId="59" fillId="0" fontId="12" numFmtId="171" xfId="0" applyAlignment="1" applyBorder="1" applyFont="1" applyNumberFormat="1">
      <alignment horizontal="center" shrinkToFit="0" vertical="bottom" wrapText="0"/>
    </xf>
    <xf borderId="60" fillId="0" fontId="12" numFmtId="171" xfId="0" applyAlignment="1" applyBorder="1" applyFont="1" applyNumberFormat="1">
      <alignment horizontal="center" shrinkToFit="0" vertical="bottom" wrapText="0"/>
    </xf>
    <xf borderId="52" fillId="0" fontId="12" numFmtId="0" xfId="0" applyAlignment="1" applyBorder="1" applyFont="1">
      <alignment shrinkToFit="0" vertical="bottom" wrapText="1"/>
    </xf>
    <xf borderId="62" fillId="0" fontId="12" numFmtId="0" xfId="0" applyAlignment="1" applyBorder="1" applyFont="1">
      <alignment horizontal="center" shrinkToFit="0" vertical="bottom" wrapText="1"/>
    </xf>
    <xf borderId="54" fillId="0" fontId="12" numFmtId="170" xfId="0" applyAlignment="1" applyBorder="1" applyFont="1" applyNumberFormat="1">
      <alignment horizontal="center" shrinkToFit="0" vertical="bottom" wrapText="0"/>
    </xf>
    <xf borderId="54" fillId="0" fontId="12" numFmtId="3" xfId="0" applyAlignment="1" applyBorder="1" applyFont="1" applyNumberFormat="1">
      <alignment horizontal="center" shrinkToFit="0" vertical="bottom" wrapText="0"/>
    </xf>
    <xf borderId="54" fillId="0" fontId="12" numFmtId="171" xfId="0" applyAlignment="1" applyBorder="1" applyFont="1" applyNumberFormat="1">
      <alignment horizontal="center" shrinkToFit="0" vertical="bottom" wrapText="0"/>
    </xf>
    <xf borderId="55" fillId="0" fontId="12" numFmtId="171" xfId="0" applyAlignment="1" applyBorder="1" applyFont="1" applyNumberFormat="1">
      <alignment horizontal="center" shrinkToFit="0" vertical="bottom" wrapText="0"/>
    </xf>
    <xf borderId="0" fillId="0" fontId="12" numFmtId="0" xfId="0" applyAlignment="1" applyFont="1">
      <alignment shrinkToFit="0" vertical="bottom" wrapText="1"/>
    </xf>
    <xf borderId="0" fillId="0" fontId="12" numFmtId="0" xfId="0" applyAlignment="1" applyFont="1">
      <alignment horizontal="center" shrinkToFit="0" vertical="bottom" wrapText="1"/>
    </xf>
    <xf borderId="0" fillId="0" fontId="12" numFmtId="3" xfId="0" applyAlignment="1" applyFont="1" applyNumberFormat="1">
      <alignment horizontal="center" shrinkToFit="0" vertical="bottom" wrapText="0"/>
    </xf>
    <xf borderId="0" fillId="0" fontId="12" numFmtId="171" xfId="0" applyAlignment="1" applyFont="1" applyNumberFormat="1">
      <alignment horizontal="center" shrinkToFit="0" vertical="bottom" wrapText="0"/>
    </xf>
    <xf borderId="0" fillId="0" fontId="21" numFmtId="0" xfId="0" applyAlignment="1" applyFont="1">
      <alignment horizontal="left" shrinkToFit="0" vertical="bottom" wrapText="0"/>
    </xf>
    <xf borderId="12" fillId="0" fontId="15" numFmtId="0" xfId="0" applyAlignment="1" applyBorder="1" applyFont="1">
      <alignment horizontal="left" shrinkToFit="0" vertical="bottom" wrapText="0"/>
    </xf>
    <xf borderId="56" fillId="0" fontId="19" numFmtId="0" xfId="0" applyAlignment="1" applyBorder="1" applyFont="1">
      <alignment horizontal="center" shrinkToFit="0" vertical="bottom" wrapText="0"/>
    </xf>
    <xf borderId="47" fillId="0" fontId="12" numFmtId="0" xfId="0" applyAlignment="1" applyBorder="1" applyFont="1">
      <alignment shrinkToFit="0" vertical="bottom" wrapText="0"/>
    </xf>
    <xf borderId="80" fillId="0" fontId="12" numFmtId="170" xfId="0" applyAlignment="1" applyBorder="1" applyFont="1" applyNumberFormat="1">
      <alignment horizontal="center" shrinkToFit="0" vertical="bottom" wrapText="0"/>
    </xf>
    <xf borderId="39" fillId="0" fontId="12" numFmtId="170" xfId="0" applyAlignment="1" applyBorder="1" applyFont="1" applyNumberFormat="1">
      <alignment horizontal="center" shrinkToFit="0" vertical="bottom" wrapText="0"/>
    </xf>
    <xf borderId="52" fillId="0" fontId="12" numFmtId="0" xfId="0" applyAlignment="1" applyBorder="1" applyFont="1">
      <alignment shrinkToFit="0" vertical="bottom" wrapText="0"/>
    </xf>
    <xf borderId="68" fillId="0" fontId="12" numFmtId="170" xfId="0" applyAlignment="1" applyBorder="1" applyFont="1" applyNumberFormat="1">
      <alignment horizontal="center" shrinkToFit="0" vertical="bottom" wrapText="0"/>
    </xf>
    <xf borderId="52" fillId="0" fontId="12" numFmtId="170" xfId="0" applyAlignment="1" applyBorder="1" applyFont="1" applyNumberFormat="1">
      <alignment horizontal="center" shrinkToFit="0" vertical="bottom" wrapText="0"/>
    </xf>
    <xf borderId="81" fillId="9" fontId="19" numFmtId="170" xfId="0" applyAlignment="1" applyBorder="1" applyFont="1" applyNumberFormat="1">
      <alignment horizontal="center" shrinkToFit="0" vertical="bottom" wrapText="0"/>
    </xf>
    <xf borderId="82" fillId="9" fontId="19" numFmtId="170" xfId="0" applyAlignment="1" applyBorder="1" applyFont="1" applyNumberFormat="1">
      <alignment horizontal="center" shrinkToFit="0" vertical="bottom" wrapText="0"/>
    </xf>
    <xf borderId="83" fillId="9" fontId="19" numFmtId="170" xfId="0" applyAlignment="1" applyBorder="1" applyFont="1" applyNumberFormat="1">
      <alignment horizontal="center" shrinkToFit="0" vertical="bottom" wrapText="0"/>
    </xf>
    <xf borderId="45" fillId="0" fontId="16" numFmtId="0" xfId="0" applyAlignment="1" applyBorder="1" applyFont="1">
      <alignment horizontal="center" shrinkToFit="0" vertical="bottom" wrapText="0"/>
    </xf>
    <xf borderId="0" fillId="0" fontId="16" numFmtId="0" xfId="0" applyAlignment="1" applyFont="1">
      <alignment horizontal="left" shrinkToFit="0" vertical="bottom" wrapText="0"/>
    </xf>
    <xf borderId="0" fillId="0" fontId="22" numFmtId="0" xfId="0" applyAlignment="1" applyFont="1">
      <alignment shrinkToFit="0" vertical="bottom" wrapText="0"/>
    </xf>
    <xf borderId="28" fillId="0" fontId="16" numFmtId="0" xfId="0" applyAlignment="1" applyBorder="1" applyFont="1">
      <alignment horizontal="center" shrinkToFit="0" vertical="bottom" wrapText="0"/>
    </xf>
    <xf borderId="29" fillId="0" fontId="16" numFmtId="3" xfId="0" applyAlignment="1" applyBorder="1" applyFont="1" applyNumberFormat="1">
      <alignment horizontal="center" shrinkToFit="0" vertical="bottom" wrapText="0"/>
    </xf>
    <xf borderId="39" fillId="0" fontId="12" numFmtId="0" xfId="0" applyAlignment="1" applyBorder="1" applyFont="1">
      <alignment shrinkToFit="0" vertical="bottom" wrapText="0"/>
    </xf>
    <xf borderId="39" fillId="0" fontId="12" numFmtId="0" xfId="0" applyAlignment="1" applyBorder="1" applyFont="1">
      <alignment horizontal="center" shrinkToFit="0" vertical="bottom" wrapText="0"/>
    </xf>
    <xf borderId="16" fillId="0" fontId="12" numFmtId="0" xfId="0" applyAlignment="1" applyBorder="1" applyFont="1">
      <alignment shrinkToFit="0" vertical="bottom" wrapText="0"/>
    </xf>
    <xf borderId="16" fillId="0" fontId="12" numFmtId="170" xfId="0" applyAlignment="1" applyBorder="1" applyFont="1" applyNumberFormat="1">
      <alignment horizontal="center" shrinkToFit="0" vertical="bottom" wrapText="0"/>
    </xf>
    <xf borderId="16" fillId="0" fontId="12" numFmtId="0" xfId="0" applyAlignment="1" applyBorder="1" applyFont="1">
      <alignment horizontal="center" shrinkToFit="0" vertical="bottom" wrapText="0"/>
    </xf>
    <xf borderId="52" fillId="0" fontId="12" numFmtId="0" xfId="0" applyAlignment="1" applyBorder="1" applyFont="1">
      <alignment horizontal="center" shrinkToFit="0" vertical="bottom" wrapText="0"/>
    </xf>
    <xf borderId="12" fillId="9" fontId="16" numFmtId="170" xfId="0" applyAlignment="1" applyBorder="1" applyFont="1" applyNumberFormat="1">
      <alignment horizontal="center" shrinkToFit="0" vertical="bottom" wrapText="0"/>
    </xf>
    <xf borderId="0" fillId="0" fontId="12" numFmtId="0" xfId="0" applyAlignment="1" applyFont="1">
      <alignment horizontal="right" shrinkToFit="0" vertical="bottom" wrapText="0"/>
    </xf>
    <xf borderId="0" fillId="0" fontId="16" numFmtId="170" xfId="0" applyAlignment="1" applyFont="1" applyNumberFormat="1">
      <alignment horizontal="center" shrinkToFit="0" vertical="bottom" wrapText="0"/>
    </xf>
    <xf borderId="12" fillId="0" fontId="12" numFmtId="170" xfId="0" applyAlignment="1" applyBorder="1" applyFont="1" applyNumberFormat="1">
      <alignment horizontal="center" shrinkToFit="0" vertical="bottom" wrapText="0"/>
    </xf>
    <xf borderId="12" fillId="0" fontId="12" numFmtId="0" xfId="0" applyAlignment="1" applyBorder="1" applyFont="1">
      <alignment horizontal="center" shrinkToFit="0" vertical="bottom" wrapText="0"/>
    </xf>
    <xf borderId="29" fillId="0" fontId="12" numFmtId="170" xfId="0" applyAlignment="1" applyBorder="1" applyFont="1" applyNumberFormat="1">
      <alignment horizontal="center" shrinkToFit="0" vertical="bottom" wrapText="0"/>
    </xf>
    <xf borderId="45" fillId="0" fontId="23" numFmtId="0" xfId="0" applyAlignment="1" applyBorder="1" applyFont="1">
      <alignment horizontal="left" shrinkToFit="0" vertical="bottom" wrapText="0"/>
    </xf>
    <xf borderId="12" fillId="0" fontId="16" numFmtId="3" xfId="0" applyAlignment="1" applyBorder="1" applyFont="1" applyNumberFormat="1">
      <alignment horizontal="center" shrinkToFit="0" vertical="bottom" wrapText="0"/>
    </xf>
    <xf borderId="56" fillId="0" fontId="16" numFmtId="3" xfId="0" applyAlignment="1" applyBorder="1" applyFont="1" applyNumberFormat="1">
      <alignment horizontal="center" shrinkToFit="0" vertical="bottom" wrapText="0"/>
    </xf>
    <xf borderId="38" fillId="0" fontId="12" numFmtId="0" xfId="0" applyAlignment="1" applyBorder="1" applyFont="1">
      <alignment shrinkToFit="0" vertical="bottom" wrapText="0"/>
    </xf>
    <xf borderId="67" fillId="0" fontId="12" numFmtId="0" xfId="0" applyAlignment="1" applyBorder="1" applyFont="1">
      <alignment horizontal="center" shrinkToFit="0" vertical="bottom" wrapText="0"/>
    </xf>
    <xf borderId="39" fillId="0" fontId="16" numFmtId="170" xfId="0" applyAlignment="1" applyBorder="1" applyFont="1" applyNumberFormat="1">
      <alignment horizontal="center" shrinkToFit="0" vertical="bottom" wrapText="0"/>
    </xf>
    <xf borderId="84" fillId="0" fontId="12" numFmtId="0" xfId="0" applyAlignment="1" applyBorder="1" applyFont="1">
      <alignment shrinkToFit="0" vertical="bottom" wrapText="1"/>
    </xf>
    <xf borderId="51" fillId="0" fontId="12" numFmtId="0" xfId="0" applyAlignment="1" applyBorder="1" applyFont="1">
      <alignment shrinkToFit="0" vertical="bottom" wrapText="0"/>
    </xf>
    <xf borderId="68" fillId="0" fontId="12" numFmtId="0" xfId="0" applyAlignment="1" applyBorder="1" applyFont="1">
      <alignment horizontal="center" shrinkToFit="0" vertical="bottom" wrapText="0"/>
    </xf>
    <xf borderId="52" fillId="0" fontId="16" numFmtId="170" xfId="0" applyAlignment="1" applyBorder="1" applyFont="1" applyNumberFormat="1">
      <alignment horizontal="center" shrinkToFit="0" vertical="bottom" wrapText="0"/>
    </xf>
    <xf borderId="39" fillId="5" fontId="16" numFmtId="170" xfId="0" applyAlignment="1" applyBorder="1" applyFont="1" applyNumberFormat="1">
      <alignment horizontal="center" shrinkToFit="0" vertical="bottom" wrapText="0"/>
    </xf>
    <xf borderId="29" fillId="0" fontId="12" numFmtId="0" xfId="0" applyAlignment="1" applyBorder="1" applyFont="1">
      <alignment shrinkToFit="0" vertical="bottom" wrapText="1"/>
    </xf>
    <xf borderId="78" fillId="2" fontId="12" numFmtId="170" xfId="0" applyAlignment="1" applyBorder="1" applyFont="1" applyNumberFormat="1">
      <alignment shrinkToFit="0" vertical="bottom" wrapText="0"/>
    </xf>
    <xf borderId="52" fillId="5" fontId="16" numFmtId="170" xfId="0" applyAlignment="1" applyBorder="1" applyFont="1" applyNumberFormat="1">
      <alignment horizontal="center" shrinkToFit="0" vertical="bottom" wrapText="0"/>
    </xf>
    <xf borderId="52" fillId="2" fontId="12" numFmtId="0" xfId="0" applyAlignment="1" applyBorder="1" applyFont="1">
      <alignment shrinkToFit="0" vertical="bottom" wrapText="1"/>
    </xf>
    <xf borderId="78" fillId="5" fontId="12" numFmtId="0" xfId="0" applyAlignment="1" applyBorder="1" applyFont="1">
      <alignment shrinkToFit="0" vertical="bottom" wrapText="0"/>
    </xf>
    <xf borderId="78" fillId="5" fontId="12" numFmtId="170" xfId="0" applyAlignment="1" applyBorder="1" applyFont="1" applyNumberFormat="1">
      <alignment horizontal="center" shrinkToFit="0" vertical="bottom" wrapText="0"/>
    </xf>
    <xf borderId="78" fillId="5" fontId="19" numFmtId="0" xfId="0" applyAlignment="1" applyBorder="1" applyFont="1">
      <alignment horizontal="center" shrinkToFit="0" vertical="bottom" wrapText="0"/>
    </xf>
    <xf borderId="45" fillId="10" fontId="16" numFmtId="0" xfId="0" applyAlignment="1" applyBorder="1" applyFill="1" applyFont="1">
      <alignment horizontal="center" shrinkToFit="0" vertical="bottom" wrapText="0"/>
    </xf>
    <xf borderId="12" fillId="10" fontId="16" numFmtId="170" xfId="0" applyAlignment="1" applyBorder="1" applyFont="1" applyNumberFormat="1">
      <alignment horizontal="center" shrinkToFit="0" vertical="bottom" wrapText="0"/>
    </xf>
    <xf borderId="78" fillId="5" fontId="12" numFmtId="0" xfId="0" applyAlignment="1" applyBorder="1" applyFont="1">
      <alignment horizontal="center" shrinkToFit="0" vertical="bottom" wrapText="0"/>
    </xf>
    <xf borderId="78" fillId="5" fontId="16" numFmtId="170" xfId="0" applyAlignment="1" applyBorder="1" applyFont="1" applyNumberFormat="1">
      <alignment horizontal="center" shrinkToFit="0" vertical="bottom" wrapText="0"/>
    </xf>
    <xf borderId="12" fillId="5" fontId="16" numFmtId="0" xfId="0" applyAlignment="1" applyBorder="1" applyFont="1">
      <alignment shrinkToFit="0" vertical="bottom" wrapText="0"/>
    </xf>
    <xf borderId="12" fillId="0" fontId="16" numFmtId="170" xfId="0" applyAlignment="1" applyBorder="1" applyFont="1" applyNumberFormat="1">
      <alignment horizontal="center" shrinkToFit="0" vertical="bottom" wrapText="0"/>
    </xf>
    <xf borderId="12" fillId="0" fontId="16" numFmtId="0" xfId="0" applyAlignment="1" applyBorder="1" applyFont="1">
      <alignment horizontal="center" shrinkToFit="0" vertical="bottom" wrapText="0"/>
    </xf>
    <xf borderId="38" fillId="0" fontId="12" numFmtId="170" xfId="0" applyAlignment="1" applyBorder="1" applyFont="1" applyNumberFormat="1">
      <alignment horizontal="center" shrinkToFit="0" vertical="bottom" wrapText="0"/>
    </xf>
    <xf borderId="25" fillId="0" fontId="12" numFmtId="0" xfId="0" applyAlignment="1" applyBorder="1" applyFont="1">
      <alignment shrinkToFit="0" vertical="bottom" wrapText="0"/>
    </xf>
    <xf borderId="23" fillId="0" fontId="12" numFmtId="170" xfId="0" applyAlignment="1" applyBorder="1" applyFont="1" applyNumberFormat="1">
      <alignment horizontal="center" shrinkToFit="0" vertical="bottom" wrapText="0"/>
    </xf>
    <xf borderId="25" fillId="0" fontId="12" numFmtId="0" xfId="0" applyAlignment="1" applyBorder="1" applyFont="1">
      <alignment horizontal="center" shrinkToFit="0" vertical="bottom" wrapText="0"/>
    </xf>
    <xf borderId="25" fillId="0" fontId="12" numFmtId="170" xfId="0" applyAlignment="1" applyBorder="1" applyFont="1" applyNumberFormat="1">
      <alignment horizontal="center" shrinkToFit="0" vertical="bottom" wrapText="0"/>
    </xf>
    <xf borderId="22" fillId="0" fontId="12" numFmtId="170" xfId="0" applyAlignment="1" applyBorder="1" applyFont="1" applyNumberFormat="1">
      <alignment horizontal="center" shrinkToFit="0" vertical="bottom" wrapText="0"/>
    </xf>
    <xf borderId="20" fillId="0" fontId="12" numFmtId="170" xfId="0" applyAlignment="1" applyBorder="1" applyFont="1" applyNumberFormat="1">
      <alignment horizontal="center" shrinkToFit="0" vertical="bottom" wrapText="0"/>
    </xf>
    <xf borderId="47" fillId="0" fontId="12" numFmtId="0" xfId="0" applyAlignment="1" applyBorder="1" applyFont="1">
      <alignment horizontal="center" shrinkToFit="0" vertical="bottom" wrapText="0"/>
    </xf>
    <xf borderId="4" fillId="0" fontId="12" numFmtId="170" xfId="0" applyAlignment="1" applyBorder="1" applyFont="1" applyNumberFormat="1">
      <alignment horizontal="center" shrinkToFit="0" vertical="bottom" wrapText="0"/>
    </xf>
    <xf borderId="47" fillId="0" fontId="12" numFmtId="170" xfId="0" applyAlignment="1" applyBorder="1" applyFont="1" applyNumberFormat="1">
      <alignment horizontal="center" shrinkToFit="0" vertical="bottom" wrapText="0"/>
    </xf>
    <xf borderId="63" fillId="0" fontId="12" numFmtId="170" xfId="0" applyAlignment="1" applyBorder="1" applyFont="1" applyNumberFormat="1">
      <alignment horizontal="center" shrinkToFit="0" vertical="bottom" wrapText="0"/>
    </xf>
    <xf borderId="12" fillId="5" fontId="16" numFmtId="170" xfId="0" applyAlignment="1" applyBorder="1" applyFont="1" applyNumberFormat="1">
      <alignment horizontal="center" shrinkToFit="0" vertical="bottom" wrapText="0"/>
    </xf>
    <xf borderId="75" fillId="0" fontId="12" numFmtId="170" xfId="0" applyAlignment="1" applyBorder="1" applyFont="1" applyNumberFormat="1">
      <alignment horizontal="center" shrinkToFit="0" vertical="bottom" wrapText="0"/>
    </xf>
    <xf borderId="75" fillId="0" fontId="12" numFmtId="0" xfId="0" applyAlignment="1" applyBorder="1" applyFont="1">
      <alignment shrinkToFit="0" vertical="bottom" wrapText="0"/>
    </xf>
    <xf borderId="38" fillId="0" fontId="24" numFmtId="0" xfId="0" applyAlignment="1" applyBorder="1" applyFont="1">
      <alignment shrinkToFit="0" vertical="bottom" wrapText="0"/>
    </xf>
    <xf borderId="67" fillId="0" fontId="12" numFmtId="0" xfId="0" applyAlignment="1" applyBorder="1" applyFont="1">
      <alignment shrinkToFit="0" vertical="bottom" wrapText="0"/>
    </xf>
    <xf borderId="58" fillId="0" fontId="25" numFmtId="0" xfId="0" applyAlignment="1" applyBorder="1" applyFont="1">
      <alignment shrinkToFit="0" vertical="bottom" wrapText="0"/>
    </xf>
    <xf borderId="22" fillId="0" fontId="12" numFmtId="0" xfId="0" applyAlignment="1" applyBorder="1" applyFont="1">
      <alignment shrinkToFit="0" vertical="bottom" wrapText="0"/>
    </xf>
    <xf borderId="2" fillId="0" fontId="12" numFmtId="0" xfId="0" applyAlignment="1" applyBorder="1" applyFont="1">
      <alignment horizontal="center" shrinkToFit="0" vertical="bottom" wrapText="0"/>
    </xf>
    <xf borderId="84" fillId="0" fontId="19" numFmtId="0" xfId="0" applyAlignment="1" applyBorder="1" applyFont="1">
      <alignment horizontal="center" shrinkToFit="0" vertical="bottom" wrapText="0"/>
    </xf>
    <xf borderId="74" fillId="0" fontId="19" numFmtId="0" xfId="0" applyAlignment="1" applyBorder="1" applyFont="1">
      <alignment horizontal="center" shrinkToFit="0" vertical="bottom" wrapText="0"/>
    </xf>
    <xf borderId="29" fillId="0" fontId="19" numFmtId="0" xfId="0" applyAlignment="1" applyBorder="1" applyFont="1">
      <alignment horizontal="center" shrinkToFit="0" vertical="bottom" wrapText="0"/>
    </xf>
    <xf borderId="38" fillId="0" fontId="11" numFmtId="0" xfId="0" applyAlignment="1" applyBorder="1" applyFont="1">
      <alignment horizontal="center" shrinkToFit="0" vertical="bottom" wrapText="1"/>
    </xf>
    <xf borderId="39" fillId="0" fontId="12" numFmtId="172" xfId="0" applyAlignment="1" applyBorder="1" applyFont="1" applyNumberFormat="1">
      <alignment shrinkToFit="0" vertical="bottom" wrapText="0"/>
    </xf>
    <xf borderId="39" fillId="0" fontId="12" numFmtId="172" xfId="0" applyAlignment="1" applyBorder="1" applyFont="1" applyNumberFormat="1">
      <alignment horizontal="center" shrinkToFit="0" vertical="bottom" wrapText="0"/>
    </xf>
    <xf borderId="22" fillId="0" fontId="11" numFmtId="0" xfId="0" applyAlignment="1" applyBorder="1" applyFont="1">
      <alignment horizontal="center" shrinkToFit="0" vertical="bottom" wrapText="1"/>
    </xf>
    <xf borderId="16" fillId="0" fontId="12" numFmtId="172" xfId="0" applyAlignment="1" applyBorder="1" applyFont="1" applyNumberFormat="1">
      <alignment shrinkToFit="0" vertical="bottom" wrapText="0"/>
    </xf>
    <xf borderId="16" fillId="0" fontId="12" numFmtId="172" xfId="0" applyAlignment="1" applyBorder="1" applyFont="1" applyNumberFormat="1">
      <alignment horizontal="center" shrinkToFit="0" vertical="bottom" wrapText="0"/>
    </xf>
    <xf borderId="16" fillId="0" fontId="11" numFmtId="0" xfId="0" applyAlignment="1" applyBorder="1" applyFont="1">
      <alignment horizontal="center" shrinkToFit="0" vertical="center" wrapText="0"/>
    </xf>
    <xf borderId="22" fillId="0" fontId="11" numFmtId="0" xfId="0" applyAlignment="1" applyBorder="1" applyFont="1">
      <alignment horizontal="center" shrinkToFit="0" vertical="center" wrapText="1"/>
    </xf>
    <xf borderId="51" fillId="0" fontId="11" numFmtId="0" xfId="0" applyAlignment="1" applyBorder="1" applyFont="1">
      <alignment shrinkToFit="0" vertical="top" wrapText="1"/>
    </xf>
    <xf borderId="51" fillId="0" fontId="11" numFmtId="0" xfId="0" applyAlignment="1" applyBorder="1" applyFont="1">
      <alignment horizontal="center" shrinkToFit="0" vertical="bottom" wrapText="1"/>
    </xf>
    <xf borderId="52" fillId="0" fontId="12" numFmtId="172" xfId="0" applyAlignment="1" applyBorder="1" applyFont="1" applyNumberFormat="1">
      <alignment shrinkToFit="0" vertical="bottom" wrapText="0"/>
    </xf>
    <xf borderId="52" fillId="0" fontId="12" numFmtId="172" xfId="0" applyAlignment="1" applyBorder="1" applyFont="1" applyNumberFormat="1">
      <alignment horizontal="center" shrinkToFit="0" vertical="bottom" wrapText="0"/>
    </xf>
    <xf borderId="0" fillId="0" fontId="11" numFmtId="0" xfId="0" applyAlignment="1" applyFont="1">
      <alignment shrinkToFit="0" vertical="top" wrapText="1"/>
    </xf>
    <xf borderId="12" fillId="0" fontId="10" numFmtId="0" xfId="0" applyAlignment="1" applyBorder="1" applyFont="1">
      <alignment horizontal="center" shrinkToFit="0" vertical="bottom" wrapText="0"/>
    </xf>
    <xf borderId="34" fillId="0" fontId="10" numFmtId="0" xfId="0" applyAlignment="1" applyBorder="1" applyFont="1">
      <alignment horizontal="center" shrinkToFit="0" vertical="top" wrapText="1"/>
    </xf>
    <xf borderId="12" fillId="0" fontId="16" numFmtId="170" xfId="0" applyAlignment="1" applyBorder="1" applyFont="1" applyNumberFormat="1">
      <alignment shrinkToFit="0" vertical="bottom" wrapText="0"/>
    </xf>
    <xf borderId="0" fillId="0" fontId="11" numFmtId="0" xfId="0" applyAlignment="1" applyFont="1">
      <alignment horizontal="center" shrinkToFit="0" vertical="bottom" wrapText="0"/>
    </xf>
    <xf borderId="0" fillId="0" fontId="11" numFmtId="0" xfId="0" applyAlignment="1" applyFont="1">
      <alignment horizontal="center" shrinkToFit="0" vertical="top" wrapText="1"/>
    </xf>
    <xf borderId="45" fillId="0" fontId="10" numFmtId="0" xfId="0" applyAlignment="1" applyBorder="1" applyFont="1">
      <alignment horizontal="left" shrinkToFit="0" vertical="bottom" wrapText="0"/>
    </xf>
    <xf borderId="38" fillId="0" fontId="11" numFmtId="0" xfId="0" applyAlignment="1" applyBorder="1" applyFont="1">
      <alignment shrinkToFit="0" vertical="bottom" wrapText="0"/>
    </xf>
    <xf borderId="67" fillId="0" fontId="11" numFmtId="0" xfId="0" applyAlignment="1" applyBorder="1" applyFont="1">
      <alignment horizontal="center" shrinkToFit="0" vertical="bottom" wrapText="0"/>
    </xf>
    <xf borderId="71" fillId="0" fontId="12" numFmtId="170" xfId="0" applyAlignment="1" applyBorder="1" applyFont="1" applyNumberFormat="1">
      <alignment horizontal="center" shrinkToFit="0" vertical="bottom" wrapText="0"/>
    </xf>
    <xf borderId="43" fillId="5" fontId="11" numFmtId="0" xfId="0" applyAlignment="1" applyBorder="1" applyFont="1">
      <alignment shrinkToFit="0" vertical="bottom" wrapText="1"/>
    </xf>
    <xf borderId="2" fillId="0" fontId="11" numFmtId="0" xfId="0" applyAlignment="1" applyBorder="1" applyFont="1">
      <alignment horizontal="center" shrinkToFit="0" vertical="bottom" wrapText="0"/>
    </xf>
    <xf borderId="50" fillId="0" fontId="12" numFmtId="170" xfId="0" applyAlignment="1" applyBorder="1" applyFont="1" applyNumberFormat="1">
      <alignment horizontal="center" shrinkToFit="0" vertical="bottom" wrapText="0"/>
    </xf>
    <xf borderId="85" fillId="5" fontId="11" numFmtId="0" xfId="0" applyAlignment="1" applyBorder="1" applyFont="1">
      <alignment shrinkToFit="0" vertical="bottom" wrapText="1"/>
    </xf>
    <xf borderId="68" fillId="0" fontId="11" numFmtId="0" xfId="0" applyAlignment="1" applyBorder="1" applyFont="1">
      <alignment horizontal="center" shrinkToFit="0" vertical="bottom" wrapText="0"/>
    </xf>
    <xf borderId="73" fillId="0" fontId="12" numFmtId="170" xfId="0" applyAlignment="1" applyBorder="1" applyFont="1" applyNumberFormat="1">
      <alignment horizontal="center" shrinkToFit="0" vertical="bottom" wrapText="0"/>
    </xf>
    <xf borderId="0" fillId="0" fontId="11" numFmtId="0" xfId="0" applyAlignment="1" applyFont="1">
      <alignment shrinkToFit="0" vertical="bottom" wrapText="1"/>
    </xf>
    <xf borderId="33" fillId="0" fontId="19" numFmtId="170" xfId="0" applyAlignment="1" applyBorder="1" applyFont="1" applyNumberFormat="1">
      <alignment horizontal="center" shrinkToFit="0" vertical="bottom" wrapText="0"/>
    </xf>
    <xf borderId="0" fillId="0" fontId="5" numFmtId="170" xfId="0" applyAlignment="1" applyFont="1" applyNumberFormat="1">
      <alignment horizontal="center" shrinkToFit="0" vertical="bottom" wrapText="0"/>
    </xf>
    <xf borderId="0" fillId="0" fontId="26" numFmtId="170" xfId="0" applyAlignment="1" applyFont="1" applyNumberFormat="1">
      <alignment horizontal="center" shrinkToFit="0" vertical="bottom" wrapText="0"/>
    </xf>
    <xf borderId="12" fillId="0" fontId="26" numFmtId="1" xfId="0" applyAlignment="1" applyBorder="1" applyFont="1" applyNumberFormat="1">
      <alignment horizontal="center" shrinkToFit="0" vertical="bottom" wrapText="0"/>
    </xf>
    <xf borderId="28" fillId="0" fontId="5" numFmtId="0" xfId="0" applyAlignment="1" applyBorder="1" applyFont="1">
      <alignment horizontal="left" shrinkToFit="0" vertical="bottom" wrapText="0"/>
    </xf>
    <xf borderId="28" fillId="0" fontId="5" numFmtId="170" xfId="0" applyAlignment="1" applyBorder="1" applyFont="1" applyNumberFormat="1">
      <alignment horizontal="center" shrinkToFit="0" vertical="bottom" wrapText="0"/>
    </xf>
    <xf borderId="29" fillId="0" fontId="12" numFmtId="0" xfId="0" applyAlignment="1" applyBorder="1" applyFont="1">
      <alignment horizontal="center" shrinkToFit="0" vertical="bottom" wrapText="0"/>
    </xf>
    <xf borderId="58" fillId="0" fontId="5" numFmtId="0" xfId="0" applyAlignment="1" applyBorder="1" applyFont="1">
      <alignment horizontal="left" shrinkToFit="0" vertical="bottom" wrapText="0"/>
    </xf>
    <xf borderId="58" fillId="0" fontId="5" numFmtId="170" xfId="0" applyAlignment="1" applyBorder="1" applyFont="1" applyNumberFormat="1">
      <alignment horizontal="center" shrinkToFit="0" vertical="bottom" wrapText="0"/>
    </xf>
    <xf borderId="63" fillId="0" fontId="12" numFmtId="0" xfId="0" applyAlignment="1" applyBorder="1" applyFont="1">
      <alignment horizontal="center" shrinkToFit="0" vertical="bottom" wrapText="0"/>
    </xf>
    <xf borderId="33" fillId="0" fontId="5" numFmtId="0" xfId="0" applyAlignment="1" applyBorder="1" applyFont="1">
      <alignment horizontal="left" shrinkToFit="0" vertical="bottom" wrapText="0"/>
    </xf>
    <xf borderId="33" fillId="0" fontId="5" numFmtId="170" xfId="0" applyAlignment="1" applyBorder="1" applyFont="1" applyNumberFormat="1">
      <alignment horizontal="center" shrinkToFit="0" vertical="bottom" wrapText="0"/>
    </xf>
    <xf borderId="0" fillId="0" fontId="26" numFmtId="0" xfId="0" applyAlignment="1" applyFont="1">
      <alignment horizontal="right" shrinkToFit="0" vertical="bottom" wrapText="0"/>
    </xf>
    <xf borderId="12" fillId="9" fontId="26" numFmtId="170" xfId="0" applyAlignment="1" applyBorder="1" applyFont="1" applyNumberFormat="1">
      <alignment shrinkToFit="0" vertical="bottom" wrapText="0"/>
    </xf>
    <xf borderId="45" fillId="9" fontId="26" numFmtId="3" xfId="0" applyAlignment="1" applyBorder="1" applyFont="1" applyNumberFormat="1">
      <alignment horizontal="left" shrinkToFit="0" vertical="bottom" wrapText="0"/>
    </xf>
    <xf borderId="0" fillId="0" fontId="5" numFmtId="0" xfId="0" applyAlignment="1" applyFont="1">
      <alignment horizontal="left" shrinkToFit="0" vertical="bottom" wrapText="0"/>
    </xf>
    <xf borderId="0" fillId="0" fontId="16" numFmtId="3" xfId="0" applyAlignment="1" applyFont="1" applyNumberFormat="1">
      <alignment horizontal="center" shrinkToFit="0" vertical="bottom" wrapText="0"/>
    </xf>
    <xf borderId="0" fillId="0" fontId="5" numFmtId="170" xfId="0" applyAlignment="1" applyFont="1" applyNumberFormat="1">
      <alignment shrinkToFit="0" vertical="bottom" wrapText="0"/>
    </xf>
    <xf borderId="12" fillId="2" fontId="16" numFmtId="0" xfId="0" applyAlignment="1" applyBorder="1" applyFont="1">
      <alignment shrinkToFit="0" vertical="bottom" wrapText="0"/>
    </xf>
    <xf borderId="12" fillId="0" fontId="27" numFmtId="0" xfId="0" applyAlignment="1" applyBorder="1" applyFont="1">
      <alignment shrinkToFit="0" vertical="bottom" wrapText="0"/>
    </xf>
    <xf borderId="84" fillId="0" fontId="5" numFmtId="170" xfId="0" applyAlignment="1" applyBorder="1" applyFont="1" applyNumberFormat="1">
      <alignment horizontal="center" shrinkToFit="0" vertical="bottom" wrapText="0"/>
    </xf>
    <xf borderId="12" fillId="0" fontId="5" numFmtId="170" xfId="0" applyAlignment="1" applyBorder="1" applyFont="1" applyNumberFormat="1">
      <alignment horizontal="center" shrinkToFit="0" vertical="bottom" wrapText="0"/>
    </xf>
    <xf borderId="0" fillId="0" fontId="28" numFmtId="0" xfId="0" applyAlignment="1" applyFont="1">
      <alignment horizontal="right" shrinkToFit="0" vertical="bottom" wrapText="0"/>
    </xf>
    <xf borderId="34" fillId="0" fontId="16" numFmtId="170" xfId="0" applyAlignment="1" applyBorder="1" applyFont="1" applyNumberFormat="1">
      <alignment horizontal="center" shrinkToFit="0" vertical="bottom" wrapText="0"/>
    </xf>
    <xf borderId="28" fillId="0" fontId="12" numFmtId="0" xfId="0" applyAlignment="1" applyBorder="1" applyFont="1">
      <alignment horizontal="center" shrinkToFit="0" vertical="bottom" wrapText="0"/>
    </xf>
    <xf borderId="74" fillId="0" fontId="12" numFmtId="0" xfId="0" applyAlignment="1" applyBorder="1" applyFont="1">
      <alignment horizontal="center" shrinkToFit="0" vertical="bottom" wrapText="0"/>
    </xf>
    <xf borderId="84" fillId="0" fontId="12" numFmtId="0" xfId="0" applyAlignment="1" applyBorder="1" applyFont="1">
      <alignment horizontal="center" shrinkToFit="0" vertical="bottom" wrapText="0"/>
    </xf>
    <xf borderId="22" fillId="0" fontId="12" numFmtId="0" xfId="0" applyAlignment="1" applyBorder="1" applyFont="1">
      <alignment horizontal="center" shrinkToFit="0" vertical="bottom" wrapText="0"/>
    </xf>
    <xf borderId="50" fillId="0" fontId="12" numFmtId="0" xfId="0" applyAlignment="1" applyBorder="1" applyFont="1">
      <alignment horizontal="center" shrinkToFit="0" vertical="bottom" wrapText="0"/>
    </xf>
    <xf borderId="33" fillId="0" fontId="12" numFmtId="0" xfId="0" applyAlignment="1" applyBorder="1" applyFont="1">
      <alignment horizontal="center" shrinkToFit="0" vertical="bottom" wrapText="0"/>
    </xf>
    <xf borderId="34" fillId="0" fontId="12" numFmtId="0" xfId="0" applyAlignment="1" applyBorder="1" applyFont="1">
      <alignment horizontal="center" shrinkToFit="0" vertical="bottom" wrapText="0"/>
    </xf>
    <xf borderId="75" fillId="0" fontId="12" numFmtId="0" xfId="0" applyAlignment="1" applyBorder="1" applyFont="1">
      <alignment horizontal="center" shrinkToFit="0" vertical="bottom" wrapText="0"/>
    </xf>
    <xf borderId="86" fillId="0" fontId="12" numFmtId="0" xfId="0" applyAlignment="1" applyBorder="1" applyFont="1">
      <alignment horizontal="center" shrinkToFit="0" vertical="bottom" wrapText="0"/>
    </xf>
    <xf borderId="29" fillId="0" fontId="2" numFmtId="0" xfId="0" applyAlignment="1" applyBorder="1" applyFont="1">
      <alignment horizontal="center" shrinkToFit="0" vertical="bottom" wrapText="0"/>
    </xf>
    <xf borderId="28" fillId="0" fontId="12" numFmtId="170" xfId="0" applyAlignment="1" applyBorder="1" applyFont="1" applyNumberFormat="1">
      <alignment horizontal="center" shrinkToFit="0" vertical="bottom" wrapText="0"/>
    </xf>
    <xf borderId="74" fillId="0" fontId="12" numFmtId="170" xfId="0" applyAlignment="1" applyBorder="1" applyFont="1" applyNumberFormat="1">
      <alignment horizontal="center" shrinkToFit="0" vertical="bottom" wrapText="0"/>
    </xf>
    <xf borderId="84" fillId="0" fontId="12" numFmtId="170" xfId="0" applyAlignment="1" applyBorder="1" applyFont="1" applyNumberFormat="1">
      <alignment horizontal="center" shrinkToFit="0" vertical="bottom" wrapText="0"/>
    </xf>
    <xf borderId="2" fillId="0" fontId="12" numFmtId="170" xfId="0" applyAlignment="1" applyBorder="1" applyFont="1" applyNumberFormat="1">
      <alignment horizontal="center" shrinkToFit="0" vertical="bottom" wrapText="0"/>
    </xf>
    <xf borderId="33" fillId="0" fontId="12" numFmtId="170" xfId="0" applyAlignment="1" applyBorder="1" applyFont="1" applyNumberFormat="1">
      <alignment horizontal="center" shrinkToFit="0" vertical="bottom" wrapText="0"/>
    </xf>
    <xf borderId="34" fillId="0" fontId="12" numFmtId="170" xfId="0" applyAlignment="1" applyBorder="1" applyFont="1" applyNumberFormat="1">
      <alignment horizontal="center" shrinkToFit="0" vertical="bottom" wrapText="0"/>
    </xf>
    <xf borderId="86" fillId="0" fontId="12" numFmtId="170" xfId="0" applyAlignment="1" applyBorder="1" applyFont="1" applyNumberFormat="1">
      <alignment horizontal="center" shrinkToFit="0" vertical="bottom" wrapText="0"/>
    </xf>
    <xf borderId="38" fillId="0" fontId="29" numFmtId="165" xfId="0" applyAlignment="1" applyBorder="1" applyFont="1" applyNumberFormat="1">
      <alignment horizontal="center" shrinkToFit="0" vertical="bottom" wrapText="0"/>
    </xf>
    <xf borderId="39" fillId="0" fontId="29" numFmtId="165" xfId="0" applyAlignment="1" applyBorder="1" applyFont="1" applyNumberFormat="1">
      <alignment horizontal="center" shrinkToFit="0" vertical="bottom" wrapText="0"/>
    </xf>
    <xf borderId="67" fillId="0" fontId="29" numFmtId="165" xfId="0" applyAlignment="1" applyBorder="1" applyFont="1" applyNumberFormat="1">
      <alignment horizontal="center" shrinkToFit="0" vertical="bottom" wrapText="0"/>
    </xf>
    <xf borderId="22" fillId="0" fontId="29" numFmtId="165" xfId="0" applyAlignment="1" applyBorder="1" applyFont="1" applyNumberFormat="1">
      <alignment horizontal="center" shrinkToFit="0" vertical="bottom" wrapText="0"/>
    </xf>
    <xf borderId="16" fillId="0" fontId="29" numFmtId="165" xfId="0" applyAlignment="1" applyBorder="1" applyFont="1" applyNumberFormat="1">
      <alignment horizontal="center" shrinkToFit="0" vertical="bottom" wrapText="0"/>
    </xf>
    <xf borderId="2" fillId="0" fontId="29" numFmtId="165" xfId="0" applyAlignment="1" applyBorder="1" applyFont="1" applyNumberFormat="1">
      <alignment horizontal="center" shrinkToFit="0" vertical="bottom" wrapText="0"/>
    </xf>
    <xf borderId="51" fillId="0" fontId="29" numFmtId="165" xfId="0" applyAlignment="1" applyBorder="1" applyFont="1" applyNumberFormat="1">
      <alignment horizontal="center" shrinkToFit="0" vertical="bottom" wrapText="0"/>
    </xf>
    <xf borderId="52" fillId="0" fontId="29" numFmtId="165" xfId="0" applyAlignment="1" applyBorder="1" applyFont="1" applyNumberFormat="1">
      <alignment horizontal="center" shrinkToFit="0" vertical="bottom" wrapText="0"/>
    </xf>
    <xf borderId="68" fillId="0" fontId="29" numFmtId="165" xfId="0" applyAlignment="1" applyBorder="1" applyFont="1" applyNumberFormat="1">
      <alignment horizontal="center" shrinkToFit="0" vertical="bottom" wrapText="0"/>
    </xf>
    <xf borderId="0" fillId="0" fontId="6" numFmtId="0" xfId="0" applyAlignment="1" applyFont="1">
      <alignment horizontal="center" shrinkToFit="0" vertical="bottom" wrapText="0"/>
    </xf>
    <xf borderId="12" fillId="0" fontId="26" numFmtId="165" xfId="0" applyAlignment="1" applyBorder="1" applyFont="1" applyNumberFormat="1">
      <alignment horizontal="center" shrinkToFit="0" vertical="bottom" wrapText="0"/>
    </xf>
    <xf borderId="45" fillId="0" fontId="26" numFmtId="165" xfId="0" applyAlignment="1" applyBorder="1" applyFont="1" applyNumberFormat="1">
      <alignment horizontal="center" shrinkToFit="0" vertical="bottom" wrapText="0"/>
    </xf>
    <xf borderId="56" fillId="0" fontId="26" numFmtId="165" xfId="0" applyAlignment="1" applyBorder="1" applyFont="1" applyNumberFormat="1">
      <alignment horizontal="center" shrinkToFit="0" vertical="bottom" wrapText="0"/>
    </xf>
    <xf borderId="0" fillId="0" fontId="30" numFmtId="0" xfId="0" applyAlignment="1" applyFont="1">
      <alignment horizontal="left" shrinkToFit="0" vertical="bottom" wrapText="0"/>
    </xf>
    <xf borderId="0" fillId="0" fontId="31" numFmtId="0" xfId="0" applyAlignment="1" applyFont="1">
      <alignment shrinkToFit="0" vertical="bottom" wrapText="0"/>
    </xf>
    <xf borderId="0" fillId="0" fontId="19" numFmtId="170" xfId="0" applyAlignment="1" applyFont="1" applyNumberFormat="1">
      <alignment horizontal="center" shrinkToFit="0" vertical="bottom" wrapText="0"/>
    </xf>
    <xf borderId="0" fillId="0" fontId="12" numFmtId="1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7.57"/>
    <col customWidth="1" min="2" max="2" width="10.0"/>
    <col customWidth="1" min="3" max="3" width="15.43"/>
    <col customWidth="1" min="4" max="4" width="15.29"/>
    <col customWidth="1" min="5" max="6" width="15.57"/>
    <col customWidth="1" min="7" max="12" width="15.29"/>
    <col customWidth="1" min="13" max="26" width="10.0"/>
  </cols>
  <sheetData>
    <row r="1" ht="18.0" customHeight="1">
      <c r="A1" s="1" t="s">
        <v>0</v>
      </c>
    </row>
    <row r="2" ht="14.25" customHeight="1">
      <c r="A2" s="2"/>
      <c r="B2" s="3"/>
      <c r="C2" s="2"/>
      <c r="D2" s="2"/>
      <c r="E2" s="2"/>
      <c r="F2" s="2"/>
      <c r="G2" s="2"/>
      <c r="H2" s="2"/>
      <c r="I2" s="2"/>
      <c r="J2" s="2"/>
      <c r="K2" s="2"/>
      <c r="L2" s="2"/>
    </row>
    <row r="3" ht="15.0" customHeight="1">
      <c r="A3" s="4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4.25" customHeight="1">
      <c r="A4" s="7" t="s">
        <v>2</v>
      </c>
      <c r="B4" s="8"/>
      <c r="C4" s="8"/>
      <c r="D4" s="2"/>
      <c r="E4" s="2"/>
      <c r="F4" s="2"/>
      <c r="G4" s="2"/>
      <c r="H4" s="2"/>
      <c r="I4" s="2"/>
      <c r="J4" s="2"/>
      <c r="K4" s="2"/>
      <c r="L4" s="2"/>
    </row>
    <row r="5" ht="14.25" customHeight="1">
      <c r="A5" s="9" t="s">
        <v>3</v>
      </c>
      <c r="D5" s="2"/>
      <c r="E5" s="2"/>
      <c r="F5" s="2"/>
      <c r="G5" s="2"/>
      <c r="H5" s="2"/>
      <c r="I5" s="2"/>
      <c r="J5" s="2"/>
      <c r="K5" s="2"/>
      <c r="L5" s="2"/>
    </row>
    <row r="6" ht="14.25" customHeight="1">
      <c r="A6" s="10" t="s">
        <v>4</v>
      </c>
      <c r="C6" s="2"/>
      <c r="D6" s="2"/>
      <c r="E6" s="2"/>
      <c r="F6" s="2"/>
      <c r="G6" s="2"/>
      <c r="H6" s="2"/>
      <c r="I6" s="2"/>
      <c r="J6" s="2"/>
      <c r="K6" s="2"/>
      <c r="L6" s="2"/>
    </row>
    <row r="7" ht="15.0" customHeight="1">
      <c r="A7" s="11"/>
      <c r="B7" s="12"/>
      <c r="C7" s="13"/>
      <c r="D7" s="13"/>
      <c r="E7" s="13"/>
      <c r="F7" s="13"/>
      <c r="G7" s="13"/>
      <c r="H7" s="13"/>
      <c r="I7" s="13"/>
      <c r="J7" s="13"/>
      <c r="K7" s="13"/>
      <c r="L7" s="13"/>
    </row>
    <row r="8" ht="15.75" customHeight="1">
      <c r="A8" s="14"/>
      <c r="B8" s="15"/>
      <c r="C8" s="16" t="s">
        <v>5</v>
      </c>
      <c r="D8" s="17"/>
      <c r="E8" s="17"/>
      <c r="F8" s="17"/>
      <c r="G8" s="17"/>
      <c r="H8" s="17"/>
      <c r="I8" s="17"/>
      <c r="J8" s="17"/>
      <c r="K8" s="17"/>
      <c r="L8" s="18"/>
    </row>
    <row r="9" ht="15.75" customHeight="1">
      <c r="A9" s="19" t="s">
        <v>6</v>
      </c>
      <c r="B9" s="20" t="s">
        <v>7</v>
      </c>
      <c r="C9" s="21">
        <v>1.0</v>
      </c>
      <c r="D9" s="22">
        <v>2.0</v>
      </c>
      <c r="E9" s="22">
        <v>3.0</v>
      </c>
      <c r="F9" s="22">
        <v>4.0</v>
      </c>
      <c r="G9" s="22">
        <v>5.0</v>
      </c>
      <c r="H9" s="22">
        <v>6.0</v>
      </c>
      <c r="I9" s="22">
        <v>7.0</v>
      </c>
      <c r="J9" s="22">
        <v>8.0</v>
      </c>
      <c r="K9" s="22">
        <v>9.0</v>
      </c>
      <c r="L9" s="23">
        <v>10.0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5.75" customHeight="1">
      <c r="A10" s="24" t="s">
        <v>8</v>
      </c>
      <c r="B10" s="25"/>
      <c r="C10" s="26"/>
      <c r="D10" s="27"/>
      <c r="E10" s="27"/>
      <c r="F10" s="27"/>
      <c r="G10" s="27"/>
      <c r="H10" s="27"/>
      <c r="I10" s="27"/>
      <c r="J10" s="27"/>
      <c r="K10" s="27"/>
      <c r="L10" s="28"/>
    </row>
    <row r="11" ht="14.25" hidden="1" customHeight="1">
      <c r="A11" s="29" t="s">
        <v>9</v>
      </c>
      <c r="B11" s="25" t="s">
        <v>10</v>
      </c>
      <c r="C11" s="30">
        <v>0.0</v>
      </c>
      <c r="D11" s="31">
        <v>0.0</v>
      </c>
      <c r="E11" s="31">
        <v>0.0</v>
      </c>
      <c r="F11" s="31">
        <v>0.0</v>
      </c>
      <c r="G11" s="31">
        <v>0.0</v>
      </c>
      <c r="H11" s="31">
        <v>0.0</v>
      </c>
      <c r="I11" s="31">
        <v>0.0</v>
      </c>
      <c r="J11" s="31">
        <v>0.0</v>
      </c>
      <c r="K11" s="31">
        <v>0.0</v>
      </c>
      <c r="L11" s="32">
        <v>0.0</v>
      </c>
    </row>
    <row r="12" ht="14.25" hidden="1" customHeight="1">
      <c r="A12" s="33" t="s">
        <v>11</v>
      </c>
      <c r="B12" s="25" t="s">
        <v>10</v>
      </c>
      <c r="C12" s="34">
        <v>0.0</v>
      </c>
      <c r="D12" s="31">
        <v>0.0</v>
      </c>
      <c r="E12" s="31">
        <v>0.0</v>
      </c>
      <c r="F12" s="31">
        <v>0.0</v>
      </c>
      <c r="G12" s="31">
        <v>0.0</v>
      </c>
      <c r="H12" s="31">
        <v>0.0</v>
      </c>
      <c r="I12" s="31">
        <v>0.0</v>
      </c>
      <c r="J12" s="31">
        <v>0.0</v>
      </c>
      <c r="K12" s="31">
        <v>0.0</v>
      </c>
      <c r="L12" s="32">
        <v>0.0</v>
      </c>
    </row>
    <row r="13" ht="14.25" hidden="1" customHeight="1">
      <c r="A13" s="33" t="s">
        <v>12</v>
      </c>
      <c r="B13" s="25" t="s">
        <v>10</v>
      </c>
      <c r="C13" s="34">
        <v>0.0</v>
      </c>
      <c r="D13" s="31">
        <v>0.0</v>
      </c>
      <c r="E13" s="31">
        <v>0.0</v>
      </c>
      <c r="F13" s="31">
        <v>0.0</v>
      </c>
      <c r="G13" s="31">
        <v>0.0</v>
      </c>
      <c r="H13" s="31">
        <v>0.0</v>
      </c>
      <c r="I13" s="31">
        <v>0.0</v>
      </c>
      <c r="J13" s="31">
        <v>0.0</v>
      </c>
      <c r="K13" s="31">
        <v>0.0</v>
      </c>
      <c r="L13" s="32">
        <v>0.0</v>
      </c>
    </row>
    <row r="14" ht="14.25" hidden="1" customHeight="1">
      <c r="A14" s="33" t="s">
        <v>13</v>
      </c>
      <c r="B14" s="25" t="s">
        <v>10</v>
      </c>
      <c r="C14" s="34">
        <v>0.0</v>
      </c>
      <c r="D14" s="31">
        <v>0.0</v>
      </c>
      <c r="E14" s="31">
        <v>0.0</v>
      </c>
      <c r="F14" s="31">
        <v>0.0</v>
      </c>
      <c r="G14" s="31"/>
      <c r="H14" s="31"/>
      <c r="I14" s="31"/>
      <c r="J14" s="31"/>
      <c r="K14" s="31"/>
      <c r="L14" s="32">
        <v>0.0</v>
      </c>
    </row>
    <row r="15" ht="14.25" hidden="1" customHeight="1">
      <c r="A15" s="33" t="s">
        <v>14</v>
      </c>
      <c r="B15" s="25" t="s">
        <v>10</v>
      </c>
      <c r="C15" s="34">
        <v>0.0</v>
      </c>
      <c r="D15" s="31">
        <v>0.0</v>
      </c>
      <c r="E15" s="31">
        <v>0.0</v>
      </c>
      <c r="F15" s="31">
        <v>0.0</v>
      </c>
      <c r="G15" s="31">
        <v>0.0</v>
      </c>
      <c r="H15" s="31">
        <v>0.0</v>
      </c>
      <c r="I15" s="31">
        <v>0.0</v>
      </c>
      <c r="J15" s="31">
        <v>0.0</v>
      </c>
      <c r="K15" s="31">
        <v>0.0</v>
      </c>
      <c r="L15" s="32">
        <v>0.0</v>
      </c>
    </row>
    <row r="16" ht="14.25" hidden="1" customHeight="1">
      <c r="A16" s="33" t="s">
        <v>15</v>
      </c>
      <c r="B16" s="25" t="s">
        <v>10</v>
      </c>
      <c r="C16" s="34">
        <v>0.0</v>
      </c>
      <c r="D16" s="31">
        <v>0.0</v>
      </c>
      <c r="E16" s="31">
        <v>0.0</v>
      </c>
      <c r="F16" s="31">
        <v>0.0</v>
      </c>
      <c r="G16" s="31">
        <v>0.0</v>
      </c>
      <c r="H16" s="31">
        <v>0.0</v>
      </c>
      <c r="I16" s="31">
        <v>0.0</v>
      </c>
      <c r="J16" s="31">
        <v>0.0</v>
      </c>
      <c r="K16" s="31">
        <v>0.0</v>
      </c>
      <c r="L16" s="32">
        <v>0.0</v>
      </c>
    </row>
    <row r="17" ht="14.25" hidden="1" customHeight="1">
      <c r="A17" s="33" t="s">
        <v>16</v>
      </c>
      <c r="B17" s="25" t="s">
        <v>10</v>
      </c>
      <c r="C17" s="34">
        <v>0.0</v>
      </c>
      <c r="D17" s="31">
        <v>0.0</v>
      </c>
      <c r="E17" s="31">
        <v>0.0</v>
      </c>
      <c r="F17" s="31">
        <v>0.0</v>
      </c>
      <c r="G17" s="31">
        <v>0.0</v>
      </c>
      <c r="H17" s="31">
        <v>0.0</v>
      </c>
      <c r="I17" s="31">
        <v>0.0</v>
      </c>
      <c r="J17" s="31">
        <v>0.0</v>
      </c>
      <c r="K17" s="31">
        <v>0.0</v>
      </c>
      <c r="L17" s="32">
        <v>0.0</v>
      </c>
    </row>
    <row r="18" ht="14.25" hidden="1" customHeight="1">
      <c r="A18" s="33" t="s">
        <v>17</v>
      </c>
      <c r="B18" s="25" t="s">
        <v>10</v>
      </c>
      <c r="C18" s="34">
        <v>0.0</v>
      </c>
      <c r="D18" s="31">
        <v>0.0</v>
      </c>
      <c r="E18" s="31">
        <v>0.0</v>
      </c>
      <c r="F18" s="31">
        <v>0.0</v>
      </c>
      <c r="G18" s="31"/>
      <c r="H18" s="31"/>
      <c r="I18" s="31"/>
      <c r="J18" s="31"/>
      <c r="K18" s="31"/>
      <c r="L18" s="32">
        <v>0.0</v>
      </c>
    </row>
    <row r="19" ht="14.25" hidden="1" customHeight="1">
      <c r="A19" s="33" t="s">
        <v>18</v>
      </c>
      <c r="B19" s="25" t="s">
        <v>10</v>
      </c>
      <c r="C19" s="34">
        <v>0.0</v>
      </c>
      <c r="D19" s="31">
        <v>0.0</v>
      </c>
      <c r="E19" s="31">
        <v>0.0</v>
      </c>
      <c r="F19" s="31">
        <v>0.0</v>
      </c>
      <c r="G19" s="31">
        <v>0.0</v>
      </c>
      <c r="H19" s="31">
        <v>0.0</v>
      </c>
      <c r="I19" s="31">
        <v>0.0</v>
      </c>
      <c r="J19" s="31">
        <v>0.0</v>
      </c>
      <c r="K19" s="31">
        <v>0.0</v>
      </c>
      <c r="L19" s="32">
        <v>0.0</v>
      </c>
    </row>
    <row r="20" ht="14.25" hidden="1" customHeight="1">
      <c r="A20" s="33" t="s">
        <v>19</v>
      </c>
      <c r="B20" s="25" t="s">
        <v>10</v>
      </c>
      <c r="C20" s="34">
        <v>0.0</v>
      </c>
      <c r="D20" s="31">
        <v>0.0</v>
      </c>
      <c r="E20" s="31">
        <v>0.0</v>
      </c>
      <c r="F20" s="31">
        <v>0.0</v>
      </c>
      <c r="G20" s="31">
        <v>0.0</v>
      </c>
      <c r="H20" s="31">
        <v>0.0</v>
      </c>
      <c r="I20" s="31">
        <v>0.0</v>
      </c>
      <c r="J20" s="31">
        <v>0.0</v>
      </c>
      <c r="K20" s="31">
        <v>0.0</v>
      </c>
      <c r="L20" s="32">
        <v>0.0</v>
      </c>
    </row>
    <row r="21" ht="14.25" hidden="1" customHeight="1">
      <c r="A21" s="35" t="s">
        <v>20</v>
      </c>
      <c r="B21" s="25" t="s">
        <v>10</v>
      </c>
      <c r="C21" s="36">
        <v>0.0</v>
      </c>
      <c r="D21" s="31">
        <v>0.0</v>
      </c>
      <c r="E21" s="31">
        <v>0.0</v>
      </c>
      <c r="F21" s="31">
        <v>0.0</v>
      </c>
      <c r="G21" s="31">
        <v>0.0</v>
      </c>
      <c r="H21" s="31">
        <v>0.0</v>
      </c>
      <c r="I21" s="31">
        <v>0.0</v>
      </c>
      <c r="J21" s="31">
        <v>0.0</v>
      </c>
      <c r="K21" s="31">
        <v>0.0</v>
      </c>
      <c r="L21" s="32">
        <v>0.0</v>
      </c>
    </row>
    <row r="22" ht="14.25" customHeight="1">
      <c r="A22" s="33" t="s">
        <v>21</v>
      </c>
      <c r="B22" s="25" t="s">
        <v>10</v>
      </c>
      <c r="C22" s="34">
        <v>18.0</v>
      </c>
      <c r="D22" s="31">
        <v>14.0</v>
      </c>
      <c r="E22" s="31">
        <v>10.0</v>
      </c>
      <c r="F22" s="31">
        <v>10.0</v>
      </c>
      <c r="G22" s="31">
        <v>5.0</v>
      </c>
      <c r="H22" s="31">
        <v>5.0</v>
      </c>
      <c r="I22" s="31">
        <v>5.0</v>
      </c>
      <c r="J22" s="31">
        <v>5.0</v>
      </c>
      <c r="K22" s="31">
        <v>5.0</v>
      </c>
      <c r="L22" s="32">
        <v>5.0</v>
      </c>
    </row>
    <row r="23" ht="14.25" customHeight="1">
      <c r="A23" s="33" t="s">
        <v>22</v>
      </c>
      <c r="B23" s="25" t="s">
        <v>10</v>
      </c>
      <c r="C23" s="34">
        <v>15.0</v>
      </c>
      <c r="D23" s="31">
        <v>7.0</v>
      </c>
      <c r="E23" s="31">
        <v>10.0</v>
      </c>
      <c r="F23" s="31">
        <v>5.0</v>
      </c>
      <c r="G23" s="31">
        <v>0.0</v>
      </c>
      <c r="H23" s="31">
        <v>0.0</v>
      </c>
      <c r="I23" s="31">
        <v>0.0</v>
      </c>
      <c r="J23" s="31">
        <v>0.0</v>
      </c>
      <c r="K23" s="31">
        <v>0.0</v>
      </c>
      <c r="L23" s="32">
        <v>0.0</v>
      </c>
    </row>
    <row r="24" ht="14.25" customHeight="1">
      <c r="A24" s="33" t="s">
        <v>23</v>
      </c>
      <c r="B24" s="25" t="s">
        <v>10</v>
      </c>
      <c r="C24" s="34">
        <v>4.0</v>
      </c>
      <c r="D24" s="31">
        <v>8.0</v>
      </c>
      <c r="E24" s="31">
        <v>10.0</v>
      </c>
      <c r="F24" s="31">
        <v>10.0</v>
      </c>
      <c r="G24" s="31">
        <v>10.0</v>
      </c>
      <c r="H24" s="31">
        <v>10.0</v>
      </c>
      <c r="I24" s="31">
        <v>10.0</v>
      </c>
      <c r="J24" s="31">
        <v>10.0</v>
      </c>
      <c r="K24" s="31">
        <v>10.0</v>
      </c>
      <c r="L24" s="32">
        <v>10.0</v>
      </c>
    </row>
    <row r="25" ht="14.25" customHeight="1">
      <c r="A25" s="33" t="s">
        <v>24</v>
      </c>
      <c r="B25" s="25" t="s">
        <v>10</v>
      </c>
      <c r="C25" s="34">
        <v>8.0</v>
      </c>
      <c r="D25" s="31">
        <v>4.0</v>
      </c>
      <c r="E25" s="31">
        <v>4.0</v>
      </c>
      <c r="F25" s="31">
        <v>4.0</v>
      </c>
      <c r="G25" s="31">
        <v>2.0</v>
      </c>
      <c r="H25" s="31">
        <v>2.0</v>
      </c>
      <c r="I25" s="31">
        <v>2.0</v>
      </c>
      <c r="J25" s="31">
        <v>2.0</v>
      </c>
      <c r="K25" s="31">
        <v>2.0</v>
      </c>
      <c r="L25" s="32">
        <v>2.0</v>
      </c>
    </row>
    <row r="26" ht="14.25" customHeight="1">
      <c r="A26" s="33" t="s">
        <v>25</v>
      </c>
      <c r="B26" s="25" t="s">
        <v>10</v>
      </c>
      <c r="C26" s="34">
        <v>2.0</v>
      </c>
      <c r="D26" s="31">
        <v>2.0</v>
      </c>
      <c r="E26" s="31">
        <v>0.0</v>
      </c>
      <c r="F26" s="31">
        <v>0.0</v>
      </c>
      <c r="G26" s="31">
        <v>0.0</v>
      </c>
      <c r="H26" s="31">
        <v>0.0</v>
      </c>
      <c r="I26" s="31">
        <v>0.0</v>
      </c>
      <c r="J26" s="31">
        <v>0.0</v>
      </c>
      <c r="K26" s="31">
        <v>0.0</v>
      </c>
      <c r="L26" s="32">
        <v>0.0</v>
      </c>
    </row>
    <row r="27" ht="14.25" customHeight="1">
      <c r="A27" s="33" t="s">
        <v>26</v>
      </c>
      <c r="B27" s="25" t="s">
        <v>10</v>
      </c>
      <c r="C27" s="34">
        <v>15.0</v>
      </c>
      <c r="D27" s="31">
        <v>4.0</v>
      </c>
      <c r="E27" s="31">
        <v>3.0</v>
      </c>
      <c r="F27" s="31">
        <v>2.0</v>
      </c>
      <c r="G27" s="31">
        <v>0.0</v>
      </c>
      <c r="H27" s="31">
        <v>0.0</v>
      </c>
      <c r="I27" s="31">
        <v>0.0</v>
      </c>
      <c r="J27" s="31">
        <v>0.0</v>
      </c>
      <c r="K27" s="31">
        <v>0.0</v>
      </c>
      <c r="L27" s="32">
        <v>0.0</v>
      </c>
    </row>
    <row r="28" ht="14.25" customHeight="1">
      <c r="A28" s="33" t="s">
        <v>27</v>
      </c>
      <c r="B28" s="25" t="s">
        <v>10</v>
      </c>
      <c r="C28" s="34">
        <v>2.0</v>
      </c>
      <c r="D28" s="31">
        <v>1.0</v>
      </c>
      <c r="E28" s="31">
        <v>1.0</v>
      </c>
      <c r="F28" s="31">
        <v>1.0</v>
      </c>
      <c r="G28" s="31">
        <v>1.0</v>
      </c>
      <c r="H28" s="31">
        <v>1.0</v>
      </c>
      <c r="I28" s="31">
        <v>1.0</v>
      </c>
      <c r="J28" s="31">
        <v>1.0</v>
      </c>
      <c r="K28" s="31">
        <v>1.0</v>
      </c>
      <c r="L28" s="32">
        <v>1.0</v>
      </c>
    </row>
    <row r="29" ht="14.25" customHeight="1">
      <c r="A29" s="35" t="s">
        <v>28</v>
      </c>
      <c r="B29" s="25" t="s">
        <v>10</v>
      </c>
      <c r="C29" s="36">
        <v>4.0</v>
      </c>
      <c r="D29" s="31">
        <v>8.0</v>
      </c>
      <c r="E29" s="31">
        <v>8.0</v>
      </c>
      <c r="F29" s="31">
        <v>8.0</v>
      </c>
      <c r="G29" s="31">
        <v>8.0</v>
      </c>
      <c r="H29" s="31">
        <v>8.0</v>
      </c>
      <c r="I29" s="31">
        <v>8.0</v>
      </c>
      <c r="J29" s="31">
        <v>8.0</v>
      </c>
      <c r="K29" s="31">
        <v>8.0</v>
      </c>
      <c r="L29" s="32">
        <v>8.0</v>
      </c>
    </row>
    <row r="30" ht="28.5" customHeight="1">
      <c r="A30" s="35" t="s">
        <v>29</v>
      </c>
      <c r="B30" s="25" t="s">
        <v>10</v>
      </c>
      <c r="C30" s="37">
        <v>3.0</v>
      </c>
      <c r="D30" s="38">
        <v>2.0</v>
      </c>
      <c r="E30" s="38">
        <v>2.0</v>
      </c>
      <c r="F30" s="38">
        <v>2.0</v>
      </c>
      <c r="G30" s="38">
        <v>2.0</v>
      </c>
      <c r="H30" s="38">
        <v>2.0</v>
      </c>
      <c r="I30" s="38">
        <v>2.0</v>
      </c>
      <c r="J30" s="38">
        <v>2.0</v>
      </c>
      <c r="K30" s="38">
        <v>2.0</v>
      </c>
      <c r="L30" s="39">
        <v>2.0</v>
      </c>
    </row>
    <row r="31" ht="14.25" customHeight="1">
      <c r="A31" s="35" t="s">
        <v>30</v>
      </c>
      <c r="B31" s="25" t="s">
        <v>10</v>
      </c>
      <c r="C31" s="36">
        <v>0.0</v>
      </c>
      <c r="D31" s="31">
        <v>20.0</v>
      </c>
      <c r="E31" s="31">
        <v>11.0</v>
      </c>
      <c r="F31" s="31">
        <v>5.0</v>
      </c>
      <c r="G31" s="31">
        <v>0.0</v>
      </c>
      <c r="H31" s="31">
        <v>0.0</v>
      </c>
      <c r="I31" s="31">
        <v>0.0</v>
      </c>
      <c r="J31" s="31">
        <v>0.0</v>
      </c>
      <c r="K31" s="31">
        <v>0.0</v>
      </c>
      <c r="L31" s="32">
        <v>0.0</v>
      </c>
    </row>
    <row r="32" ht="15.0" customHeight="1">
      <c r="A32" s="35" t="s">
        <v>31</v>
      </c>
      <c r="B32" s="40" t="s">
        <v>10</v>
      </c>
      <c r="C32" s="36">
        <v>0.0</v>
      </c>
      <c r="D32" s="41">
        <v>15.0</v>
      </c>
      <c r="E32" s="41">
        <v>28.0</v>
      </c>
      <c r="F32" s="41">
        <v>44.0</v>
      </c>
      <c r="G32" s="41">
        <v>48.0</v>
      </c>
      <c r="H32" s="41">
        <v>60.0</v>
      </c>
      <c r="I32" s="41">
        <v>60.0</v>
      </c>
      <c r="J32" s="41">
        <v>60.0</v>
      </c>
      <c r="K32" s="41">
        <v>60.0</v>
      </c>
      <c r="L32" s="42">
        <v>60.0</v>
      </c>
    </row>
    <row r="33" ht="15.0" customHeight="1">
      <c r="A33" s="43" t="s">
        <v>32</v>
      </c>
      <c r="B33" s="44" t="s">
        <v>10</v>
      </c>
      <c r="C33" s="45">
        <f t="shared" ref="C33:L33" si="1">SUM(C11:C32)</f>
        <v>71</v>
      </c>
      <c r="D33" s="46">
        <f t="shared" si="1"/>
        <v>85</v>
      </c>
      <c r="E33" s="46">
        <f t="shared" si="1"/>
        <v>87</v>
      </c>
      <c r="F33" s="46">
        <f t="shared" si="1"/>
        <v>91</v>
      </c>
      <c r="G33" s="46">
        <f t="shared" si="1"/>
        <v>76</v>
      </c>
      <c r="H33" s="46">
        <f t="shared" si="1"/>
        <v>88</v>
      </c>
      <c r="I33" s="46">
        <f t="shared" si="1"/>
        <v>88</v>
      </c>
      <c r="J33" s="46">
        <f t="shared" si="1"/>
        <v>88</v>
      </c>
      <c r="K33" s="46">
        <f t="shared" si="1"/>
        <v>88</v>
      </c>
      <c r="L33" s="47">
        <f t="shared" si="1"/>
        <v>88</v>
      </c>
    </row>
    <row r="34" ht="14.25" customHeight="1">
      <c r="A34" s="48" t="s">
        <v>33</v>
      </c>
      <c r="B34" s="25" t="s">
        <v>34</v>
      </c>
      <c r="C34" s="49">
        <f t="shared" ref="C34:L34" si="2">C33/180</f>
        <v>0.3944444444</v>
      </c>
      <c r="D34" s="50">
        <f t="shared" si="2"/>
        <v>0.4722222222</v>
      </c>
      <c r="E34" s="50">
        <f t="shared" si="2"/>
        <v>0.4833333333</v>
      </c>
      <c r="F34" s="50">
        <f t="shared" si="2"/>
        <v>0.5055555556</v>
      </c>
      <c r="G34" s="50">
        <f t="shared" si="2"/>
        <v>0.4222222222</v>
      </c>
      <c r="H34" s="50">
        <f t="shared" si="2"/>
        <v>0.4888888889</v>
      </c>
      <c r="I34" s="50">
        <f t="shared" si="2"/>
        <v>0.4888888889</v>
      </c>
      <c r="J34" s="50">
        <f t="shared" si="2"/>
        <v>0.4888888889</v>
      </c>
      <c r="K34" s="50">
        <f t="shared" si="2"/>
        <v>0.4888888889</v>
      </c>
      <c r="L34" s="50">
        <f t="shared" si="2"/>
        <v>0.4888888889</v>
      </c>
    </row>
    <row r="35" ht="15.75" customHeight="1">
      <c r="A35" s="51" t="s">
        <v>35</v>
      </c>
      <c r="B35" s="52" t="s">
        <v>36</v>
      </c>
      <c r="C35" s="53">
        <v>1.0</v>
      </c>
      <c r="D35" s="54">
        <v>0.0</v>
      </c>
      <c r="E35" s="54">
        <v>0.0</v>
      </c>
      <c r="F35" s="54">
        <v>0.0</v>
      </c>
      <c r="G35" s="54">
        <v>1.0</v>
      </c>
      <c r="H35" s="54">
        <v>0.0</v>
      </c>
      <c r="I35" s="54">
        <v>0.0</v>
      </c>
      <c r="J35" s="54">
        <v>0.0</v>
      </c>
      <c r="K35" s="54">
        <v>0.0</v>
      </c>
      <c r="L35" s="55">
        <v>0.0</v>
      </c>
    </row>
    <row r="36" ht="15.0" hidden="1" customHeight="1">
      <c r="A36" s="56" t="s">
        <v>37</v>
      </c>
      <c r="B36" s="57"/>
      <c r="C36" s="58"/>
      <c r="D36" s="59"/>
      <c r="E36" s="59"/>
      <c r="F36" s="59"/>
      <c r="G36" s="59"/>
      <c r="H36" s="59"/>
      <c r="I36" s="59"/>
      <c r="J36" s="59"/>
      <c r="K36" s="59"/>
      <c r="L36" s="60"/>
    </row>
    <row r="37" ht="14.25" hidden="1" customHeight="1">
      <c r="A37" s="61" t="s">
        <v>38</v>
      </c>
      <c r="B37" s="25" t="s">
        <v>36</v>
      </c>
      <c r="C37" s="62">
        <v>0.0</v>
      </c>
      <c r="D37" s="31">
        <v>0.0</v>
      </c>
      <c r="E37" s="31">
        <v>0.0</v>
      </c>
      <c r="F37" s="31">
        <v>0.0</v>
      </c>
      <c r="G37" s="31">
        <v>0.0</v>
      </c>
      <c r="H37" s="31">
        <v>0.0</v>
      </c>
      <c r="I37" s="31">
        <v>0.0</v>
      </c>
      <c r="J37" s="31">
        <v>0.0</v>
      </c>
      <c r="K37" s="31">
        <v>0.0</v>
      </c>
      <c r="L37" s="32">
        <v>0.0</v>
      </c>
    </row>
    <row r="38" ht="14.25" hidden="1" customHeight="1">
      <c r="A38" s="63" t="s">
        <v>39</v>
      </c>
      <c r="B38" s="25" t="s">
        <v>36</v>
      </c>
      <c r="C38" s="62">
        <v>0.0</v>
      </c>
      <c r="D38" s="31">
        <v>0.0</v>
      </c>
      <c r="E38" s="31">
        <v>0.0</v>
      </c>
      <c r="F38" s="31">
        <v>0.0</v>
      </c>
      <c r="G38" s="31">
        <v>0.0</v>
      </c>
      <c r="H38" s="31">
        <v>0.0</v>
      </c>
      <c r="I38" s="31">
        <v>0.0</v>
      </c>
      <c r="J38" s="31">
        <v>0.0</v>
      </c>
      <c r="K38" s="31">
        <v>0.0</v>
      </c>
      <c r="L38" s="32">
        <v>0.0</v>
      </c>
    </row>
    <row r="39" ht="14.25" hidden="1" customHeight="1">
      <c r="A39" s="64" t="s">
        <v>40</v>
      </c>
      <c r="B39" s="40" t="s">
        <v>36</v>
      </c>
      <c r="C39" s="65">
        <v>0.0</v>
      </c>
      <c r="D39" s="41">
        <v>0.0</v>
      </c>
      <c r="E39" s="41">
        <v>0.0</v>
      </c>
      <c r="F39" s="41">
        <v>0.0</v>
      </c>
      <c r="G39" s="41">
        <v>0.0</v>
      </c>
      <c r="H39" s="41">
        <v>0.0</v>
      </c>
      <c r="I39" s="41">
        <v>0.0</v>
      </c>
      <c r="J39" s="41">
        <v>0.0</v>
      </c>
      <c r="K39" s="41">
        <v>0.0</v>
      </c>
      <c r="L39" s="42">
        <v>0.0</v>
      </c>
    </row>
    <row r="40" ht="14.25" hidden="1" customHeight="1">
      <c r="A40" s="66" t="s">
        <v>41</v>
      </c>
      <c r="B40" s="40" t="s">
        <v>36</v>
      </c>
      <c r="C40" s="65">
        <v>0.0</v>
      </c>
      <c r="D40" s="41"/>
      <c r="E40" s="41"/>
      <c r="F40" s="41"/>
      <c r="G40" s="41"/>
      <c r="H40" s="41"/>
      <c r="I40" s="41"/>
      <c r="J40" s="41"/>
      <c r="K40" s="41"/>
      <c r="L40" s="42"/>
    </row>
    <row r="41" ht="15.0" hidden="1" customHeight="1">
      <c r="A41" s="64" t="s">
        <v>42</v>
      </c>
      <c r="B41" s="40" t="s">
        <v>36</v>
      </c>
      <c r="C41" s="65">
        <v>0.0</v>
      </c>
      <c r="D41" s="41">
        <v>0.0</v>
      </c>
      <c r="E41" s="41">
        <v>0.0</v>
      </c>
      <c r="F41" s="41">
        <v>0.0</v>
      </c>
      <c r="G41" s="41">
        <v>0.0</v>
      </c>
      <c r="H41" s="41">
        <v>0.0</v>
      </c>
      <c r="I41" s="41">
        <v>0.0</v>
      </c>
      <c r="J41" s="41">
        <v>0.0</v>
      </c>
      <c r="K41" s="41">
        <v>0.0</v>
      </c>
      <c r="L41" s="42">
        <v>0.0</v>
      </c>
    </row>
    <row r="42" ht="15.75" customHeight="1">
      <c r="A42" s="67" t="s">
        <v>43</v>
      </c>
      <c r="B42" s="68"/>
      <c r="C42" s="69"/>
      <c r="D42" s="70"/>
      <c r="E42" s="70"/>
      <c r="F42" s="70"/>
      <c r="G42" s="70"/>
      <c r="H42" s="70"/>
      <c r="I42" s="70"/>
      <c r="J42" s="70"/>
      <c r="K42" s="70"/>
      <c r="L42" s="71"/>
    </row>
    <row r="43" ht="14.25" customHeight="1">
      <c r="A43" s="72" t="s">
        <v>44</v>
      </c>
      <c r="B43" s="73" t="s">
        <v>45</v>
      </c>
      <c r="C43" s="74">
        <v>40.0</v>
      </c>
      <c r="D43" s="75">
        <v>20.0</v>
      </c>
      <c r="E43" s="75">
        <v>0.0</v>
      </c>
      <c r="F43" s="75">
        <v>0.0</v>
      </c>
      <c r="G43" s="75">
        <v>0.0</v>
      </c>
      <c r="H43" s="75">
        <f>+G43*1.1</f>
        <v>0</v>
      </c>
      <c r="I43" s="75">
        <v>10.0</v>
      </c>
      <c r="J43" s="75">
        <v>10.0</v>
      </c>
      <c r="K43" s="75">
        <v>10.0</v>
      </c>
      <c r="L43" s="75">
        <v>10.0</v>
      </c>
    </row>
    <row r="44" ht="14.25" customHeight="1">
      <c r="A44" s="61" t="s">
        <v>46</v>
      </c>
      <c r="B44" s="25" t="s">
        <v>47</v>
      </c>
      <c r="C44" s="76">
        <v>668.0</v>
      </c>
      <c r="D44" s="31">
        <v>668.0</v>
      </c>
      <c r="E44" s="31">
        <v>680.0</v>
      </c>
      <c r="F44" s="31">
        <v>360.0</v>
      </c>
      <c r="G44" s="31">
        <v>360.0</v>
      </c>
      <c r="H44" s="31">
        <v>360.0</v>
      </c>
      <c r="I44" s="31">
        <v>360.0</v>
      </c>
      <c r="J44" s="31">
        <v>360.0</v>
      </c>
      <c r="K44" s="31">
        <v>360.0</v>
      </c>
      <c r="L44" s="31">
        <v>360.0</v>
      </c>
    </row>
    <row r="45" ht="14.25" customHeight="1">
      <c r="A45" s="63" t="s">
        <v>48</v>
      </c>
      <c r="B45" s="25" t="s">
        <v>47</v>
      </c>
      <c r="C45" s="76">
        <v>1.0</v>
      </c>
      <c r="D45" s="31">
        <v>1.0</v>
      </c>
      <c r="E45" s="31">
        <v>1.0</v>
      </c>
      <c r="F45" s="31">
        <v>1.0</v>
      </c>
      <c r="G45" s="31">
        <v>1.0</v>
      </c>
      <c r="H45" s="31">
        <v>1.0</v>
      </c>
      <c r="I45" s="31">
        <v>1.0</v>
      </c>
      <c r="J45" s="31">
        <v>1.0</v>
      </c>
      <c r="K45" s="31">
        <v>1.0</v>
      </c>
      <c r="L45" s="32">
        <v>1.0</v>
      </c>
    </row>
    <row r="46" ht="14.25" customHeight="1">
      <c r="A46" s="61" t="s">
        <v>49</v>
      </c>
      <c r="B46" s="25" t="s">
        <v>47</v>
      </c>
      <c r="C46" s="76">
        <v>350.0</v>
      </c>
      <c r="D46" s="31">
        <v>0.0</v>
      </c>
      <c r="E46" s="31">
        <v>0.0</v>
      </c>
      <c r="F46" s="31">
        <v>0.0</v>
      </c>
      <c r="G46" s="31">
        <v>0.0</v>
      </c>
      <c r="H46" s="31">
        <v>0.0</v>
      </c>
      <c r="I46" s="31">
        <v>0.0</v>
      </c>
      <c r="J46" s="31">
        <v>0.0</v>
      </c>
      <c r="K46" s="31">
        <v>0.0</v>
      </c>
      <c r="L46" s="32">
        <v>0.0</v>
      </c>
    </row>
    <row r="47" ht="14.25" customHeight="1">
      <c r="A47" s="61" t="s">
        <v>50</v>
      </c>
      <c r="B47" s="25" t="s">
        <v>47</v>
      </c>
      <c r="C47" s="76">
        <v>100.0</v>
      </c>
      <c r="D47" s="31">
        <v>150.0</v>
      </c>
      <c r="E47" s="31">
        <v>200.0</v>
      </c>
      <c r="F47" s="31">
        <v>200.0</v>
      </c>
      <c r="G47" s="31">
        <v>200.0</v>
      </c>
      <c r="H47" s="31">
        <v>200.0</v>
      </c>
      <c r="I47" s="31">
        <v>200.0</v>
      </c>
      <c r="J47" s="31">
        <v>200.0</v>
      </c>
      <c r="K47" s="31">
        <v>200.0</v>
      </c>
      <c r="L47" s="32">
        <v>200.0</v>
      </c>
    </row>
    <row r="48" ht="14.25" customHeight="1">
      <c r="A48" s="61" t="s">
        <v>51</v>
      </c>
      <c r="B48" s="25" t="s">
        <v>47</v>
      </c>
      <c r="C48" s="76">
        <v>8.0</v>
      </c>
      <c r="D48" s="31">
        <v>8.0</v>
      </c>
      <c r="E48" s="31">
        <v>0.0</v>
      </c>
      <c r="F48" s="31">
        <v>0.0</v>
      </c>
      <c r="G48" s="31">
        <v>0.0</v>
      </c>
      <c r="H48" s="31">
        <v>0.0</v>
      </c>
      <c r="I48" s="31">
        <v>0.0</v>
      </c>
      <c r="J48" s="31">
        <v>0.0</v>
      </c>
      <c r="K48" s="31">
        <v>0.0</v>
      </c>
      <c r="L48" s="32">
        <v>0.0</v>
      </c>
    </row>
    <row r="49" ht="14.25" customHeight="1">
      <c r="A49" s="61" t="s">
        <v>52</v>
      </c>
      <c r="B49" s="25" t="s">
        <v>53</v>
      </c>
      <c r="C49" s="76">
        <v>5.0</v>
      </c>
      <c r="D49" s="31">
        <v>5.0</v>
      </c>
      <c r="E49" s="31">
        <v>5.0</v>
      </c>
      <c r="F49" s="31">
        <v>7.0</v>
      </c>
      <c r="G49" s="31">
        <v>7.0</v>
      </c>
      <c r="H49" s="31">
        <v>7.0</v>
      </c>
      <c r="I49" s="31">
        <v>10.0</v>
      </c>
      <c r="J49" s="31">
        <v>10.0</v>
      </c>
      <c r="K49" s="31">
        <v>10.0</v>
      </c>
      <c r="L49" s="32">
        <v>10.0</v>
      </c>
    </row>
    <row r="50" ht="14.25" customHeight="1">
      <c r="A50" s="61" t="s">
        <v>54</v>
      </c>
      <c r="B50" s="25" t="s">
        <v>53</v>
      </c>
      <c r="C50" s="76">
        <v>5.0</v>
      </c>
      <c r="D50" s="62">
        <v>5.0</v>
      </c>
      <c r="E50" s="62">
        <v>5.0</v>
      </c>
      <c r="F50" s="62">
        <v>7.0</v>
      </c>
      <c r="G50" s="62">
        <v>7.0</v>
      </c>
      <c r="H50" s="62">
        <v>7.0</v>
      </c>
      <c r="I50" s="62">
        <v>10.0</v>
      </c>
      <c r="J50" s="62">
        <v>10.0</v>
      </c>
      <c r="K50" s="62">
        <v>10.0</v>
      </c>
      <c r="L50" s="77">
        <v>10.0</v>
      </c>
    </row>
    <row r="51" ht="15.0" customHeight="1">
      <c r="A51" s="78" t="s">
        <v>55</v>
      </c>
      <c r="B51" s="79" t="s">
        <v>53</v>
      </c>
      <c r="C51" s="80">
        <v>3.0</v>
      </c>
      <c r="D51" s="81">
        <v>3.0</v>
      </c>
      <c r="E51" s="81">
        <v>3.0</v>
      </c>
      <c r="F51" s="81">
        <v>5.0</v>
      </c>
      <c r="G51" s="81">
        <v>7.0</v>
      </c>
      <c r="H51" s="81">
        <v>7.0</v>
      </c>
      <c r="I51" s="81">
        <v>7.0</v>
      </c>
      <c r="J51" s="81">
        <v>9.0</v>
      </c>
      <c r="K51" s="81">
        <v>9.0</v>
      </c>
      <c r="L51" s="82">
        <v>9.0</v>
      </c>
    </row>
    <row r="52" ht="12.75" customHeight="1"/>
    <row r="53" ht="12.75" customHeight="1">
      <c r="E53" s="83"/>
    </row>
    <row r="54" ht="15.0" customHeight="1">
      <c r="A54" s="2"/>
      <c r="B54" s="2"/>
      <c r="C54" s="2"/>
      <c r="D54" s="2"/>
      <c r="E54" s="2"/>
      <c r="F54" s="2"/>
      <c r="G54" s="9"/>
      <c r="H54" s="9"/>
      <c r="I54" s="9"/>
      <c r="J54" s="9"/>
      <c r="K54" s="9"/>
      <c r="L54" s="9"/>
    </row>
    <row r="55" ht="15.75" customHeight="1">
      <c r="A55" s="84" t="s">
        <v>56</v>
      </c>
      <c r="B55" s="85"/>
      <c r="C55" s="85"/>
      <c r="D55" s="85"/>
      <c r="E55" s="85"/>
      <c r="F55" s="85"/>
      <c r="G55" s="85"/>
      <c r="H55" s="85"/>
      <c r="I55" s="85"/>
      <c r="J55" s="85"/>
      <c r="K55" s="85"/>
      <c r="L55" s="86"/>
    </row>
    <row r="56" ht="15.75" customHeight="1">
      <c r="A56" s="87"/>
      <c r="B56" s="88"/>
      <c r="C56" s="89" t="s">
        <v>5</v>
      </c>
      <c r="D56" s="85"/>
      <c r="E56" s="85"/>
      <c r="F56" s="85"/>
      <c r="G56" s="85"/>
      <c r="H56" s="85"/>
      <c r="I56" s="85"/>
      <c r="J56" s="85"/>
      <c r="K56" s="85"/>
      <c r="L56" s="86"/>
    </row>
    <row r="57" ht="15.75" customHeight="1">
      <c r="A57" s="24" t="s">
        <v>57</v>
      </c>
      <c r="B57" s="68"/>
      <c r="C57" s="90">
        <v>1.0</v>
      </c>
      <c r="D57" s="91">
        <v>2.0</v>
      </c>
      <c r="E57" s="91">
        <v>3.0</v>
      </c>
      <c r="F57" s="91">
        <v>4.0</v>
      </c>
      <c r="G57" s="91">
        <v>5.0</v>
      </c>
      <c r="H57" s="91">
        <v>6.0</v>
      </c>
      <c r="I57" s="91">
        <v>7.0</v>
      </c>
      <c r="J57" s="91">
        <v>8.0</v>
      </c>
      <c r="K57" s="91">
        <v>9.0</v>
      </c>
      <c r="L57" s="92">
        <v>10.0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72" t="s">
        <v>58</v>
      </c>
      <c r="B58" s="73" t="s">
        <v>59</v>
      </c>
      <c r="C58" s="93">
        <v>23000.0</v>
      </c>
      <c r="D58" s="94">
        <f t="shared" ref="D58:L58" si="3">+C58*1.05</f>
        <v>24150</v>
      </c>
      <c r="E58" s="94">
        <f t="shared" si="3"/>
        <v>25357.5</v>
      </c>
      <c r="F58" s="94">
        <f t="shared" si="3"/>
        <v>26625.375</v>
      </c>
      <c r="G58" s="94">
        <f t="shared" si="3"/>
        <v>27956.64375</v>
      </c>
      <c r="H58" s="94">
        <f t="shared" si="3"/>
        <v>29354.47594</v>
      </c>
      <c r="I58" s="94">
        <f t="shared" si="3"/>
        <v>30822.19973</v>
      </c>
      <c r="J58" s="94">
        <f t="shared" si="3"/>
        <v>32363.30972</v>
      </c>
      <c r="K58" s="94">
        <f t="shared" si="3"/>
        <v>33981.47521</v>
      </c>
      <c r="L58" s="95">
        <f t="shared" si="3"/>
        <v>35680.54897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72" t="s">
        <v>60</v>
      </c>
      <c r="B59" s="73" t="s">
        <v>34</v>
      </c>
      <c r="C59" s="93">
        <f>I182</f>
        <v>366000</v>
      </c>
      <c r="D59" s="93">
        <f t="shared" ref="D59:L59" si="4">C59*1.04</f>
        <v>380640</v>
      </c>
      <c r="E59" s="93">
        <f t="shared" si="4"/>
        <v>395865.6</v>
      </c>
      <c r="F59" s="93">
        <f t="shared" si="4"/>
        <v>411700.224</v>
      </c>
      <c r="G59" s="93">
        <f t="shared" si="4"/>
        <v>428168.233</v>
      </c>
      <c r="H59" s="93">
        <f t="shared" si="4"/>
        <v>445294.9623</v>
      </c>
      <c r="I59" s="93">
        <f t="shared" si="4"/>
        <v>463106.7608</v>
      </c>
      <c r="J59" s="93">
        <f t="shared" si="4"/>
        <v>481631.0312</v>
      </c>
      <c r="K59" s="93">
        <f t="shared" si="4"/>
        <v>500896.2724</v>
      </c>
      <c r="L59" s="93">
        <f t="shared" si="4"/>
        <v>520932.1233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0" customHeight="1">
      <c r="A60" s="61" t="s">
        <v>61</v>
      </c>
      <c r="B60" s="25" t="s">
        <v>62</v>
      </c>
      <c r="C60" s="96">
        <v>130000.0</v>
      </c>
      <c r="D60" s="97">
        <f t="shared" ref="D60:L60" si="5">+C60*1.05</f>
        <v>136500</v>
      </c>
      <c r="E60" s="97">
        <f t="shared" si="5"/>
        <v>143325</v>
      </c>
      <c r="F60" s="97">
        <f t="shared" si="5"/>
        <v>150491.25</v>
      </c>
      <c r="G60" s="97">
        <f t="shared" si="5"/>
        <v>158015.8125</v>
      </c>
      <c r="H60" s="97">
        <f t="shared" si="5"/>
        <v>165916.6031</v>
      </c>
      <c r="I60" s="97">
        <f t="shared" si="5"/>
        <v>174212.4333</v>
      </c>
      <c r="J60" s="97">
        <f t="shared" si="5"/>
        <v>182923.0549</v>
      </c>
      <c r="K60" s="97">
        <f t="shared" si="5"/>
        <v>192069.2077</v>
      </c>
      <c r="L60" s="98">
        <f t="shared" si="5"/>
        <v>201672.6681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0" hidden="1" customHeight="1">
      <c r="A61" s="99" t="s">
        <v>37</v>
      </c>
      <c r="B61" s="25"/>
      <c r="C61" s="96"/>
      <c r="D61" s="97"/>
      <c r="E61" s="97"/>
      <c r="F61" s="97"/>
      <c r="G61" s="97"/>
      <c r="H61" s="97"/>
      <c r="I61" s="97"/>
      <c r="J61" s="97"/>
      <c r="K61" s="97"/>
      <c r="L61" s="98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hidden="1" customHeight="1">
      <c r="A62" s="61" t="s">
        <v>38</v>
      </c>
      <c r="B62" s="25" t="s">
        <v>62</v>
      </c>
      <c r="C62" s="96">
        <v>600.0</v>
      </c>
      <c r="D62" s="100">
        <v>0.0</v>
      </c>
      <c r="E62" s="100"/>
      <c r="F62" s="100"/>
      <c r="G62" s="100"/>
      <c r="H62" s="100"/>
      <c r="I62" s="100"/>
      <c r="J62" s="100"/>
      <c r="K62" s="100"/>
      <c r="L62" s="101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hidden="1" customHeight="1">
      <c r="A63" s="61" t="s">
        <v>39</v>
      </c>
      <c r="B63" s="25" t="s">
        <v>62</v>
      </c>
      <c r="C63" s="96">
        <v>1800.0</v>
      </c>
      <c r="D63" s="100">
        <v>1800.0</v>
      </c>
      <c r="E63" s="100"/>
      <c r="F63" s="100"/>
      <c r="G63" s="100"/>
      <c r="H63" s="100"/>
      <c r="I63" s="100"/>
      <c r="J63" s="100"/>
      <c r="K63" s="100"/>
      <c r="L63" s="101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hidden="1" customHeight="1">
      <c r="A64" s="64" t="s">
        <v>40</v>
      </c>
      <c r="B64" s="40" t="s">
        <v>62</v>
      </c>
      <c r="C64" s="102">
        <v>5000.0</v>
      </c>
      <c r="D64" s="103"/>
      <c r="E64" s="100"/>
      <c r="F64" s="100"/>
      <c r="G64" s="100"/>
      <c r="H64" s="100"/>
      <c r="I64" s="100"/>
      <c r="J64" s="100"/>
      <c r="K64" s="100"/>
      <c r="L64" s="101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0" hidden="1" customHeight="1">
      <c r="A65" s="66" t="s">
        <v>41</v>
      </c>
      <c r="B65" s="25"/>
      <c r="C65" s="96"/>
      <c r="D65" s="100"/>
      <c r="E65" s="100"/>
      <c r="F65" s="100"/>
      <c r="G65" s="100"/>
      <c r="H65" s="100"/>
      <c r="I65" s="100"/>
      <c r="J65" s="100"/>
      <c r="K65" s="100"/>
      <c r="L65" s="101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67" t="s">
        <v>43</v>
      </c>
      <c r="B66" s="68"/>
      <c r="C66" s="104"/>
      <c r="D66" s="105"/>
      <c r="E66" s="105"/>
      <c r="F66" s="105"/>
      <c r="G66" s="105"/>
      <c r="H66" s="105"/>
      <c r="I66" s="105"/>
      <c r="J66" s="105"/>
      <c r="K66" s="105"/>
      <c r="L66" s="106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72" t="s">
        <v>63</v>
      </c>
      <c r="B67" s="73" t="s">
        <v>64</v>
      </c>
      <c r="C67" s="93">
        <v>22000.0</v>
      </c>
      <c r="D67" s="94">
        <f t="shared" ref="D67:L67" si="6">+C67*1.05</f>
        <v>23100</v>
      </c>
      <c r="E67" s="94">
        <f t="shared" si="6"/>
        <v>24255</v>
      </c>
      <c r="F67" s="94">
        <f t="shared" si="6"/>
        <v>25467.75</v>
      </c>
      <c r="G67" s="94">
        <f t="shared" si="6"/>
        <v>26741.1375</v>
      </c>
      <c r="H67" s="94">
        <f t="shared" si="6"/>
        <v>28078.19438</v>
      </c>
      <c r="I67" s="94">
        <f t="shared" si="6"/>
        <v>29482.10409</v>
      </c>
      <c r="J67" s="94">
        <f t="shared" si="6"/>
        <v>30956.2093</v>
      </c>
      <c r="K67" s="94">
        <f t="shared" si="6"/>
        <v>32504.01976</v>
      </c>
      <c r="L67" s="95">
        <f t="shared" si="6"/>
        <v>34129.22075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61" t="s">
        <v>46</v>
      </c>
      <c r="B68" s="25" t="s">
        <v>65</v>
      </c>
      <c r="C68" s="96">
        <v>1508.0</v>
      </c>
      <c r="D68" s="97">
        <f t="shared" ref="D68:L68" si="7">+C68*1.05</f>
        <v>1583.4</v>
      </c>
      <c r="E68" s="97">
        <f t="shared" si="7"/>
        <v>1662.57</v>
      </c>
      <c r="F68" s="97">
        <f t="shared" si="7"/>
        <v>1745.6985</v>
      </c>
      <c r="G68" s="97">
        <f t="shared" si="7"/>
        <v>1832.983425</v>
      </c>
      <c r="H68" s="97">
        <f t="shared" si="7"/>
        <v>1924.632596</v>
      </c>
      <c r="I68" s="97">
        <f t="shared" si="7"/>
        <v>2020.864226</v>
      </c>
      <c r="J68" s="97">
        <f t="shared" si="7"/>
        <v>2121.907437</v>
      </c>
      <c r="K68" s="97">
        <f t="shared" si="7"/>
        <v>2228.002809</v>
      </c>
      <c r="L68" s="98">
        <f t="shared" si="7"/>
        <v>2339.40295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63" t="s">
        <v>48</v>
      </c>
      <c r="B69" s="25" t="s">
        <v>65</v>
      </c>
      <c r="C69" s="96">
        <v>5000.0</v>
      </c>
      <c r="D69" s="97">
        <f t="shared" ref="D69:L69" si="8">+C69*1.05</f>
        <v>5250</v>
      </c>
      <c r="E69" s="97">
        <f t="shared" si="8"/>
        <v>5512.5</v>
      </c>
      <c r="F69" s="97">
        <f t="shared" si="8"/>
        <v>5788.125</v>
      </c>
      <c r="G69" s="97">
        <f t="shared" si="8"/>
        <v>6077.53125</v>
      </c>
      <c r="H69" s="97">
        <f t="shared" si="8"/>
        <v>6381.407813</v>
      </c>
      <c r="I69" s="97">
        <f t="shared" si="8"/>
        <v>6700.478203</v>
      </c>
      <c r="J69" s="97">
        <f t="shared" si="8"/>
        <v>7035.502113</v>
      </c>
      <c r="K69" s="97">
        <f t="shared" si="8"/>
        <v>7387.277219</v>
      </c>
      <c r="L69" s="98">
        <f t="shared" si="8"/>
        <v>7756.64108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61" t="s">
        <v>49</v>
      </c>
      <c r="B70" s="25" t="s">
        <v>65</v>
      </c>
      <c r="C70" s="96">
        <v>236.0</v>
      </c>
      <c r="D70" s="97">
        <f t="shared" ref="D70:L70" si="9">+C70*1.05</f>
        <v>247.8</v>
      </c>
      <c r="E70" s="97">
        <f t="shared" si="9"/>
        <v>260.19</v>
      </c>
      <c r="F70" s="97">
        <f t="shared" si="9"/>
        <v>273.1995</v>
      </c>
      <c r="G70" s="97">
        <f t="shared" si="9"/>
        <v>286.859475</v>
      </c>
      <c r="H70" s="97">
        <f t="shared" si="9"/>
        <v>301.2024488</v>
      </c>
      <c r="I70" s="97">
        <f t="shared" si="9"/>
        <v>316.2625712</v>
      </c>
      <c r="J70" s="97">
        <f t="shared" si="9"/>
        <v>332.0756997</v>
      </c>
      <c r="K70" s="97">
        <f t="shared" si="9"/>
        <v>348.6794847</v>
      </c>
      <c r="L70" s="98">
        <f t="shared" si="9"/>
        <v>366.113459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61" t="s">
        <v>50</v>
      </c>
      <c r="B71" s="25" t="s">
        <v>65</v>
      </c>
      <c r="C71" s="96">
        <v>236.0</v>
      </c>
      <c r="D71" s="97">
        <f t="shared" ref="D71:L71" si="10">+C71*1.05</f>
        <v>247.8</v>
      </c>
      <c r="E71" s="97">
        <f t="shared" si="10"/>
        <v>260.19</v>
      </c>
      <c r="F71" s="97">
        <f t="shared" si="10"/>
        <v>273.1995</v>
      </c>
      <c r="G71" s="97">
        <f t="shared" si="10"/>
        <v>286.859475</v>
      </c>
      <c r="H71" s="97">
        <f t="shared" si="10"/>
        <v>301.2024488</v>
      </c>
      <c r="I71" s="97">
        <f t="shared" si="10"/>
        <v>316.2625712</v>
      </c>
      <c r="J71" s="97">
        <f t="shared" si="10"/>
        <v>332.0756997</v>
      </c>
      <c r="K71" s="97">
        <f t="shared" si="10"/>
        <v>348.6794847</v>
      </c>
      <c r="L71" s="98">
        <f t="shared" si="10"/>
        <v>366.113459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61" t="s">
        <v>51</v>
      </c>
      <c r="B72" s="25" t="s">
        <v>65</v>
      </c>
      <c r="C72" s="96">
        <v>700.0</v>
      </c>
      <c r="D72" s="97">
        <f t="shared" ref="D72:L72" si="11">+C72*1.05</f>
        <v>735</v>
      </c>
      <c r="E72" s="97">
        <f t="shared" si="11"/>
        <v>771.75</v>
      </c>
      <c r="F72" s="97">
        <f t="shared" si="11"/>
        <v>810.3375</v>
      </c>
      <c r="G72" s="97">
        <f t="shared" si="11"/>
        <v>850.854375</v>
      </c>
      <c r="H72" s="97">
        <f t="shared" si="11"/>
        <v>893.3970938</v>
      </c>
      <c r="I72" s="97">
        <f t="shared" si="11"/>
        <v>938.0669484</v>
      </c>
      <c r="J72" s="97">
        <f t="shared" si="11"/>
        <v>984.9702959</v>
      </c>
      <c r="K72" s="97">
        <f t="shared" si="11"/>
        <v>1034.218811</v>
      </c>
      <c r="L72" s="98">
        <f t="shared" si="11"/>
        <v>1085.929751</v>
      </c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61" t="s">
        <v>52</v>
      </c>
      <c r="B73" s="25" t="s">
        <v>66</v>
      </c>
      <c r="C73" s="96">
        <v>2000.0</v>
      </c>
      <c r="D73" s="97">
        <f t="shared" ref="D73:L73" si="12">+C73*1.05</f>
        <v>2100</v>
      </c>
      <c r="E73" s="97">
        <f t="shared" si="12"/>
        <v>2205</v>
      </c>
      <c r="F73" s="97">
        <f t="shared" si="12"/>
        <v>2315.25</v>
      </c>
      <c r="G73" s="97">
        <f t="shared" si="12"/>
        <v>2431.0125</v>
      </c>
      <c r="H73" s="97">
        <f t="shared" si="12"/>
        <v>2552.563125</v>
      </c>
      <c r="I73" s="97">
        <f t="shared" si="12"/>
        <v>2680.191281</v>
      </c>
      <c r="J73" s="97">
        <f t="shared" si="12"/>
        <v>2814.200845</v>
      </c>
      <c r="K73" s="97">
        <f t="shared" si="12"/>
        <v>2954.910888</v>
      </c>
      <c r="L73" s="98">
        <f t="shared" si="12"/>
        <v>3102.656432</v>
      </c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61" t="s">
        <v>54</v>
      </c>
      <c r="B74" s="25" t="s">
        <v>66</v>
      </c>
      <c r="C74" s="96">
        <v>5000.0</v>
      </c>
      <c r="D74" s="97">
        <f t="shared" ref="D74:L74" si="13">+C74*1.05</f>
        <v>5250</v>
      </c>
      <c r="E74" s="97">
        <f t="shared" si="13"/>
        <v>5512.5</v>
      </c>
      <c r="F74" s="97">
        <f t="shared" si="13"/>
        <v>5788.125</v>
      </c>
      <c r="G74" s="97">
        <f t="shared" si="13"/>
        <v>6077.53125</v>
      </c>
      <c r="H74" s="97">
        <f t="shared" si="13"/>
        <v>6381.407813</v>
      </c>
      <c r="I74" s="97">
        <f t="shared" si="13"/>
        <v>6700.478203</v>
      </c>
      <c r="J74" s="97">
        <f t="shared" si="13"/>
        <v>7035.502113</v>
      </c>
      <c r="K74" s="97">
        <f t="shared" si="13"/>
        <v>7387.277219</v>
      </c>
      <c r="L74" s="98">
        <f t="shared" si="13"/>
        <v>7756.64108</v>
      </c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0" customHeight="1">
      <c r="A75" s="78" t="s">
        <v>55</v>
      </c>
      <c r="B75" s="79" t="s">
        <v>66</v>
      </c>
      <c r="C75" s="107">
        <v>2000.0</v>
      </c>
      <c r="D75" s="108">
        <f t="shared" ref="D75:L75" si="14">+C75*1.05</f>
        <v>2100</v>
      </c>
      <c r="E75" s="108">
        <f t="shared" si="14"/>
        <v>2205</v>
      </c>
      <c r="F75" s="108">
        <f t="shared" si="14"/>
        <v>2315.25</v>
      </c>
      <c r="G75" s="108">
        <f t="shared" si="14"/>
        <v>2431.0125</v>
      </c>
      <c r="H75" s="108">
        <f t="shared" si="14"/>
        <v>2552.563125</v>
      </c>
      <c r="I75" s="108">
        <f t="shared" si="14"/>
        <v>2680.191281</v>
      </c>
      <c r="J75" s="108">
        <f t="shared" si="14"/>
        <v>2814.200845</v>
      </c>
      <c r="K75" s="108">
        <f t="shared" si="14"/>
        <v>2954.910888</v>
      </c>
      <c r="L75" s="109">
        <f t="shared" si="14"/>
        <v>3102.656432</v>
      </c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3"/>
      <c r="C76" s="110"/>
      <c r="D76" s="110"/>
      <c r="E76" s="110"/>
      <c r="F76" s="110"/>
      <c r="G76" s="110"/>
      <c r="H76" s="110"/>
      <c r="I76" s="110"/>
      <c r="J76" s="110"/>
      <c r="K76" s="110"/>
      <c r="L76" s="110"/>
    </row>
    <row r="77" ht="15.0" customHeight="1">
      <c r="A77" s="2"/>
      <c r="B77" s="3"/>
      <c r="C77" s="110"/>
      <c r="D77" s="110"/>
      <c r="E77" s="110"/>
      <c r="F77" s="110"/>
      <c r="G77" s="110"/>
      <c r="H77" s="110"/>
      <c r="I77" s="110"/>
      <c r="J77" s="110"/>
      <c r="K77" s="110"/>
      <c r="L77" s="110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111" t="s">
        <v>67</v>
      </c>
      <c r="B78" s="112"/>
      <c r="C78" s="113">
        <v>1.0</v>
      </c>
      <c r="D78" s="114">
        <v>2.0</v>
      </c>
      <c r="E78" s="114">
        <v>3.0</v>
      </c>
      <c r="F78" s="114">
        <v>4.0</v>
      </c>
      <c r="G78" s="114">
        <v>5.0</v>
      </c>
      <c r="H78" s="114">
        <v>6.0</v>
      </c>
      <c r="I78" s="114">
        <v>7.0</v>
      </c>
      <c r="J78" s="114">
        <v>8.0</v>
      </c>
      <c r="K78" s="114">
        <v>9.0</v>
      </c>
      <c r="L78" s="115">
        <v>10.0</v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116" t="s">
        <v>58</v>
      </c>
      <c r="B79" s="117" t="s">
        <v>68</v>
      </c>
      <c r="C79" s="118">
        <f t="shared" ref="C79:L79" si="15">+C33*C58</f>
        <v>1633000</v>
      </c>
      <c r="D79" s="119">
        <f t="shared" si="15"/>
        <v>2052750</v>
      </c>
      <c r="E79" s="119">
        <f t="shared" si="15"/>
        <v>2206102.5</v>
      </c>
      <c r="F79" s="119">
        <f t="shared" si="15"/>
        <v>2422909.125</v>
      </c>
      <c r="G79" s="119">
        <f t="shared" si="15"/>
        <v>2124704.925</v>
      </c>
      <c r="H79" s="119">
        <f t="shared" si="15"/>
        <v>2583193.883</v>
      </c>
      <c r="I79" s="119">
        <f t="shared" si="15"/>
        <v>2712353.577</v>
      </c>
      <c r="J79" s="119">
        <f t="shared" si="15"/>
        <v>2847971.255</v>
      </c>
      <c r="K79" s="119">
        <f t="shared" si="15"/>
        <v>2990369.818</v>
      </c>
      <c r="L79" s="120">
        <f t="shared" si="15"/>
        <v>3139888.309</v>
      </c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121" t="s">
        <v>60</v>
      </c>
      <c r="B80" s="122" t="s">
        <v>68</v>
      </c>
      <c r="C80" s="123">
        <f t="shared" ref="C80:L80" si="16">C34*C59</f>
        <v>144366.6667</v>
      </c>
      <c r="D80" s="124">
        <f t="shared" si="16"/>
        <v>179746.6667</v>
      </c>
      <c r="E80" s="124">
        <f t="shared" si="16"/>
        <v>191335.04</v>
      </c>
      <c r="F80" s="124">
        <f t="shared" si="16"/>
        <v>208137.3355</v>
      </c>
      <c r="G80" s="124">
        <f t="shared" si="16"/>
        <v>180782.1428</v>
      </c>
      <c r="H80" s="124">
        <f t="shared" si="16"/>
        <v>217699.7593</v>
      </c>
      <c r="I80" s="124">
        <f t="shared" si="16"/>
        <v>226407.7497</v>
      </c>
      <c r="J80" s="124">
        <f t="shared" si="16"/>
        <v>235464.0597</v>
      </c>
      <c r="K80" s="124">
        <f t="shared" si="16"/>
        <v>244882.6221</v>
      </c>
      <c r="L80" s="125">
        <f t="shared" si="16"/>
        <v>254677.927</v>
      </c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0" customHeight="1">
      <c r="A81" s="126" t="s">
        <v>69</v>
      </c>
      <c r="B81" s="127" t="s">
        <v>68</v>
      </c>
      <c r="C81" s="128">
        <f t="shared" ref="C81:L81" si="17">+C35*C60</f>
        <v>130000</v>
      </c>
      <c r="D81" s="129">
        <f t="shared" si="17"/>
        <v>0</v>
      </c>
      <c r="E81" s="129">
        <f t="shared" si="17"/>
        <v>0</v>
      </c>
      <c r="F81" s="129">
        <f t="shared" si="17"/>
        <v>0</v>
      </c>
      <c r="G81" s="129">
        <f t="shared" si="17"/>
        <v>158015.8125</v>
      </c>
      <c r="H81" s="129">
        <f t="shared" si="17"/>
        <v>0</v>
      </c>
      <c r="I81" s="129">
        <f t="shared" si="17"/>
        <v>0</v>
      </c>
      <c r="J81" s="129">
        <f t="shared" si="17"/>
        <v>0</v>
      </c>
      <c r="K81" s="129">
        <f t="shared" si="17"/>
        <v>0</v>
      </c>
      <c r="L81" s="130">
        <f t="shared" si="17"/>
        <v>0</v>
      </c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0" hidden="1" customHeight="1">
      <c r="A82" s="131" t="s">
        <v>37</v>
      </c>
      <c r="B82" s="132"/>
      <c r="C82" s="133"/>
      <c r="D82" s="134"/>
      <c r="E82" s="134"/>
      <c r="F82" s="134"/>
      <c r="G82" s="134"/>
      <c r="H82" s="134"/>
      <c r="I82" s="134"/>
      <c r="J82" s="134"/>
      <c r="K82" s="134"/>
      <c r="L82" s="135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hidden="1" customHeight="1">
      <c r="A83" s="136" t="s">
        <v>38</v>
      </c>
      <c r="B83" s="137" t="s">
        <v>68</v>
      </c>
      <c r="C83" s="138">
        <f t="shared" ref="C83:L83" si="18">+C37*C62</f>
        <v>0</v>
      </c>
      <c r="D83" s="139">
        <f t="shared" si="18"/>
        <v>0</v>
      </c>
      <c r="E83" s="139">
        <f t="shared" si="18"/>
        <v>0</v>
      </c>
      <c r="F83" s="139">
        <f t="shared" si="18"/>
        <v>0</v>
      </c>
      <c r="G83" s="139">
        <f t="shared" si="18"/>
        <v>0</v>
      </c>
      <c r="H83" s="139">
        <f t="shared" si="18"/>
        <v>0</v>
      </c>
      <c r="I83" s="139">
        <f t="shared" si="18"/>
        <v>0</v>
      </c>
      <c r="J83" s="139">
        <f t="shared" si="18"/>
        <v>0</v>
      </c>
      <c r="K83" s="139">
        <f t="shared" si="18"/>
        <v>0</v>
      </c>
      <c r="L83" s="140">
        <f t="shared" si="18"/>
        <v>0</v>
      </c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hidden="1" customHeight="1">
      <c r="A84" s="136" t="s">
        <v>39</v>
      </c>
      <c r="B84" s="137" t="s">
        <v>68</v>
      </c>
      <c r="C84" s="138">
        <f t="shared" ref="C84:C85" si="19">+C38*C63</f>
        <v>0</v>
      </c>
      <c r="D84" s="139"/>
      <c r="E84" s="139"/>
      <c r="F84" s="139"/>
      <c r="G84" s="139"/>
      <c r="H84" s="139"/>
      <c r="I84" s="139"/>
      <c r="J84" s="139"/>
      <c r="K84" s="139"/>
      <c r="L84" s="140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hidden="1" customHeight="1">
      <c r="A85" s="64" t="s">
        <v>70</v>
      </c>
      <c r="B85" s="127" t="s">
        <v>68</v>
      </c>
      <c r="C85" s="124">
        <f t="shared" si="19"/>
        <v>0</v>
      </c>
      <c r="D85" s="139"/>
      <c r="E85" s="139"/>
      <c r="F85" s="139"/>
      <c r="G85" s="139"/>
      <c r="H85" s="139"/>
      <c r="I85" s="139"/>
      <c r="J85" s="139"/>
      <c r="K85" s="139"/>
      <c r="L85" s="140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0" hidden="1" customHeight="1">
      <c r="A86" s="66" t="s">
        <v>41</v>
      </c>
      <c r="B86" s="137" t="s">
        <v>68</v>
      </c>
      <c r="C86" s="138"/>
      <c r="D86" s="139">
        <f t="shared" ref="D86:L86" si="20">+D38*D65</f>
        <v>0</v>
      </c>
      <c r="E86" s="139">
        <f t="shared" si="20"/>
        <v>0</v>
      </c>
      <c r="F86" s="139">
        <f t="shared" si="20"/>
        <v>0</v>
      </c>
      <c r="G86" s="139">
        <f t="shared" si="20"/>
        <v>0</v>
      </c>
      <c r="H86" s="139">
        <f t="shared" si="20"/>
        <v>0</v>
      </c>
      <c r="I86" s="139">
        <f t="shared" si="20"/>
        <v>0</v>
      </c>
      <c r="J86" s="139">
        <f t="shared" si="20"/>
        <v>0</v>
      </c>
      <c r="K86" s="139">
        <f t="shared" si="20"/>
        <v>0</v>
      </c>
      <c r="L86" s="140">
        <f t="shared" si="20"/>
        <v>0</v>
      </c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0" customHeight="1">
      <c r="A87" s="141" t="s">
        <v>43</v>
      </c>
      <c r="B87" s="132"/>
      <c r="C87" s="133"/>
      <c r="D87" s="134"/>
      <c r="E87" s="134"/>
      <c r="F87" s="134"/>
      <c r="G87" s="134"/>
      <c r="H87" s="134"/>
      <c r="I87" s="134"/>
      <c r="J87" s="134"/>
      <c r="K87" s="134"/>
      <c r="L87" s="135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72" t="s">
        <v>44</v>
      </c>
      <c r="B88" s="142" t="s">
        <v>68</v>
      </c>
      <c r="C88" s="118">
        <f t="shared" ref="C88:L88" si="21">+C43*C67</f>
        <v>880000</v>
      </c>
      <c r="D88" s="119">
        <f t="shared" si="21"/>
        <v>462000</v>
      </c>
      <c r="E88" s="119">
        <f t="shared" si="21"/>
        <v>0</v>
      </c>
      <c r="F88" s="119">
        <f t="shared" si="21"/>
        <v>0</v>
      </c>
      <c r="G88" s="119">
        <f t="shared" si="21"/>
        <v>0</v>
      </c>
      <c r="H88" s="119">
        <f t="shared" si="21"/>
        <v>0</v>
      </c>
      <c r="I88" s="119">
        <f t="shared" si="21"/>
        <v>294821.0409</v>
      </c>
      <c r="J88" s="119">
        <f t="shared" si="21"/>
        <v>309562.093</v>
      </c>
      <c r="K88" s="119">
        <f t="shared" si="21"/>
        <v>325040.1976</v>
      </c>
      <c r="L88" s="120">
        <f t="shared" si="21"/>
        <v>341292.2075</v>
      </c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61" t="s">
        <v>46</v>
      </c>
      <c r="B89" s="137" t="s">
        <v>68</v>
      </c>
      <c r="C89" s="143">
        <f t="shared" ref="C89:L89" si="22">+C44*C68</f>
        <v>1007344</v>
      </c>
      <c r="D89" s="139">
        <f t="shared" si="22"/>
        <v>1057711.2</v>
      </c>
      <c r="E89" s="139">
        <f t="shared" si="22"/>
        <v>1130547.6</v>
      </c>
      <c r="F89" s="139">
        <f t="shared" si="22"/>
        <v>628451.46</v>
      </c>
      <c r="G89" s="139">
        <f t="shared" si="22"/>
        <v>659874.033</v>
      </c>
      <c r="H89" s="139">
        <f t="shared" si="22"/>
        <v>692867.7347</v>
      </c>
      <c r="I89" s="139">
        <f t="shared" si="22"/>
        <v>727511.1214</v>
      </c>
      <c r="J89" s="139">
        <f t="shared" si="22"/>
        <v>763886.6775</v>
      </c>
      <c r="K89" s="139">
        <f t="shared" si="22"/>
        <v>802081.0113</v>
      </c>
      <c r="L89" s="140">
        <f t="shared" si="22"/>
        <v>842185.0619</v>
      </c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63" t="s">
        <v>48</v>
      </c>
      <c r="B90" s="137" t="s">
        <v>68</v>
      </c>
      <c r="C90" s="143">
        <f t="shared" ref="C90:L90" si="23">+C45*C69</f>
        <v>5000</v>
      </c>
      <c r="D90" s="139">
        <f t="shared" si="23"/>
        <v>5250</v>
      </c>
      <c r="E90" s="139">
        <f t="shared" si="23"/>
        <v>5512.5</v>
      </c>
      <c r="F90" s="139">
        <f t="shared" si="23"/>
        <v>5788.125</v>
      </c>
      <c r="G90" s="139">
        <f t="shared" si="23"/>
        <v>6077.53125</v>
      </c>
      <c r="H90" s="139">
        <f t="shared" si="23"/>
        <v>6381.407813</v>
      </c>
      <c r="I90" s="139">
        <f t="shared" si="23"/>
        <v>6700.478203</v>
      </c>
      <c r="J90" s="139">
        <f t="shared" si="23"/>
        <v>7035.502113</v>
      </c>
      <c r="K90" s="139">
        <f t="shared" si="23"/>
        <v>7387.277219</v>
      </c>
      <c r="L90" s="140">
        <f t="shared" si="23"/>
        <v>7756.64108</v>
      </c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61" t="s">
        <v>49</v>
      </c>
      <c r="B91" s="137" t="s">
        <v>68</v>
      </c>
      <c r="C91" s="143">
        <f t="shared" ref="C91:L91" si="24">+C46*C70</f>
        <v>82600</v>
      </c>
      <c r="D91" s="139">
        <f t="shared" si="24"/>
        <v>0</v>
      </c>
      <c r="E91" s="139">
        <f t="shared" si="24"/>
        <v>0</v>
      </c>
      <c r="F91" s="139">
        <f t="shared" si="24"/>
        <v>0</v>
      </c>
      <c r="G91" s="139">
        <f t="shared" si="24"/>
        <v>0</v>
      </c>
      <c r="H91" s="139">
        <f t="shared" si="24"/>
        <v>0</v>
      </c>
      <c r="I91" s="139">
        <f t="shared" si="24"/>
        <v>0</v>
      </c>
      <c r="J91" s="139">
        <f t="shared" si="24"/>
        <v>0</v>
      </c>
      <c r="K91" s="139">
        <f t="shared" si="24"/>
        <v>0</v>
      </c>
      <c r="L91" s="140">
        <f t="shared" si="24"/>
        <v>0</v>
      </c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61" t="s">
        <v>50</v>
      </c>
      <c r="B92" s="137" t="s">
        <v>68</v>
      </c>
      <c r="C92" s="143">
        <f t="shared" ref="C92:L92" si="25">+C47*C71</f>
        <v>23600</v>
      </c>
      <c r="D92" s="139">
        <f t="shared" si="25"/>
        <v>37170</v>
      </c>
      <c r="E92" s="139">
        <f t="shared" si="25"/>
        <v>52038</v>
      </c>
      <c r="F92" s="139">
        <f t="shared" si="25"/>
        <v>54639.9</v>
      </c>
      <c r="G92" s="139">
        <f t="shared" si="25"/>
        <v>57371.895</v>
      </c>
      <c r="H92" s="139">
        <f t="shared" si="25"/>
        <v>60240.48975</v>
      </c>
      <c r="I92" s="139">
        <f t="shared" si="25"/>
        <v>63252.51424</v>
      </c>
      <c r="J92" s="139">
        <f t="shared" si="25"/>
        <v>66415.13995</v>
      </c>
      <c r="K92" s="139">
        <f t="shared" si="25"/>
        <v>69735.89695</v>
      </c>
      <c r="L92" s="140">
        <f t="shared" si="25"/>
        <v>73222.69179</v>
      </c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61" t="s">
        <v>51</v>
      </c>
      <c r="B93" s="137" t="s">
        <v>68</v>
      </c>
      <c r="C93" s="143">
        <f t="shared" ref="C93:L93" si="26">+C48*C72</f>
        <v>5600</v>
      </c>
      <c r="D93" s="139">
        <f t="shared" si="26"/>
        <v>5880</v>
      </c>
      <c r="E93" s="139">
        <f t="shared" si="26"/>
        <v>0</v>
      </c>
      <c r="F93" s="139">
        <f t="shared" si="26"/>
        <v>0</v>
      </c>
      <c r="G93" s="139">
        <f t="shared" si="26"/>
        <v>0</v>
      </c>
      <c r="H93" s="139">
        <f t="shared" si="26"/>
        <v>0</v>
      </c>
      <c r="I93" s="139">
        <f t="shared" si="26"/>
        <v>0</v>
      </c>
      <c r="J93" s="139">
        <f t="shared" si="26"/>
        <v>0</v>
      </c>
      <c r="K93" s="139">
        <f t="shared" si="26"/>
        <v>0</v>
      </c>
      <c r="L93" s="140">
        <f t="shared" si="26"/>
        <v>0</v>
      </c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61" t="s">
        <v>52</v>
      </c>
      <c r="B94" s="137" t="s">
        <v>68</v>
      </c>
      <c r="C94" s="143">
        <f t="shared" ref="C94:L94" si="27">+C49*C73</f>
        <v>10000</v>
      </c>
      <c r="D94" s="139">
        <f t="shared" si="27"/>
        <v>10500</v>
      </c>
      <c r="E94" s="139">
        <f t="shared" si="27"/>
        <v>11025</v>
      </c>
      <c r="F94" s="139">
        <f t="shared" si="27"/>
        <v>16206.75</v>
      </c>
      <c r="G94" s="139">
        <f t="shared" si="27"/>
        <v>17017.0875</v>
      </c>
      <c r="H94" s="139">
        <f t="shared" si="27"/>
        <v>17867.94188</v>
      </c>
      <c r="I94" s="139">
        <f t="shared" si="27"/>
        <v>26801.91281</v>
      </c>
      <c r="J94" s="139">
        <f t="shared" si="27"/>
        <v>28142.00845</v>
      </c>
      <c r="K94" s="139">
        <f t="shared" si="27"/>
        <v>29549.10888</v>
      </c>
      <c r="L94" s="140">
        <f t="shared" si="27"/>
        <v>31026.56432</v>
      </c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61" t="s">
        <v>54</v>
      </c>
      <c r="B95" s="137" t="s">
        <v>68</v>
      </c>
      <c r="C95" s="143">
        <f t="shared" ref="C95:L95" si="28">+C50*C74</f>
        <v>25000</v>
      </c>
      <c r="D95" s="139">
        <f t="shared" si="28"/>
        <v>26250</v>
      </c>
      <c r="E95" s="139">
        <f t="shared" si="28"/>
        <v>27562.5</v>
      </c>
      <c r="F95" s="139">
        <f t="shared" si="28"/>
        <v>40516.875</v>
      </c>
      <c r="G95" s="139">
        <f t="shared" si="28"/>
        <v>42542.71875</v>
      </c>
      <c r="H95" s="139">
        <f t="shared" si="28"/>
        <v>44669.85469</v>
      </c>
      <c r="I95" s="139">
        <f t="shared" si="28"/>
        <v>67004.78203</v>
      </c>
      <c r="J95" s="139">
        <f t="shared" si="28"/>
        <v>70355.02113</v>
      </c>
      <c r="K95" s="139">
        <f t="shared" si="28"/>
        <v>73872.77219</v>
      </c>
      <c r="L95" s="140">
        <f t="shared" si="28"/>
        <v>77566.4108</v>
      </c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0" customHeight="1">
      <c r="A96" s="64" t="s">
        <v>55</v>
      </c>
      <c r="B96" s="127" t="s">
        <v>68</v>
      </c>
      <c r="C96" s="128">
        <f t="shared" ref="C96:L96" si="29">+C51*C75</f>
        <v>6000</v>
      </c>
      <c r="D96" s="129">
        <f t="shared" si="29"/>
        <v>6300</v>
      </c>
      <c r="E96" s="129">
        <f t="shared" si="29"/>
        <v>6615</v>
      </c>
      <c r="F96" s="129">
        <f t="shared" si="29"/>
        <v>11576.25</v>
      </c>
      <c r="G96" s="129">
        <f t="shared" si="29"/>
        <v>17017.0875</v>
      </c>
      <c r="H96" s="129">
        <f t="shared" si="29"/>
        <v>17867.94188</v>
      </c>
      <c r="I96" s="129">
        <f t="shared" si="29"/>
        <v>18761.33897</v>
      </c>
      <c r="J96" s="129">
        <f t="shared" si="29"/>
        <v>25327.80761</v>
      </c>
      <c r="K96" s="129">
        <f t="shared" si="29"/>
        <v>26594.19799</v>
      </c>
      <c r="L96" s="130">
        <f t="shared" si="29"/>
        <v>27923.90789</v>
      </c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144" t="s">
        <v>71</v>
      </c>
      <c r="B97" s="145" t="s">
        <v>68</v>
      </c>
      <c r="C97" s="146">
        <f t="shared" ref="C97:L97" si="30">SUM(C79:C96)</f>
        <v>3952510.667</v>
      </c>
      <c r="D97" s="147">
        <f t="shared" si="30"/>
        <v>3843557.867</v>
      </c>
      <c r="E97" s="147">
        <f t="shared" si="30"/>
        <v>3630738.14</v>
      </c>
      <c r="F97" s="147">
        <f t="shared" si="30"/>
        <v>3388225.82</v>
      </c>
      <c r="G97" s="147">
        <f t="shared" si="30"/>
        <v>3263403.233</v>
      </c>
      <c r="H97" s="147">
        <f t="shared" si="30"/>
        <v>3640789.012</v>
      </c>
      <c r="I97" s="147">
        <f t="shared" si="30"/>
        <v>4143614.515</v>
      </c>
      <c r="J97" s="147">
        <f t="shared" si="30"/>
        <v>4354159.565</v>
      </c>
      <c r="K97" s="147">
        <f t="shared" si="30"/>
        <v>4569512.902</v>
      </c>
      <c r="L97" s="148">
        <f t="shared" si="30"/>
        <v>4795539.721</v>
      </c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0" customHeight="1">
      <c r="A98" s="2"/>
      <c r="B98" s="3"/>
      <c r="C98" s="110"/>
      <c r="D98" s="110"/>
      <c r="E98" s="110"/>
      <c r="F98" s="110"/>
      <c r="G98" s="110"/>
      <c r="H98" s="110"/>
      <c r="I98" s="110"/>
      <c r="J98" s="110"/>
      <c r="K98" s="110"/>
      <c r="L98" s="110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144" t="s">
        <v>72</v>
      </c>
      <c r="B99" s="132"/>
      <c r="C99" s="149"/>
      <c r="D99" s="150"/>
      <c r="E99" s="150"/>
      <c r="F99" s="150"/>
      <c r="G99" s="150"/>
      <c r="H99" s="150"/>
      <c r="I99" s="150"/>
      <c r="J99" s="150"/>
      <c r="K99" s="150"/>
      <c r="L99" s="151"/>
    </row>
    <row r="100" ht="14.25" customHeight="1">
      <c r="A100" s="152" t="s">
        <v>73</v>
      </c>
      <c r="B100" s="117" t="s">
        <v>74</v>
      </c>
      <c r="C100" s="153">
        <f>+C99*0.6</f>
        <v>0</v>
      </c>
      <c r="D100" s="154">
        <v>600.0</v>
      </c>
      <c r="E100" s="154">
        <v>1200.0</v>
      </c>
      <c r="F100" s="154">
        <v>2000.0</v>
      </c>
      <c r="G100" s="154">
        <v>2000.0</v>
      </c>
      <c r="H100" s="154">
        <v>2000.0</v>
      </c>
      <c r="I100" s="154">
        <v>2000.0</v>
      </c>
      <c r="J100" s="154">
        <v>2000.0</v>
      </c>
      <c r="K100" s="154">
        <v>2000.0</v>
      </c>
      <c r="L100" s="154">
        <v>2000.0</v>
      </c>
    </row>
    <row r="101" ht="14.25" customHeight="1">
      <c r="A101" s="136" t="s">
        <v>75</v>
      </c>
      <c r="B101" s="137" t="s">
        <v>74</v>
      </c>
      <c r="C101" s="155">
        <v>0.0</v>
      </c>
      <c r="D101" s="156">
        <f>1200*13</f>
        <v>15600</v>
      </c>
      <c r="E101" s="156">
        <f t="shared" ref="E101:F101" si="31">+D101*0.8</f>
        <v>12480</v>
      </c>
      <c r="F101" s="156">
        <f t="shared" si="31"/>
        <v>9984</v>
      </c>
      <c r="G101" s="157">
        <v>0.0</v>
      </c>
      <c r="H101" s="157">
        <f t="shared" ref="H101:L101" si="32">+G101*0.8</f>
        <v>0</v>
      </c>
      <c r="I101" s="157">
        <f t="shared" si="32"/>
        <v>0</v>
      </c>
      <c r="J101" s="157">
        <f t="shared" si="32"/>
        <v>0</v>
      </c>
      <c r="K101" s="157">
        <f t="shared" si="32"/>
        <v>0</v>
      </c>
      <c r="L101" s="158">
        <f t="shared" si="32"/>
        <v>0</v>
      </c>
    </row>
    <row r="102" ht="14.25" customHeight="1">
      <c r="A102" s="136" t="s">
        <v>76</v>
      </c>
      <c r="B102" s="137" t="s">
        <v>77</v>
      </c>
      <c r="C102" s="155">
        <v>0.0</v>
      </c>
      <c r="D102" s="156">
        <v>0.0</v>
      </c>
      <c r="E102" s="156">
        <v>0.0</v>
      </c>
      <c r="F102" s="156">
        <v>0.0</v>
      </c>
      <c r="G102" s="156">
        <v>0.0</v>
      </c>
      <c r="H102" s="156">
        <v>0.0</v>
      </c>
      <c r="I102" s="156">
        <v>0.0</v>
      </c>
      <c r="J102" s="156">
        <v>0.0</v>
      </c>
      <c r="K102" s="156">
        <v>0.0</v>
      </c>
      <c r="L102" s="159">
        <f>+K102*1.3</f>
        <v>0</v>
      </c>
    </row>
    <row r="103" ht="14.25" customHeight="1">
      <c r="A103" s="121"/>
      <c r="B103" s="137"/>
      <c r="C103" s="160"/>
      <c r="D103" s="161"/>
      <c r="E103" s="161"/>
      <c r="F103" s="161"/>
      <c r="G103" s="161"/>
      <c r="H103" s="161"/>
      <c r="I103" s="161"/>
      <c r="J103" s="161"/>
      <c r="K103" s="161"/>
      <c r="L103" s="16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136" t="s">
        <v>78</v>
      </c>
      <c r="B104" s="137" t="s">
        <v>79</v>
      </c>
      <c r="C104" s="123">
        <v>4800.0</v>
      </c>
      <c r="D104" s="163">
        <f t="shared" ref="D104:L104" si="33">+C104*1.05</f>
        <v>5040</v>
      </c>
      <c r="E104" s="163">
        <f t="shared" si="33"/>
        <v>5292</v>
      </c>
      <c r="F104" s="163">
        <f t="shared" si="33"/>
        <v>5556.6</v>
      </c>
      <c r="G104" s="163">
        <f t="shared" si="33"/>
        <v>5834.43</v>
      </c>
      <c r="H104" s="163">
        <f t="shared" si="33"/>
        <v>6126.1515</v>
      </c>
      <c r="I104" s="163">
        <f t="shared" si="33"/>
        <v>6432.459075</v>
      </c>
      <c r="J104" s="163">
        <f t="shared" si="33"/>
        <v>6754.082029</v>
      </c>
      <c r="K104" s="163">
        <f t="shared" si="33"/>
        <v>7091.78613</v>
      </c>
      <c r="L104" s="164">
        <f t="shared" si="33"/>
        <v>7446.375437</v>
      </c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136" t="s">
        <v>80</v>
      </c>
      <c r="B105" s="137" t="s">
        <v>79</v>
      </c>
      <c r="C105" s="123">
        <v>800.0</v>
      </c>
      <c r="D105" s="163">
        <f t="shared" ref="D105:L105" si="34">+C105*1.05</f>
        <v>840</v>
      </c>
      <c r="E105" s="163">
        <f t="shared" si="34"/>
        <v>882</v>
      </c>
      <c r="F105" s="163">
        <f t="shared" si="34"/>
        <v>926.1</v>
      </c>
      <c r="G105" s="163">
        <f t="shared" si="34"/>
        <v>972.405</v>
      </c>
      <c r="H105" s="163">
        <f t="shared" si="34"/>
        <v>1021.02525</v>
      </c>
      <c r="I105" s="163">
        <f t="shared" si="34"/>
        <v>1072.076513</v>
      </c>
      <c r="J105" s="163">
        <f t="shared" si="34"/>
        <v>1125.680338</v>
      </c>
      <c r="K105" s="163">
        <f t="shared" si="34"/>
        <v>1181.964355</v>
      </c>
      <c r="L105" s="164">
        <f t="shared" si="34"/>
        <v>1241.062573</v>
      </c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0" customHeight="1">
      <c r="A106" s="165" t="s">
        <v>81</v>
      </c>
      <c r="B106" s="166" t="s">
        <v>82</v>
      </c>
      <c r="C106" s="128">
        <v>50000.0</v>
      </c>
      <c r="D106" s="129">
        <f t="shared" ref="D106:L106" si="35">+C106*1.05</f>
        <v>52500</v>
      </c>
      <c r="E106" s="129">
        <f t="shared" si="35"/>
        <v>55125</v>
      </c>
      <c r="F106" s="129">
        <f t="shared" si="35"/>
        <v>57881.25</v>
      </c>
      <c r="G106" s="129">
        <f t="shared" si="35"/>
        <v>60775.3125</v>
      </c>
      <c r="H106" s="129">
        <f t="shared" si="35"/>
        <v>63814.07813</v>
      </c>
      <c r="I106" s="129">
        <f t="shared" si="35"/>
        <v>67004.78203</v>
      </c>
      <c r="J106" s="129">
        <f t="shared" si="35"/>
        <v>70355.02113</v>
      </c>
      <c r="K106" s="129">
        <f t="shared" si="35"/>
        <v>73872.77219</v>
      </c>
      <c r="L106" s="130">
        <f t="shared" si="35"/>
        <v>77566.4108</v>
      </c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0" customHeight="1">
      <c r="A107" s="167"/>
      <c r="B107" s="3"/>
      <c r="C107" s="110"/>
      <c r="D107" s="110"/>
      <c r="E107" s="110"/>
      <c r="F107" s="110"/>
      <c r="G107" s="110"/>
      <c r="H107" s="110"/>
      <c r="I107" s="110"/>
      <c r="J107" s="110"/>
      <c r="K107" s="110"/>
      <c r="L107" s="110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144" t="s">
        <v>83</v>
      </c>
      <c r="B108" s="132"/>
      <c r="C108" s="168"/>
      <c r="D108" s="169"/>
      <c r="E108" s="169"/>
      <c r="F108" s="169"/>
      <c r="G108" s="169"/>
      <c r="H108" s="169"/>
      <c r="I108" s="169"/>
      <c r="J108" s="169"/>
      <c r="K108" s="169"/>
      <c r="L108" s="170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171" t="s">
        <v>84</v>
      </c>
      <c r="B109" s="142" t="s">
        <v>85</v>
      </c>
      <c r="C109" s="172">
        <f t="shared" ref="C109:L109" si="36">+C100*C104</f>
        <v>0</v>
      </c>
      <c r="D109" s="173">
        <f t="shared" si="36"/>
        <v>3024000</v>
      </c>
      <c r="E109" s="173">
        <f t="shared" si="36"/>
        <v>6350400</v>
      </c>
      <c r="F109" s="173">
        <f t="shared" si="36"/>
        <v>11113200</v>
      </c>
      <c r="G109" s="173">
        <f t="shared" si="36"/>
        <v>11668860</v>
      </c>
      <c r="H109" s="173">
        <f t="shared" si="36"/>
        <v>12252303</v>
      </c>
      <c r="I109" s="173">
        <f t="shared" si="36"/>
        <v>12864918.15</v>
      </c>
      <c r="J109" s="173">
        <f t="shared" si="36"/>
        <v>13508164.06</v>
      </c>
      <c r="K109" s="173">
        <f t="shared" si="36"/>
        <v>14183572.26</v>
      </c>
      <c r="L109" s="174">
        <f t="shared" si="36"/>
        <v>14892750.87</v>
      </c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175" t="s">
        <v>86</v>
      </c>
      <c r="B110" s="137" t="s">
        <v>85</v>
      </c>
      <c r="C110" s="123">
        <f t="shared" ref="C110:L110" si="37">+C101*C105</f>
        <v>0</v>
      </c>
      <c r="D110" s="163">
        <f t="shared" si="37"/>
        <v>13104000</v>
      </c>
      <c r="E110" s="163">
        <f t="shared" si="37"/>
        <v>11007360</v>
      </c>
      <c r="F110" s="163">
        <f t="shared" si="37"/>
        <v>9246182.4</v>
      </c>
      <c r="G110" s="163">
        <f t="shared" si="37"/>
        <v>0</v>
      </c>
      <c r="H110" s="163">
        <f t="shared" si="37"/>
        <v>0</v>
      </c>
      <c r="I110" s="163">
        <f t="shared" si="37"/>
        <v>0</v>
      </c>
      <c r="J110" s="163">
        <f t="shared" si="37"/>
        <v>0</v>
      </c>
      <c r="K110" s="163">
        <f t="shared" si="37"/>
        <v>0</v>
      </c>
      <c r="L110" s="164">
        <f t="shared" si="37"/>
        <v>0</v>
      </c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0" customHeight="1">
      <c r="A111" s="176" t="s">
        <v>81</v>
      </c>
      <c r="B111" s="127" t="s">
        <v>85</v>
      </c>
      <c r="C111" s="128">
        <f t="shared" ref="C111:L111" si="38">+C102*C106</f>
        <v>0</v>
      </c>
      <c r="D111" s="129">
        <f t="shared" si="38"/>
        <v>0</v>
      </c>
      <c r="E111" s="129">
        <f t="shared" si="38"/>
        <v>0</v>
      </c>
      <c r="F111" s="129">
        <f t="shared" si="38"/>
        <v>0</v>
      </c>
      <c r="G111" s="129">
        <f t="shared" si="38"/>
        <v>0</v>
      </c>
      <c r="H111" s="129">
        <f t="shared" si="38"/>
        <v>0</v>
      </c>
      <c r="I111" s="129">
        <f t="shared" si="38"/>
        <v>0</v>
      </c>
      <c r="J111" s="129">
        <f t="shared" si="38"/>
        <v>0</v>
      </c>
      <c r="K111" s="129">
        <f t="shared" si="38"/>
        <v>0</v>
      </c>
      <c r="L111" s="130">
        <f t="shared" si="38"/>
        <v>0</v>
      </c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144" t="s">
        <v>87</v>
      </c>
      <c r="B112" s="132" t="s">
        <v>85</v>
      </c>
      <c r="C112" s="146">
        <f t="shared" ref="C112:L112" si="39">SUM(C109:C111)</f>
        <v>0</v>
      </c>
      <c r="D112" s="147">
        <f t="shared" si="39"/>
        <v>16128000</v>
      </c>
      <c r="E112" s="147">
        <f t="shared" si="39"/>
        <v>17357760</v>
      </c>
      <c r="F112" s="147">
        <f t="shared" si="39"/>
        <v>20359382.4</v>
      </c>
      <c r="G112" s="147">
        <f t="shared" si="39"/>
        <v>11668860</v>
      </c>
      <c r="H112" s="147">
        <f t="shared" si="39"/>
        <v>12252303</v>
      </c>
      <c r="I112" s="147">
        <f t="shared" si="39"/>
        <v>12864918.15</v>
      </c>
      <c r="J112" s="147">
        <f t="shared" si="39"/>
        <v>13508164.06</v>
      </c>
      <c r="K112" s="147">
        <f t="shared" si="39"/>
        <v>14183572.26</v>
      </c>
      <c r="L112" s="148">
        <f t="shared" si="39"/>
        <v>14892750.87</v>
      </c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/>
    <row r="114" ht="15.75" customHeight="1">
      <c r="A114" s="177" t="s">
        <v>88</v>
      </c>
      <c r="I114" s="6"/>
      <c r="J114" s="6"/>
      <c r="K114" s="6"/>
    </row>
    <row r="115" ht="15.0" customHeight="1">
      <c r="I115" s="6"/>
      <c r="J115" s="6"/>
      <c r="K115" s="6"/>
    </row>
    <row r="116" ht="15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</row>
    <row r="117" ht="16.5" customHeight="1">
      <c r="A117" s="6"/>
      <c r="B117" s="6"/>
      <c r="C117" s="178" t="s">
        <v>89</v>
      </c>
      <c r="D117" s="178" t="s">
        <v>90</v>
      </c>
      <c r="E117" s="178" t="s">
        <v>91</v>
      </c>
      <c r="F117" s="178" t="s">
        <v>92</v>
      </c>
      <c r="G117" s="178" t="s">
        <v>93</v>
      </c>
      <c r="H117" s="178" t="s">
        <v>94</v>
      </c>
      <c r="I117" s="178" t="s">
        <v>95</v>
      </c>
      <c r="J117" s="178" t="s">
        <v>96</v>
      </c>
      <c r="K117" s="178" t="s">
        <v>97</v>
      </c>
      <c r="L117" s="178" t="s">
        <v>98</v>
      </c>
    </row>
    <row r="118" ht="15.75" customHeight="1">
      <c r="A118" s="144" t="s">
        <v>99</v>
      </c>
      <c r="B118" s="132" t="s">
        <v>85</v>
      </c>
      <c r="C118" s="179">
        <f t="shared" ref="C118:L118" si="40">+C97*5</f>
        <v>19762553.33</v>
      </c>
      <c r="D118" s="179">
        <f t="shared" si="40"/>
        <v>19217789.33</v>
      </c>
      <c r="E118" s="179">
        <f t="shared" si="40"/>
        <v>18153690.7</v>
      </c>
      <c r="F118" s="179">
        <f t="shared" si="40"/>
        <v>16941129.1</v>
      </c>
      <c r="G118" s="179">
        <f t="shared" si="40"/>
        <v>16317016.17</v>
      </c>
      <c r="H118" s="179">
        <f t="shared" si="40"/>
        <v>18203945.06</v>
      </c>
      <c r="I118" s="179">
        <f t="shared" si="40"/>
        <v>20718072.57</v>
      </c>
      <c r="J118" s="179">
        <f t="shared" si="40"/>
        <v>21770797.82</v>
      </c>
      <c r="K118" s="179">
        <f t="shared" si="40"/>
        <v>22847564.51</v>
      </c>
      <c r="L118" s="179">
        <f t="shared" si="40"/>
        <v>23977698.61</v>
      </c>
    </row>
    <row r="119" ht="15.75" customHeight="1">
      <c r="A119" s="180"/>
      <c r="B119" s="3"/>
      <c r="C119" s="181"/>
      <c r="D119" s="181"/>
      <c r="E119" s="181"/>
      <c r="F119" s="181"/>
      <c r="G119" s="181"/>
      <c r="H119" s="181"/>
      <c r="I119" s="181"/>
      <c r="J119" s="181"/>
      <c r="K119" s="181"/>
      <c r="L119" s="181"/>
    </row>
    <row r="120" ht="15.75" customHeight="1">
      <c r="A120" s="182" t="s">
        <v>100</v>
      </c>
      <c r="B120" s="183"/>
      <c r="C120" s="181"/>
      <c r="D120" s="181"/>
      <c r="E120" s="181"/>
      <c r="F120" s="181">
        <f>(11520/12)/4</f>
        <v>240</v>
      </c>
      <c r="G120" s="181"/>
      <c r="H120" s="181"/>
      <c r="I120" s="181"/>
      <c r="J120" s="181"/>
      <c r="K120" s="181"/>
      <c r="L120" s="181"/>
    </row>
    <row r="121" ht="14.25" customHeight="1">
      <c r="A121" s="184" t="s">
        <v>73</v>
      </c>
      <c r="B121" s="117" t="s">
        <v>74</v>
      </c>
      <c r="C121" s="185">
        <f t="shared" ref="C121:C123" si="42">+C100*1.5</f>
        <v>0</v>
      </c>
      <c r="D121" s="186">
        <f t="shared" ref="D121:L121" si="41">+D100*5</f>
        <v>3000</v>
      </c>
      <c r="E121" s="186">
        <f t="shared" si="41"/>
        <v>6000</v>
      </c>
      <c r="F121" s="186">
        <f t="shared" si="41"/>
        <v>10000</v>
      </c>
      <c r="G121" s="186">
        <f t="shared" si="41"/>
        <v>10000</v>
      </c>
      <c r="H121" s="117">
        <f t="shared" si="41"/>
        <v>10000</v>
      </c>
      <c r="I121" s="117">
        <f t="shared" si="41"/>
        <v>10000</v>
      </c>
      <c r="J121" s="117">
        <f t="shared" si="41"/>
        <v>10000</v>
      </c>
      <c r="K121" s="117">
        <f t="shared" si="41"/>
        <v>10000</v>
      </c>
      <c r="L121" s="117">
        <f t="shared" si="41"/>
        <v>10000</v>
      </c>
    </row>
    <row r="122" ht="14.25" customHeight="1">
      <c r="A122" s="187" t="s">
        <v>101</v>
      </c>
      <c r="B122" s="137" t="s">
        <v>74</v>
      </c>
      <c r="C122" s="188">
        <f t="shared" si="42"/>
        <v>0</v>
      </c>
      <c r="D122" s="189">
        <f t="shared" ref="D122:L122" si="43">+D101*5</f>
        <v>78000</v>
      </c>
      <c r="E122" s="189">
        <f t="shared" si="43"/>
        <v>62400</v>
      </c>
      <c r="F122" s="189">
        <f t="shared" si="43"/>
        <v>49920</v>
      </c>
      <c r="G122" s="189">
        <f t="shared" si="43"/>
        <v>0</v>
      </c>
      <c r="H122" s="137">
        <f t="shared" si="43"/>
        <v>0</v>
      </c>
      <c r="I122" s="137">
        <f t="shared" si="43"/>
        <v>0</v>
      </c>
      <c r="J122" s="137">
        <f t="shared" si="43"/>
        <v>0</v>
      </c>
      <c r="K122" s="137">
        <f t="shared" si="43"/>
        <v>0</v>
      </c>
      <c r="L122" s="137">
        <f t="shared" si="43"/>
        <v>0</v>
      </c>
    </row>
    <row r="123" ht="15.0" customHeight="1">
      <c r="A123" s="190" t="s">
        <v>76</v>
      </c>
      <c r="B123" s="166" t="s">
        <v>77</v>
      </c>
      <c r="C123" s="191">
        <f t="shared" si="42"/>
        <v>0</v>
      </c>
      <c r="D123" s="166">
        <f t="shared" ref="D123:L123" si="44">+D102*2</f>
        <v>0</v>
      </c>
      <c r="E123" s="166">
        <f t="shared" si="44"/>
        <v>0</v>
      </c>
      <c r="F123" s="166">
        <f t="shared" si="44"/>
        <v>0</v>
      </c>
      <c r="G123" s="166">
        <f t="shared" si="44"/>
        <v>0</v>
      </c>
      <c r="H123" s="166">
        <f t="shared" si="44"/>
        <v>0</v>
      </c>
      <c r="I123" s="166">
        <f t="shared" si="44"/>
        <v>0</v>
      </c>
      <c r="J123" s="166">
        <f t="shared" si="44"/>
        <v>0</v>
      </c>
      <c r="K123" s="166">
        <f t="shared" si="44"/>
        <v>0</v>
      </c>
      <c r="L123" s="166">
        <f t="shared" si="44"/>
        <v>0</v>
      </c>
    </row>
    <row r="124" ht="15.0" customHeight="1">
      <c r="A124" s="2"/>
      <c r="B124" s="192"/>
      <c r="C124" s="181"/>
      <c r="D124" s="181"/>
      <c r="E124" s="181"/>
      <c r="F124" s="181"/>
      <c r="G124" s="181"/>
      <c r="H124" s="181"/>
      <c r="I124" s="181"/>
      <c r="J124" s="181"/>
      <c r="K124" s="181"/>
      <c r="L124" s="181"/>
    </row>
    <row r="125" ht="14.25" customHeight="1">
      <c r="A125" s="184" t="s">
        <v>78</v>
      </c>
      <c r="B125" s="117" t="s">
        <v>79</v>
      </c>
      <c r="C125" s="193">
        <f t="shared" ref="C125:C126" si="46">C104</f>
        <v>4800</v>
      </c>
      <c r="D125" s="194">
        <f t="shared" ref="D125:L125" si="45">+C125*1.05</f>
        <v>5040</v>
      </c>
      <c r="E125" s="195">
        <f t="shared" si="45"/>
        <v>5292</v>
      </c>
      <c r="F125" s="194">
        <f t="shared" si="45"/>
        <v>5556.6</v>
      </c>
      <c r="G125" s="195">
        <f t="shared" si="45"/>
        <v>5834.43</v>
      </c>
      <c r="H125" s="196">
        <f t="shared" si="45"/>
        <v>6126.1515</v>
      </c>
      <c r="I125" s="193">
        <f t="shared" si="45"/>
        <v>6432.459075</v>
      </c>
      <c r="J125" s="196">
        <f t="shared" si="45"/>
        <v>6754.082029</v>
      </c>
      <c r="K125" s="193">
        <f t="shared" si="45"/>
        <v>7091.78613</v>
      </c>
      <c r="L125" s="197">
        <f t="shared" si="45"/>
        <v>7446.375437</v>
      </c>
    </row>
    <row r="126" ht="14.25" customHeight="1">
      <c r="A126" s="187" t="s">
        <v>80</v>
      </c>
      <c r="B126" s="137" t="s">
        <v>79</v>
      </c>
      <c r="C126" s="198">
        <f t="shared" si="46"/>
        <v>800</v>
      </c>
      <c r="D126" s="199">
        <f t="shared" ref="D126:L126" si="47">+C126*1.05</f>
        <v>840</v>
      </c>
      <c r="E126" s="200">
        <f t="shared" si="47"/>
        <v>882</v>
      </c>
      <c r="F126" s="199">
        <f t="shared" si="47"/>
        <v>926.1</v>
      </c>
      <c r="G126" s="200">
        <f t="shared" si="47"/>
        <v>972.405</v>
      </c>
      <c r="H126" s="201">
        <f t="shared" si="47"/>
        <v>1021.02525</v>
      </c>
      <c r="I126" s="198">
        <f t="shared" si="47"/>
        <v>1072.076513</v>
      </c>
      <c r="J126" s="201">
        <f t="shared" si="47"/>
        <v>1125.680338</v>
      </c>
      <c r="K126" s="198">
        <f t="shared" si="47"/>
        <v>1181.964355</v>
      </c>
      <c r="L126" s="202">
        <f t="shared" si="47"/>
        <v>1241.062573</v>
      </c>
    </row>
    <row r="127" ht="15.0" customHeight="1">
      <c r="A127" s="190" t="s">
        <v>81</v>
      </c>
      <c r="B127" s="166" t="s">
        <v>82</v>
      </c>
      <c r="C127" s="203">
        <v>50000.0</v>
      </c>
      <c r="D127" s="204">
        <f t="shared" ref="D127:L127" si="48">+C127*1.05</f>
        <v>52500</v>
      </c>
      <c r="E127" s="203">
        <f t="shared" si="48"/>
        <v>55125</v>
      </c>
      <c r="F127" s="204">
        <f t="shared" si="48"/>
        <v>57881.25</v>
      </c>
      <c r="G127" s="203">
        <f t="shared" si="48"/>
        <v>60775.3125</v>
      </c>
      <c r="H127" s="204">
        <f t="shared" si="48"/>
        <v>63814.07813</v>
      </c>
      <c r="I127" s="203">
        <f t="shared" si="48"/>
        <v>67004.78203</v>
      </c>
      <c r="J127" s="204">
        <f t="shared" si="48"/>
        <v>70355.02113</v>
      </c>
      <c r="K127" s="203">
        <f t="shared" si="48"/>
        <v>73872.77219</v>
      </c>
      <c r="L127" s="205">
        <f t="shared" si="48"/>
        <v>77566.4108</v>
      </c>
    </row>
    <row r="128" ht="14.25" customHeight="1">
      <c r="A128" s="167"/>
      <c r="B128" s="3"/>
      <c r="C128" s="181"/>
      <c r="D128" s="181"/>
      <c r="E128" s="181"/>
      <c r="F128" s="181"/>
      <c r="G128" s="181"/>
      <c r="H128" s="181"/>
      <c r="I128" s="181"/>
      <c r="J128" s="181"/>
      <c r="K128" s="181"/>
      <c r="L128" s="181"/>
    </row>
    <row r="129" ht="15.75" customHeight="1">
      <c r="A129" s="206" t="s">
        <v>102</v>
      </c>
      <c r="B129" s="3"/>
      <c r="C129" s="181"/>
      <c r="D129" s="181"/>
      <c r="E129" s="181"/>
      <c r="F129" s="181"/>
      <c r="G129" s="181"/>
      <c r="H129" s="181"/>
      <c r="I129" s="181"/>
      <c r="J129" s="181"/>
      <c r="K129" s="181"/>
      <c r="L129" s="181"/>
    </row>
    <row r="130" ht="14.25" customHeight="1">
      <c r="A130" s="152" t="s">
        <v>84</v>
      </c>
      <c r="B130" s="207" t="s">
        <v>85</v>
      </c>
      <c r="C130" s="208">
        <f t="shared" ref="C130:L130" si="49">+C121*C125</f>
        <v>0</v>
      </c>
      <c r="D130" s="209">
        <f t="shared" si="49"/>
        <v>15120000</v>
      </c>
      <c r="E130" s="210">
        <f t="shared" si="49"/>
        <v>31752000</v>
      </c>
      <c r="F130" s="209">
        <f t="shared" si="49"/>
        <v>55566000</v>
      </c>
      <c r="G130" s="210">
        <f t="shared" si="49"/>
        <v>58344300</v>
      </c>
      <c r="H130" s="209">
        <f t="shared" si="49"/>
        <v>61261515</v>
      </c>
      <c r="I130" s="210">
        <f t="shared" si="49"/>
        <v>64324590.75</v>
      </c>
      <c r="J130" s="209">
        <f t="shared" si="49"/>
        <v>67540820.29</v>
      </c>
      <c r="K130" s="210">
        <f t="shared" si="49"/>
        <v>70917861.3</v>
      </c>
      <c r="L130" s="209">
        <f t="shared" si="49"/>
        <v>74463754.37</v>
      </c>
    </row>
    <row r="131" ht="14.25" customHeight="1">
      <c r="A131" s="136" t="s">
        <v>86</v>
      </c>
      <c r="B131" s="211" t="s">
        <v>85</v>
      </c>
      <c r="C131" s="212">
        <f t="shared" ref="C131:L131" si="50">+C122*C126</f>
        <v>0</v>
      </c>
      <c r="D131" s="213">
        <f t="shared" si="50"/>
        <v>65520000</v>
      </c>
      <c r="E131" s="214">
        <f t="shared" si="50"/>
        <v>55036800</v>
      </c>
      <c r="F131" s="213">
        <f t="shared" si="50"/>
        <v>46230912</v>
      </c>
      <c r="G131" s="214">
        <f t="shared" si="50"/>
        <v>0</v>
      </c>
      <c r="H131" s="213">
        <f t="shared" si="50"/>
        <v>0</v>
      </c>
      <c r="I131" s="214">
        <f t="shared" si="50"/>
        <v>0</v>
      </c>
      <c r="J131" s="213">
        <f t="shared" si="50"/>
        <v>0</v>
      </c>
      <c r="K131" s="214">
        <f t="shared" si="50"/>
        <v>0</v>
      </c>
      <c r="L131" s="213">
        <f t="shared" si="50"/>
        <v>0</v>
      </c>
    </row>
    <row r="132" ht="15.0" customHeight="1">
      <c r="A132" s="165" t="s">
        <v>81</v>
      </c>
      <c r="B132" s="215" t="s">
        <v>85</v>
      </c>
      <c r="C132" s="216">
        <f t="shared" ref="C132:L132" si="51">+C123*C127</f>
        <v>0</v>
      </c>
      <c r="D132" s="217">
        <f t="shared" si="51"/>
        <v>0</v>
      </c>
      <c r="E132" s="218">
        <f t="shared" si="51"/>
        <v>0</v>
      </c>
      <c r="F132" s="217">
        <f t="shared" si="51"/>
        <v>0</v>
      </c>
      <c r="G132" s="218">
        <f t="shared" si="51"/>
        <v>0</v>
      </c>
      <c r="H132" s="217">
        <f t="shared" si="51"/>
        <v>0</v>
      </c>
      <c r="I132" s="218">
        <f t="shared" si="51"/>
        <v>0</v>
      </c>
      <c r="J132" s="217">
        <f t="shared" si="51"/>
        <v>0</v>
      </c>
      <c r="K132" s="218">
        <f t="shared" si="51"/>
        <v>0</v>
      </c>
      <c r="L132" s="217">
        <f t="shared" si="51"/>
        <v>0</v>
      </c>
    </row>
    <row r="133" ht="15.75" customHeight="1">
      <c r="A133" s="180"/>
      <c r="C133" s="181"/>
      <c r="D133" s="181"/>
      <c r="E133" s="181"/>
      <c r="F133" s="181"/>
      <c r="G133" s="181"/>
      <c r="H133" s="181"/>
      <c r="I133" s="181"/>
      <c r="J133" s="181"/>
      <c r="K133" s="181"/>
      <c r="L133" s="181"/>
    </row>
    <row r="134" ht="15.75" customHeight="1">
      <c r="A134" s="182" t="s">
        <v>103</v>
      </c>
      <c r="B134" s="132" t="s">
        <v>85</v>
      </c>
      <c r="C134" s="219">
        <f t="shared" ref="C134:L134" si="52">SUM(C130:C133)</f>
        <v>0</v>
      </c>
      <c r="D134" s="220">
        <f t="shared" si="52"/>
        <v>80640000</v>
      </c>
      <c r="E134" s="220">
        <f t="shared" si="52"/>
        <v>86788800</v>
      </c>
      <c r="F134" s="220">
        <f t="shared" si="52"/>
        <v>101796912</v>
      </c>
      <c r="G134" s="220">
        <f t="shared" si="52"/>
        <v>58344300</v>
      </c>
      <c r="H134" s="220">
        <f t="shared" si="52"/>
        <v>61261515</v>
      </c>
      <c r="I134" s="220">
        <f t="shared" si="52"/>
        <v>64324590.75</v>
      </c>
      <c r="J134" s="220">
        <f t="shared" si="52"/>
        <v>67540820.29</v>
      </c>
      <c r="K134" s="220">
        <f t="shared" si="52"/>
        <v>70917861.3</v>
      </c>
      <c r="L134" s="220">
        <f t="shared" si="52"/>
        <v>74463754.37</v>
      </c>
    </row>
    <row r="135" ht="15.0" customHeight="1">
      <c r="A135" s="180"/>
      <c r="B135" s="6"/>
      <c r="C135" s="181"/>
      <c r="D135" s="181"/>
      <c r="E135" s="181"/>
      <c r="F135" s="181"/>
      <c r="G135" s="181"/>
      <c r="H135" s="181"/>
      <c r="I135" s="181"/>
      <c r="J135" s="181"/>
      <c r="K135" s="181"/>
      <c r="L135" s="181"/>
    </row>
    <row r="136" ht="15.0" customHeight="1">
      <c r="A136" s="6" t="s">
        <v>104</v>
      </c>
      <c r="B136" s="6"/>
      <c r="C136" s="6"/>
      <c r="D136" s="6"/>
      <c r="E136" s="6"/>
      <c r="F136" s="6"/>
      <c r="G136" s="6"/>
      <c r="H136" s="6"/>
      <c r="I136" s="6"/>
      <c r="J136" s="6"/>
      <c r="K136" s="6"/>
    </row>
    <row r="137" ht="15.0" customHeight="1">
      <c r="A137" s="6" t="s">
        <v>105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</row>
    <row r="138" ht="15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</row>
    <row r="139" ht="15.0" customHeight="1">
      <c r="A139" s="6" t="s">
        <v>106</v>
      </c>
      <c r="B139" s="6"/>
      <c r="C139" s="6"/>
      <c r="D139" s="6"/>
      <c r="E139" s="6"/>
      <c r="F139" s="6"/>
      <c r="G139" s="6"/>
      <c r="H139" s="6"/>
      <c r="I139" s="6"/>
      <c r="J139" s="6"/>
      <c r="K139" s="6"/>
    </row>
    <row r="140" ht="15.75" customHeight="1">
      <c r="A140" s="6"/>
      <c r="B140" s="6"/>
      <c r="C140" s="178" t="s">
        <v>107</v>
      </c>
      <c r="H140" s="6"/>
      <c r="I140" s="6"/>
      <c r="J140" s="6"/>
      <c r="K140" s="6"/>
    </row>
    <row r="141" ht="17.25" customHeight="1">
      <c r="D141" s="178" t="s">
        <v>90</v>
      </c>
      <c r="E141" s="178" t="s">
        <v>91</v>
      </c>
      <c r="F141" s="178" t="s">
        <v>92</v>
      </c>
      <c r="G141" s="178" t="s">
        <v>93</v>
      </c>
      <c r="H141" s="221"/>
    </row>
    <row r="142" ht="12.75" customHeight="1">
      <c r="C142" s="222" t="s">
        <v>108</v>
      </c>
      <c r="D142" s="223">
        <f t="shared" ref="D142:G142" si="53">+D109/D$112</f>
        <v>0.1875</v>
      </c>
      <c r="E142" s="223">
        <f t="shared" si="53"/>
        <v>0.3658536585</v>
      </c>
      <c r="F142" s="224">
        <f t="shared" si="53"/>
        <v>0.5458515284</v>
      </c>
      <c r="G142" s="223">
        <f t="shared" si="53"/>
        <v>1</v>
      </c>
      <c r="H142" s="221"/>
    </row>
    <row r="143" ht="13.5" customHeight="1">
      <c r="C143" s="225" t="s">
        <v>109</v>
      </c>
      <c r="D143" s="226">
        <f t="shared" ref="D143:G143" si="54">+D110/D$112</f>
        <v>0.8125</v>
      </c>
      <c r="E143" s="226">
        <f t="shared" si="54"/>
        <v>0.6341463415</v>
      </c>
      <c r="F143" s="227">
        <f t="shared" si="54"/>
        <v>0.4541484716</v>
      </c>
      <c r="G143" s="226">
        <f t="shared" si="54"/>
        <v>0</v>
      </c>
    </row>
    <row r="144" ht="12.75" customHeight="1">
      <c r="C144" s="167"/>
    </row>
    <row r="145" ht="15.75" customHeight="1">
      <c r="A145" s="228" t="s">
        <v>110</v>
      </c>
      <c r="B145" s="228"/>
      <c r="C145" s="228"/>
      <c r="D145" s="228"/>
      <c r="E145" s="228"/>
      <c r="F145" s="228"/>
      <c r="G145" s="228"/>
      <c r="H145" s="228"/>
      <c r="I145" s="228"/>
      <c r="J145" s="228"/>
      <c r="K145" s="228"/>
      <c r="L145" s="228"/>
      <c r="M145" s="228"/>
      <c r="N145" s="228"/>
      <c r="O145" s="228"/>
      <c r="P145" s="228"/>
      <c r="Q145" s="228"/>
      <c r="R145" s="228"/>
      <c r="S145" s="228"/>
      <c r="T145" s="228"/>
      <c r="U145" s="228"/>
      <c r="V145" s="228"/>
      <c r="W145" s="228"/>
      <c r="X145" s="228"/>
      <c r="Y145" s="228"/>
      <c r="Z145" s="228"/>
    </row>
    <row r="146" ht="15.75" customHeight="1">
      <c r="C146" s="178" t="s">
        <v>111</v>
      </c>
    </row>
    <row r="147" ht="16.5" customHeight="1">
      <c r="D147" s="178" t="s">
        <v>112</v>
      </c>
      <c r="E147" s="178" t="s">
        <v>91</v>
      </c>
      <c r="F147" s="178" t="s">
        <v>92</v>
      </c>
      <c r="G147" s="178" t="s">
        <v>93</v>
      </c>
    </row>
    <row r="148" ht="15.0" customHeight="1">
      <c r="C148" s="229" t="s">
        <v>113</v>
      </c>
      <c r="D148" s="230">
        <f>+(C97+D97)*5</f>
        <v>38980342.67</v>
      </c>
      <c r="E148" s="231">
        <f t="shared" ref="E148:G148" si="55">+E118</f>
        <v>18153690.7</v>
      </c>
      <c r="F148" s="230">
        <f t="shared" si="55"/>
        <v>16941129.1</v>
      </c>
      <c r="G148" s="231">
        <f t="shared" si="55"/>
        <v>16317016.17</v>
      </c>
    </row>
    <row r="149" ht="12.75" customHeight="1"/>
    <row r="150" ht="12.75" customHeight="1">
      <c r="A150" s="232" t="s">
        <v>114</v>
      </c>
      <c r="D150" s="232">
        <f>D151/24</f>
        <v>835388.1944</v>
      </c>
    </row>
    <row r="151" ht="15.75" customHeight="1">
      <c r="B151" s="233" t="s">
        <v>115</v>
      </c>
      <c r="D151" s="234">
        <f>+(SUM(C79:C80)+SUM(D79:D80))*5</f>
        <v>20049316.67</v>
      </c>
      <c r="E151" s="234">
        <f t="shared" ref="E151:G151" si="56">+(E79+E80)*5</f>
        <v>11987187.7</v>
      </c>
      <c r="F151" s="234">
        <f t="shared" si="56"/>
        <v>13155232.3</v>
      </c>
      <c r="G151" s="234">
        <f t="shared" si="56"/>
        <v>11527435.34</v>
      </c>
    </row>
    <row r="152" ht="13.5" customHeight="1">
      <c r="B152" s="235" t="s">
        <v>116</v>
      </c>
      <c r="D152" s="236">
        <f t="shared" ref="D152:G152" si="57">+D151*D142</f>
        <v>3759246.875</v>
      </c>
      <c r="E152" s="236">
        <f t="shared" si="57"/>
        <v>4385556.476</v>
      </c>
      <c r="F152" s="236">
        <f t="shared" si="57"/>
        <v>7180803.658</v>
      </c>
      <c r="G152" s="236">
        <f t="shared" si="57"/>
        <v>11527435.34</v>
      </c>
      <c r="H152" s="236">
        <f>D152/24</f>
        <v>156635.2865</v>
      </c>
    </row>
    <row r="153" ht="13.5" customHeight="1">
      <c r="B153" s="237" t="s">
        <v>117</v>
      </c>
      <c r="C153" s="86"/>
      <c r="D153" s="238">
        <f t="shared" ref="D153:G153" si="58">+D152/D121</f>
        <v>1253.082292</v>
      </c>
      <c r="E153" s="239">
        <f t="shared" si="58"/>
        <v>730.9260793</v>
      </c>
      <c r="F153" s="238">
        <f t="shared" si="58"/>
        <v>718.0803658</v>
      </c>
      <c r="G153" s="240">
        <f t="shared" si="58"/>
        <v>1152.743534</v>
      </c>
    </row>
    <row r="154" ht="13.5" customHeight="1">
      <c r="B154" s="235" t="s">
        <v>118</v>
      </c>
      <c r="D154" s="236">
        <f t="shared" ref="D154:G154" si="59">+D151*D143</f>
        <v>16290069.79</v>
      </c>
      <c r="E154" s="236">
        <f t="shared" si="59"/>
        <v>7601631.224</v>
      </c>
      <c r="F154" s="236">
        <f t="shared" si="59"/>
        <v>5974428.644</v>
      </c>
      <c r="G154" s="236">
        <f t="shared" si="59"/>
        <v>0</v>
      </c>
      <c r="H154" s="236">
        <f>D154/24</f>
        <v>678752.908</v>
      </c>
    </row>
    <row r="155" ht="13.5" customHeight="1">
      <c r="B155" s="237" t="s">
        <v>119</v>
      </c>
      <c r="C155" s="86"/>
      <c r="D155" s="238">
        <f t="shared" ref="D155:F155" si="60">+D154/D122</f>
        <v>208.8470486</v>
      </c>
      <c r="E155" s="239">
        <f t="shared" si="60"/>
        <v>121.8210132</v>
      </c>
      <c r="F155" s="238">
        <f t="shared" si="60"/>
        <v>119.680061</v>
      </c>
      <c r="G155" s="240">
        <v>0.0</v>
      </c>
    </row>
    <row r="156" ht="12.75" customHeight="1"/>
    <row r="157" ht="15.75" customHeight="1">
      <c r="B157" s="233" t="s">
        <v>120</v>
      </c>
      <c r="D157" s="234">
        <f>+(SUM(C81:C96)+SUM(D81:D96))*5</f>
        <v>18931026</v>
      </c>
      <c r="E157" s="234">
        <f t="shared" ref="E157:G157" si="61">+(SUM(E81:E96))*5</f>
        <v>6166503</v>
      </c>
      <c r="F157" s="234">
        <f t="shared" si="61"/>
        <v>3785896.8</v>
      </c>
      <c r="G157" s="234">
        <f t="shared" si="61"/>
        <v>4789580.828</v>
      </c>
    </row>
    <row r="158" ht="13.5" customHeight="1">
      <c r="B158" s="235" t="s">
        <v>121</v>
      </c>
      <c r="D158" s="236">
        <f t="shared" ref="D158:G158" si="62">+D157*D142</f>
        <v>3549567.375</v>
      </c>
      <c r="E158" s="236">
        <f t="shared" si="62"/>
        <v>2256037.683</v>
      </c>
      <c r="F158" s="236">
        <f t="shared" si="62"/>
        <v>2066537.555</v>
      </c>
      <c r="G158" s="236">
        <f t="shared" si="62"/>
        <v>4789580.828</v>
      </c>
      <c r="I158" s="236"/>
    </row>
    <row r="159" ht="13.5" customHeight="1">
      <c r="B159" s="237" t="s">
        <v>122</v>
      </c>
      <c r="C159" s="86"/>
      <c r="D159" s="238">
        <f t="shared" ref="D159:G159" si="63">+D158/D121</f>
        <v>1183.189125</v>
      </c>
      <c r="E159" s="239">
        <f t="shared" si="63"/>
        <v>376.0062805</v>
      </c>
      <c r="F159" s="238">
        <f t="shared" si="63"/>
        <v>206.6537555</v>
      </c>
      <c r="G159" s="240">
        <f t="shared" si="63"/>
        <v>478.9580828</v>
      </c>
    </row>
    <row r="160" ht="13.5" customHeight="1">
      <c r="B160" s="235" t="s">
        <v>123</v>
      </c>
      <c r="D160" s="236">
        <f t="shared" ref="D160:G160" si="64">+D157*D143</f>
        <v>15381458.63</v>
      </c>
      <c r="E160" s="236">
        <f t="shared" si="64"/>
        <v>3910465.317</v>
      </c>
      <c r="F160" s="236">
        <f t="shared" si="64"/>
        <v>1719359.245</v>
      </c>
      <c r="G160" s="236">
        <f t="shared" si="64"/>
        <v>0</v>
      </c>
    </row>
    <row r="161" ht="13.5" customHeight="1">
      <c r="B161" s="237" t="s">
        <v>124</v>
      </c>
      <c r="C161" s="86"/>
      <c r="D161" s="238">
        <f t="shared" ref="D161:F161" si="65">+D160/D122</f>
        <v>197.1981875</v>
      </c>
      <c r="E161" s="239">
        <f t="shared" si="65"/>
        <v>62.66771341</v>
      </c>
      <c r="F161" s="238">
        <f t="shared" si="65"/>
        <v>34.44229258</v>
      </c>
      <c r="G161" s="240">
        <v>0.0</v>
      </c>
    </row>
    <row r="162" ht="12.75" customHeight="1"/>
    <row r="163" ht="15.75" customHeight="1">
      <c r="C163" s="178" t="s">
        <v>125</v>
      </c>
    </row>
    <row r="164" ht="16.5" customHeight="1">
      <c r="D164" s="178" t="s">
        <v>90</v>
      </c>
      <c r="E164" s="178" t="s">
        <v>91</v>
      </c>
      <c r="F164" s="178" t="s">
        <v>92</v>
      </c>
      <c r="G164" s="178" t="s">
        <v>93</v>
      </c>
    </row>
    <row r="165" ht="12.75" customHeight="1">
      <c r="C165" s="241" t="s">
        <v>108</v>
      </c>
      <c r="D165" s="242">
        <f t="shared" ref="D165:G165" si="66">+D142*D148</f>
        <v>7308814.25</v>
      </c>
      <c r="E165" s="243">
        <f t="shared" si="66"/>
        <v>6641594.159</v>
      </c>
      <c r="F165" s="242">
        <f t="shared" si="66"/>
        <v>9247341.213</v>
      </c>
      <c r="G165" s="244">
        <f t="shared" si="66"/>
        <v>16317016.17</v>
      </c>
    </row>
    <row r="166" ht="13.5" customHeight="1">
      <c r="C166" s="245" t="s">
        <v>126</v>
      </c>
      <c r="D166" s="246">
        <f t="shared" ref="D166:G166" si="67">+D143*D148</f>
        <v>31671528.42</v>
      </c>
      <c r="E166" s="247">
        <f t="shared" si="67"/>
        <v>11512096.54</v>
      </c>
      <c r="F166" s="246">
        <f t="shared" si="67"/>
        <v>7693787.889</v>
      </c>
      <c r="G166" s="248">
        <f t="shared" si="67"/>
        <v>0</v>
      </c>
    </row>
    <row r="167" ht="12.75" customHeight="1">
      <c r="C167" s="167"/>
      <c r="D167" s="249"/>
      <c r="E167" s="249"/>
      <c r="F167" s="249"/>
      <c r="G167" s="249"/>
    </row>
    <row r="168" ht="15.75" customHeight="1">
      <c r="C168" s="178" t="s">
        <v>127</v>
      </c>
    </row>
    <row r="169" ht="16.5" customHeight="1">
      <c r="C169" s="167"/>
      <c r="D169" s="178" t="s">
        <v>90</v>
      </c>
      <c r="E169" s="178" t="s">
        <v>91</v>
      </c>
      <c r="F169" s="178" t="s">
        <v>92</v>
      </c>
      <c r="G169" s="178" t="s">
        <v>93</v>
      </c>
    </row>
    <row r="170" ht="12.75" customHeight="1">
      <c r="C170" s="241" t="s">
        <v>128</v>
      </c>
      <c r="D170" s="242">
        <f t="shared" ref="D170:G170" si="68">+D165/D121</f>
        <v>2436.271417</v>
      </c>
      <c r="E170" s="242">
        <f t="shared" si="68"/>
        <v>1106.93236</v>
      </c>
      <c r="F170" s="242">
        <f t="shared" si="68"/>
        <v>924.7341213</v>
      </c>
      <c r="G170" s="242">
        <f t="shared" si="68"/>
        <v>1631.701617</v>
      </c>
      <c r="I170" s="250"/>
      <c r="J170" s="250"/>
      <c r="K170" s="250"/>
      <c r="L170" s="250"/>
    </row>
    <row r="171" ht="13.5" customHeight="1">
      <c r="C171" s="245" t="s">
        <v>129</v>
      </c>
      <c r="D171" s="246">
        <f t="shared" ref="D171:F171" si="69">+D166/D122</f>
        <v>406.0452361</v>
      </c>
      <c r="E171" s="246">
        <f t="shared" si="69"/>
        <v>184.4887266</v>
      </c>
      <c r="F171" s="246">
        <f t="shared" si="69"/>
        <v>154.1223536</v>
      </c>
      <c r="G171" s="246">
        <v>0.0</v>
      </c>
      <c r="I171" s="250"/>
      <c r="J171" s="250"/>
      <c r="K171" s="250"/>
      <c r="L171" s="250"/>
    </row>
    <row r="172" ht="12.75" customHeight="1">
      <c r="C172" s="167"/>
      <c r="D172" s="249"/>
      <c r="E172" s="249"/>
      <c r="F172" s="249"/>
      <c r="G172" s="249"/>
    </row>
    <row r="173" ht="15.0" customHeight="1">
      <c r="A173" s="6"/>
      <c r="I173" s="250"/>
      <c r="J173" s="250"/>
      <c r="K173" s="250"/>
      <c r="L173" s="250"/>
    </row>
    <row r="174" ht="12.75" customHeight="1">
      <c r="I174" s="250"/>
      <c r="J174" s="250"/>
      <c r="K174" s="250"/>
      <c r="L174" s="250"/>
    </row>
    <row r="175" ht="12.75" customHeight="1">
      <c r="B175" s="251" t="s">
        <v>60</v>
      </c>
    </row>
    <row r="176" ht="12.75" customHeight="1">
      <c r="B176" s="252" t="s">
        <v>130</v>
      </c>
    </row>
    <row r="177" ht="12.75" customHeight="1">
      <c r="C177" s="253" t="s">
        <v>131</v>
      </c>
      <c r="D177" s="253" t="s">
        <v>132</v>
      </c>
      <c r="E177" s="253" t="s">
        <v>133</v>
      </c>
      <c r="F177" s="253" t="s">
        <v>134</v>
      </c>
      <c r="G177" s="253" t="s">
        <v>135</v>
      </c>
      <c r="I177" s="253" t="s">
        <v>136</v>
      </c>
    </row>
    <row r="178" ht="12.75" customHeight="1">
      <c r="B178" s="232" t="s">
        <v>137</v>
      </c>
      <c r="C178" s="254">
        <v>2.0</v>
      </c>
      <c r="D178" s="254">
        <v>4.0</v>
      </c>
      <c r="E178" s="254">
        <f t="shared" ref="E178:E181" si="70">+C178*D178</f>
        <v>8</v>
      </c>
      <c r="F178" s="255">
        <v>17000.0</v>
      </c>
      <c r="G178" s="255">
        <f t="shared" ref="G178:G181" si="71">+E178*F178</f>
        <v>136000</v>
      </c>
      <c r="H178" s="232">
        <f t="shared" ref="H178:H181" si="72">F178*1</f>
        <v>17000</v>
      </c>
      <c r="I178" s="256">
        <f t="shared" ref="I178:I181" si="73">F178*C178</f>
        <v>34000</v>
      </c>
    </row>
    <row r="179" ht="12.75" customHeight="1">
      <c r="B179" s="232" t="s">
        <v>138</v>
      </c>
      <c r="C179" s="254">
        <v>3.0</v>
      </c>
      <c r="D179" s="254">
        <v>4.0</v>
      </c>
      <c r="E179" s="254">
        <f t="shared" si="70"/>
        <v>12</v>
      </c>
      <c r="F179" s="255">
        <v>80000.0</v>
      </c>
      <c r="G179" s="255">
        <f t="shared" si="71"/>
        <v>960000</v>
      </c>
      <c r="H179" s="232">
        <f t="shared" si="72"/>
        <v>80000</v>
      </c>
      <c r="I179" s="256">
        <f t="shared" si="73"/>
        <v>240000</v>
      </c>
    </row>
    <row r="180" ht="12.75" customHeight="1">
      <c r="B180" s="232" t="s">
        <v>139</v>
      </c>
      <c r="C180" s="254">
        <v>1.0</v>
      </c>
      <c r="D180" s="254">
        <v>4.0</v>
      </c>
      <c r="E180" s="254">
        <f t="shared" si="70"/>
        <v>4</v>
      </c>
      <c r="F180" s="255">
        <v>20000.0</v>
      </c>
      <c r="G180" s="255">
        <f t="shared" si="71"/>
        <v>80000</v>
      </c>
      <c r="H180" s="232">
        <f t="shared" si="72"/>
        <v>20000</v>
      </c>
      <c r="I180" s="256">
        <f t="shared" si="73"/>
        <v>20000</v>
      </c>
    </row>
    <row r="181" ht="12.75" customHeight="1">
      <c r="B181" s="232" t="s">
        <v>140</v>
      </c>
      <c r="C181" s="254">
        <v>12.0</v>
      </c>
      <c r="D181" s="254">
        <v>4.0</v>
      </c>
      <c r="E181" s="254">
        <f t="shared" si="70"/>
        <v>48</v>
      </c>
      <c r="F181" s="255">
        <v>6000.0</v>
      </c>
      <c r="G181" s="255">
        <f t="shared" si="71"/>
        <v>288000</v>
      </c>
      <c r="H181" s="232">
        <f t="shared" si="72"/>
        <v>6000</v>
      </c>
      <c r="I181" s="256">
        <f t="shared" si="73"/>
        <v>72000</v>
      </c>
    </row>
    <row r="182" ht="12.75" customHeight="1">
      <c r="F182" s="253" t="s">
        <v>141</v>
      </c>
      <c r="G182" s="256">
        <f t="shared" ref="G182:I182" si="74">SUM(G178:G181)</f>
        <v>1464000</v>
      </c>
      <c r="H182" s="257">
        <f t="shared" si="74"/>
        <v>123000</v>
      </c>
      <c r="I182" s="256">
        <f t="shared" si="74"/>
        <v>366000</v>
      </c>
    </row>
    <row r="183" ht="12.75" customHeight="1">
      <c r="F183" s="253" t="s">
        <v>142</v>
      </c>
      <c r="G183" s="255">
        <f>+G182/12</f>
        <v>122000</v>
      </c>
    </row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A1:L1"/>
    <mergeCell ref="A3:L3"/>
    <mergeCell ref="A4:C4"/>
    <mergeCell ref="A5:C5"/>
    <mergeCell ref="A6:B6"/>
    <mergeCell ref="C8:L8"/>
    <mergeCell ref="A55:L55"/>
    <mergeCell ref="C56:L56"/>
    <mergeCell ref="A114:H115"/>
    <mergeCell ref="C140:G140"/>
    <mergeCell ref="C146:G146"/>
    <mergeCell ref="B151:C151"/>
    <mergeCell ref="B152:C152"/>
    <mergeCell ref="B153:C153"/>
    <mergeCell ref="C163:G163"/>
    <mergeCell ref="C168:G168"/>
    <mergeCell ref="B154:C154"/>
    <mergeCell ref="B155:C155"/>
    <mergeCell ref="B157:C157"/>
    <mergeCell ref="B158:C158"/>
    <mergeCell ref="B159:C159"/>
    <mergeCell ref="B160:C160"/>
    <mergeCell ref="B161:C161"/>
  </mergeCell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0"/>
    <col customWidth="1" min="2" max="11" width="10.0"/>
  </cols>
  <sheetData>
    <row r="1" ht="12.75" customHeight="1"/>
    <row r="2" ht="12.75" customHeight="1">
      <c r="A2" s="251" t="s">
        <v>143</v>
      </c>
    </row>
    <row r="3" ht="13.5" customHeight="1"/>
    <row r="4" ht="13.5" customHeight="1">
      <c r="A4" s="258"/>
      <c r="B4" s="259" t="s">
        <v>144</v>
      </c>
      <c r="C4" s="260" t="s">
        <v>145</v>
      </c>
      <c r="D4" s="253" t="s">
        <v>146</v>
      </c>
    </row>
    <row r="5" ht="12.75" customHeight="1">
      <c r="A5" s="261" t="s">
        <v>147</v>
      </c>
      <c r="B5" s="262">
        <v>20000.0</v>
      </c>
      <c r="C5" s="263">
        <f t="shared" ref="C5:C7" si="1">+B5*12</f>
        <v>240000</v>
      </c>
      <c r="D5" s="264">
        <f t="shared" ref="D5:D7" si="2">+C5*1.05</f>
        <v>252000</v>
      </c>
    </row>
    <row r="6" ht="13.5" customHeight="1">
      <c r="A6" s="265" t="s">
        <v>148</v>
      </c>
      <c r="B6" s="266">
        <v>100000.0</v>
      </c>
      <c r="C6" s="267">
        <f t="shared" si="1"/>
        <v>1200000</v>
      </c>
      <c r="D6" s="264">
        <f t="shared" si="2"/>
        <v>1260000</v>
      </c>
    </row>
    <row r="7" ht="13.5" customHeight="1">
      <c r="A7" s="268" t="s">
        <v>149</v>
      </c>
      <c r="B7" s="269">
        <v>30000.0</v>
      </c>
      <c r="C7" s="270">
        <f t="shared" si="1"/>
        <v>360000</v>
      </c>
      <c r="D7" s="264">
        <f t="shared" si="2"/>
        <v>378000</v>
      </c>
      <c r="F7" s="271" t="s">
        <v>150</v>
      </c>
      <c r="G7" s="85"/>
      <c r="H7" s="85"/>
      <c r="I7" s="85"/>
      <c r="J7" s="86"/>
    </row>
    <row r="8" ht="13.5" customHeight="1">
      <c r="B8" s="264"/>
      <c r="C8" s="264"/>
      <c r="D8" s="264"/>
      <c r="F8" s="272" t="s">
        <v>89</v>
      </c>
      <c r="G8" s="272" t="s">
        <v>90</v>
      </c>
      <c r="H8" s="272" t="s">
        <v>91</v>
      </c>
      <c r="I8" s="272" t="s">
        <v>92</v>
      </c>
      <c r="J8" s="272" t="s">
        <v>93</v>
      </c>
      <c r="K8" s="83"/>
    </row>
    <row r="9" ht="13.5" customHeight="1">
      <c r="C9" s="273">
        <f t="shared" ref="C9:D9" si="3">SUM(C5:C8)</f>
        <v>1800000</v>
      </c>
      <c r="D9" s="273">
        <f t="shared" si="3"/>
        <v>1890000</v>
      </c>
      <c r="F9" s="274">
        <f>+C9-SUM('Capital de Trabajo'!B11:B12)</f>
        <v>1170000</v>
      </c>
      <c r="G9" s="274">
        <f>+D9</f>
        <v>1890000</v>
      </c>
      <c r="H9" s="274">
        <f>+D9*1.05</f>
        <v>1984500</v>
      </c>
      <c r="I9" s="274">
        <f t="shared" ref="I9:J9" si="4">+H9*1.05</f>
        <v>2083725</v>
      </c>
      <c r="J9" s="274">
        <f t="shared" si="4"/>
        <v>2187911.25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F7:J7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43"/>
    <col customWidth="1" min="2" max="2" width="22.57"/>
    <col customWidth="1" min="3" max="3" width="15.43"/>
    <col customWidth="1" min="4" max="4" width="11.71"/>
    <col customWidth="1" min="5" max="5" width="17.86"/>
    <col customWidth="1" min="6" max="6" width="10.0"/>
    <col customWidth="1" min="7" max="8" width="11.71"/>
    <col customWidth="1" min="9" max="10" width="10.0"/>
    <col customWidth="1" min="11" max="11" width="7.86"/>
  </cols>
  <sheetData>
    <row r="1" ht="12.75" customHeight="1"/>
    <row r="2" ht="13.5" customHeight="1">
      <c r="A2" s="251" t="s">
        <v>151</v>
      </c>
      <c r="B2" s="83"/>
      <c r="C2" s="83"/>
    </row>
    <row r="3" ht="13.5" customHeight="1">
      <c r="A3" s="258"/>
      <c r="B3" s="275" t="s">
        <v>152</v>
      </c>
      <c r="C3" s="276" t="s">
        <v>153</v>
      </c>
      <c r="D3" s="276" t="s">
        <v>142</v>
      </c>
      <c r="E3" s="260" t="s">
        <v>154</v>
      </c>
    </row>
    <row r="4" ht="13.5" customHeight="1">
      <c r="A4" s="277" t="s">
        <v>155</v>
      </c>
      <c r="B4" s="278">
        <v>589500.0</v>
      </c>
      <c r="C4" s="279">
        <f>B4*0.5731</f>
        <v>337842.45</v>
      </c>
      <c r="D4" s="280">
        <f t="shared" ref="D4:D6" si="1">+B4+C4</f>
        <v>927342.45</v>
      </c>
      <c r="E4" s="281">
        <f t="shared" ref="E4:E6" si="2">+D4*12</f>
        <v>11128109.4</v>
      </c>
    </row>
    <row r="5" ht="16.5" customHeight="1">
      <c r="A5" s="265" t="s">
        <v>156</v>
      </c>
      <c r="B5" s="266">
        <v>200000.0</v>
      </c>
      <c r="C5" s="282"/>
      <c r="D5" s="283">
        <f t="shared" si="1"/>
        <v>200000</v>
      </c>
      <c r="E5" s="267">
        <f t="shared" si="2"/>
        <v>2400000</v>
      </c>
      <c r="F5" s="284" t="s">
        <v>157</v>
      </c>
      <c r="G5" s="85"/>
      <c r="H5" s="85"/>
      <c r="I5" s="85"/>
      <c r="J5" s="86"/>
    </row>
    <row r="6" ht="16.5" customHeight="1">
      <c r="A6" s="268" t="s">
        <v>158</v>
      </c>
      <c r="B6" s="269">
        <v>300000.0</v>
      </c>
      <c r="C6" s="285"/>
      <c r="D6" s="286">
        <f t="shared" si="1"/>
        <v>300000</v>
      </c>
      <c r="E6" s="270">
        <f t="shared" si="2"/>
        <v>3600000</v>
      </c>
      <c r="F6" s="287" t="s">
        <v>89</v>
      </c>
      <c r="G6" s="288" t="s">
        <v>90</v>
      </c>
      <c r="H6" s="288" t="s">
        <v>91</v>
      </c>
      <c r="I6" s="288" t="s">
        <v>92</v>
      </c>
      <c r="J6" s="288" t="s">
        <v>93</v>
      </c>
    </row>
    <row r="7" ht="16.5" customHeight="1">
      <c r="A7" s="289"/>
      <c r="B7" s="290"/>
      <c r="C7" s="291"/>
      <c r="D7" s="292" t="s">
        <v>159</v>
      </c>
      <c r="E7" s="293">
        <f>SUM(E4:E6)</f>
        <v>17128109.4</v>
      </c>
      <c r="F7" s="294">
        <f>E7-SUM('Capital de Trabajo'!B7:B9)</f>
        <v>9273424.5</v>
      </c>
      <c r="G7" s="274">
        <f>+(E7*1.05)</f>
        <v>17984514.87</v>
      </c>
      <c r="H7" s="274">
        <f>+E7*1.05*1.05</f>
        <v>18883740.61</v>
      </c>
      <c r="I7" s="274">
        <f t="shared" ref="I7:J7" si="3">+H7*1.05</f>
        <v>19827927.64</v>
      </c>
      <c r="J7" s="274">
        <f t="shared" si="3"/>
        <v>20819324.03</v>
      </c>
    </row>
    <row r="8" ht="12.75" customHeight="1">
      <c r="A8" s="295" t="s">
        <v>160</v>
      </c>
    </row>
    <row r="9" ht="12.75" customHeight="1">
      <c r="C9" s="253" t="s">
        <v>89</v>
      </c>
      <c r="D9" s="253" t="s">
        <v>90</v>
      </c>
      <c r="E9" s="253" t="s">
        <v>91</v>
      </c>
      <c r="F9" s="253" t="s">
        <v>92</v>
      </c>
      <c r="G9" s="253" t="s">
        <v>93</v>
      </c>
    </row>
    <row r="10" ht="12.75" customHeight="1">
      <c r="A10" s="83" t="s">
        <v>161</v>
      </c>
      <c r="C10" s="264">
        <f>300000/3000</f>
        <v>100</v>
      </c>
      <c r="D10" s="264">
        <f t="shared" ref="D10:G10" si="4">+C10*1.05</f>
        <v>105</v>
      </c>
      <c r="E10" s="264">
        <f t="shared" si="4"/>
        <v>110.25</v>
      </c>
      <c r="F10" s="264">
        <f t="shared" si="4"/>
        <v>115.7625</v>
      </c>
      <c r="G10" s="264">
        <f t="shared" si="4"/>
        <v>121.550625</v>
      </c>
    </row>
    <row r="11" ht="12.75" customHeight="1">
      <c r="A11" s="83" t="s">
        <v>162</v>
      </c>
      <c r="C11" s="264">
        <f>150000/1500</f>
        <v>100</v>
      </c>
      <c r="D11" s="264">
        <f t="shared" ref="D11:G11" si="5">+C11*1.05</f>
        <v>105</v>
      </c>
      <c r="E11" s="264">
        <f t="shared" si="5"/>
        <v>110.25</v>
      </c>
      <c r="F11" s="264">
        <f t="shared" si="5"/>
        <v>115.7625</v>
      </c>
      <c r="G11" s="264">
        <f t="shared" si="5"/>
        <v>121.550625</v>
      </c>
    </row>
    <row r="12" ht="13.5" customHeight="1"/>
    <row r="13" ht="13.5" customHeight="1">
      <c r="A13" s="296" t="s">
        <v>163</v>
      </c>
    </row>
    <row r="14" ht="13.5" customHeight="1">
      <c r="A14" s="297" t="s">
        <v>164</v>
      </c>
      <c r="B14" s="259" t="s">
        <v>165</v>
      </c>
      <c r="C14" s="276" t="s">
        <v>166</v>
      </c>
      <c r="D14" s="276" t="s">
        <v>167</v>
      </c>
      <c r="E14" s="276" t="s">
        <v>166</v>
      </c>
      <c r="F14" s="276" t="s">
        <v>90</v>
      </c>
      <c r="G14" s="276" t="s">
        <v>91</v>
      </c>
      <c r="H14" s="276" t="s">
        <v>92</v>
      </c>
      <c r="I14" s="260" t="s">
        <v>93</v>
      </c>
    </row>
    <row r="15" ht="12.75" customHeight="1">
      <c r="A15" s="298" t="s">
        <v>108</v>
      </c>
      <c r="B15" s="299" t="s">
        <v>168</v>
      </c>
      <c r="C15" s="300">
        <v>2000.0</v>
      </c>
      <c r="D15" s="301">
        <v>50.0</v>
      </c>
      <c r="E15" s="300">
        <f t="shared" ref="E15:E16" si="7">+C15/D15</f>
        <v>40</v>
      </c>
      <c r="F15" s="302">
        <f t="shared" ref="F15:I15" si="6">+E15*1.05</f>
        <v>42</v>
      </c>
      <c r="G15" s="302">
        <f t="shared" si="6"/>
        <v>44.1</v>
      </c>
      <c r="H15" s="302">
        <f t="shared" si="6"/>
        <v>46.305</v>
      </c>
      <c r="I15" s="303">
        <f t="shared" si="6"/>
        <v>48.62025</v>
      </c>
    </row>
    <row r="16" ht="26.25" customHeight="1">
      <c r="A16" s="304" t="s">
        <v>169</v>
      </c>
      <c r="B16" s="305" t="s">
        <v>170</v>
      </c>
      <c r="C16" s="306">
        <v>200.0</v>
      </c>
      <c r="D16" s="307">
        <v>20.0</v>
      </c>
      <c r="E16" s="306">
        <f t="shared" si="7"/>
        <v>10</v>
      </c>
      <c r="F16" s="308">
        <f t="shared" ref="F16:I16" si="8">+E16*1.05</f>
        <v>10.5</v>
      </c>
      <c r="G16" s="308">
        <f t="shared" si="8"/>
        <v>11.025</v>
      </c>
      <c r="H16" s="308">
        <f t="shared" si="8"/>
        <v>11.57625</v>
      </c>
      <c r="I16" s="309">
        <f t="shared" si="8"/>
        <v>12.1550625</v>
      </c>
    </row>
    <row r="17" ht="12.75" customHeight="1">
      <c r="A17" s="310"/>
      <c r="B17" s="311"/>
      <c r="C17" s="264"/>
      <c r="D17" s="312"/>
      <c r="E17" s="264"/>
      <c r="F17" s="313"/>
      <c r="G17" s="313"/>
      <c r="H17" s="313"/>
      <c r="I17" s="313"/>
    </row>
    <row r="18" ht="15.0" customHeight="1">
      <c r="A18" s="314" t="s">
        <v>171</v>
      </c>
    </row>
    <row r="19" ht="15.75" customHeight="1">
      <c r="A19" s="314"/>
    </row>
    <row r="20" ht="15.75" customHeight="1">
      <c r="A20" s="315" t="s">
        <v>164</v>
      </c>
      <c r="B20" s="316" t="s">
        <v>172</v>
      </c>
      <c r="C20" s="297" t="s">
        <v>91</v>
      </c>
      <c r="D20" s="316" t="s">
        <v>92</v>
      </c>
      <c r="E20" s="297" t="s">
        <v>93</v>
      </c>
    </row>
    <row r="21" ht="12.75" customHeight="1">
      <c r="A21" s="317" t="s">
        <v>108</v>
      </c>
      <c r="B21" s="318">
        <f>+(D10+F15)*'Flujo de Caja'!D4</f>
        <v>441000</v>
      </c>
      <c r="C21" s="319">
        <f>+(E10+G15)*'Flujo de Caja'!E4</f>
        <v>926100</v>
      </c>
      <c r="D21" s="318">
        <f>+(F10+H15)*'Flujo de Caja'!F4</f>
        <v>1620675</v>
      </c>
      <c r="E21" s="319">
        <f>+(G10+I15)*'Flujo de Caja'!G4</f>
        <v>1701708.75</v>
      </c>
    </row>
    <row r="22" ht="13.5" customHeight="1">
      <c r="A22" s="320" t="s">
        <v>173</v>
      </c>
      <c r="B22" s="321">
        <f>+(D11+F16)*'Flujo de Caja'!D5</f>
        <v>9009000</v>
      </c>
      <c r="C22" s="322">
        <f>+(E11+G16)*'Flujo de Caja'!E5</f>
        <v>7567560</v>
      </c>
      <c r="D22" s="321">
        <f>+(F11+H16)*'Flujo de Caja'!F5</f>
        <v>6356750.4</v>
      </c>
      <c r="E22" s="322">
        <f>+(G11)*'Flujo de Caja'!G5</f>
        <v>0</v>
      </c>
    </row>
    <row r="23" ht="13.5" customHeight="1">
      <c r="B23" s="323">
        <f t="shared" ref="B23:E23" si="9">SUM(B21:B22)</f>
        <v>9450000</v>
      </c>
      <c r="C23" s="324">
        <f t="shared" si="9"/>
        <v>8493660</v>
      </c>
      <c r="D23" s="325">
        <f t="shared" si="9"/>
        <v>7977425.4</v>
      </c>
      <c r="E23" s="324">
        <f t="shared" si="9"/>
        <v>1701708.75</v>
      </c>
    </row>
    <row r="24" ht="16.5" customHeight="1">
      <c r="B24" s="326" t="s">
        <v>174</v>
      </c>
      <c r="C24" s="85"/>
      <c r="D24" s="85"/>
      <c r="E24" s="86"/>
    </row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F5:J5"/>
    <mergeCell ref="B24:E24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2.0"/>
    <col customWidth="1" min="2" max="2" width="17.71"/>
    <col customWidth="1" min="3" max="3" width="18.14"/>
    <col customWidth="1" min="4" max="4" width="14.86"/>
    <col customWidth="1" min="5" max="5" width="22.0"/>
    <col customWidth="1" min="6" max="6" width="10.0"/>
    <col customWidth="1" min="7" max="7" width="11.71"/>
    <col customWidth="1" min="8" max="8" width="10.0"/>
  </cols>
  <sheetData>
    <row r="1" ht="12.75" customHeight="1"/>
    <row r="2" ht="15.75" customHeight="1">
      <c r="A2" s="327" t="s">
        <v>175</v>
      </c>
      <c r="G2" s="228"/>
      <c r="H2" s="228"/>
    </row>
    <row r="3" ht="15.75" customHeight="1">
      <c r="A3" s="327"/>
      <c r="B3" s="327"/>
      <c r="C3" s="327"/>
      <c r="D3" s="327"/>
      <c r="E3" s="327"/>
      <c r="F3" s="327"/>
      <c r="G3" s="228"/>
      <c r="H3" s="228"/>
    </row>
    <row r="4" ht="13.5" customHeight="1">
      <c r="A4" s="328" t="s">
        <v>176</v>
      </c>
    </row>
    <row r="5" ht="16.5" customHeight="1">
      <c r="A5" s="329" t="s">
        <v>177</v>
      </c>
      <c r="B5" s="330" t="s">
        <v>178</v>
      </c>
      <c r="C5" s="330" t="s">
        <v>133</v>
      </c>
      <c r="D5" s="330" t="s">
        <v>179</v>
      </c>
    </row>
    <row r="6" ht="12.75" customHeight="1">
      <c r="A6" s="331" t="s">
        <v>180</v>
      </c>
      <c r="B6" s="319">
        <v>60000.0</v>
      </c>
      <c r="C6" s="332">
        <v>10.0</v>
      </c>
      <c r="D6" s="319">
        <f t="shared" ref="D6:D13" si="1">+B6*C6</f>
        <v>600000</v>
      </c>
    </row>
    <row r="7" ht="12.75" customHeight="1">
      <c r="A7" s="333" t="s">
        <v>181</v>
      </c>
      <c r="B7" s="334">
        <v>12000.0</v>
      </c>
      <c r="C7" s="335">
        <v>8.0</v>
      </c>
      <c r="D7" s="334">
        <f t="shared" si="1"/>
        <v>96000</v>
      </c>
    </row>
    <row r="8" ht="12.75" customHeight="1">
      <c r="A8" s="333" t="s">
        <v>182</v>
      </c>
      <c r="B8" s="334">
        <v>132200.0</v>
      </c>
      <c r="C8" s="335">
        <v>2.0</v>
      </c>
      <c r="D8" s="334">
        <f t="shared" si="1"/>
        <v>264400</v>
      </c>
    </row>
    <row r="9" ht="12.75" customHeight="1">
      <c r="A9" s="333" t="s">
        <v>183</v>
      </c>
      <c r="B9" s="334">
        <v>45000.0</v>
      </c>
      <c r="C9" s="335">
        <v>5.0</v>
      </c>
      <c r="D9" s="334">
        <f t="shared" si="1"/>
        <v>225000</v>
      </c>
    </row>
    <row r="10" ht="12.75" customHeight="1">
      <c r="A10" s="333" t="s">
        <v>184</v>
      </c>
      <c r="B10" s="334">
        <v>11000.0</v>
      </c>
      <c r="C10" s="335">
        <v>5.0</v>
      </c>
      <c r="D10" s="334">
        <f t="shared" si="1"/>
        <v>55000</v>
      </c>
    </row>
    <row r="11" ht="12.75" customHeight="1">
      <c r="A11" s="333" t="s">
        <v>185</v>
      </c>
      <c r="B11" s="334">
        <v>11000.0</v>
      </c>
      <c r="C11" s="335">
        <v>5.0</v>
      </c>
      <c r="D11" s="334">
        <f t="shared" si="1"/>
        <v>55000</v>
      </c>
    </row>
    <row r="12" ht="12.75" customHeight="1">
      <c r="A12" s="333" t="s">
        <v>186</v>
      </c>
      <c r="B12" s="334">
        <v>150000.0</v>
      </c>
      <c r="C12" s="335">
        <v>1.0</v>
      </c>
      <c r="D12" s="334">
        <f t="shared" si="1"/>
        <v>150000</v>
      </c>
    </row>
    <row r="13" ht="13.5" customHeight="1">
      <c r="A13" s="320" t="s">
        <v>187</v>
      </c>
      <c r="B13" s="322">
        <v>11500.0</v>
      </c>
      <c r="C13" s="336">
        <v>5.0</v>
      </c>
      <c r="D13" s="322">
        <f t="shared" si="1"/>
        <v>57500</v>
      </c>
    </row>
    <row r="14" ht="16.5" customHeight="1">
      <c r="A14" s="83"/>
      <c r="B14" s="264"/>
      <c r="C14" s="253" t="s">
        <v>188</v>
      </c>
      <c r="D14" s="337">
        <f>SUM(D6:D13)</f>
        <v>1502900</v>
      </c>
      <c r="E14" s="257">
        <f>D14/12</f>
        <v>125241.6667</v>
      </c>
    </row>
    <row r="15" ht="15.75" customHeight="1">
      <c r="A15" s="83"/>
      <c r="B15" s="264"/>
      <c r="C15" s="338"/>
      <c r="D15" s="339"/>
    </row>
    <row r="16" ht="16.5" customHeight="1">
      <c r="A16" s="328" t="s">
        <v>189</v>
      </c>
      <c r="B16" s="264"/>
      <c r="C16" s="338"/>
      <c r="D16" s="339"/>
    </row>
    <row r="17" ht="16.5" customHeight="1">
      <c r="A17" s="329" t="s">
        <v>177</v>
      </c>
      <c r="B17" s="330" t="s">
        <v>178</v>
      </c>
      <c r="C17" s="330" t="s">
        <v>133</v>
      </c>
      <c r="D17" s="330" t="s">
        <v>179</v>
      </c>
    </row>
    <row r="18" ht="13.5" customHeight="1">
      <c r="A18" s="258" t="s">
        <v>190</v>
      </c>
      <c r="B18" s="340">
        <v>1500000.0</v>
      </c>
      <c r="C18" s="341">
        <v>1.0</v>
      </c>
      <c r="D18" s="342">
        <f>+B18*C18</f>
        <v>1500000</v>
      </c>
    </row>
    <row r="19" ht="16.5" customHeight="1">
      <c r="A19" s="83"/>
      <c r="B19" s="264"/>
      <c r="C19" s="253" t="s">
        <v>188</v>
      </c>
      <c r="D19" s="337">
        <f>SUM(D18)</f>
        <v>1500000</v>
      </c>
      <c r="E19" s="252"/>
    </row>
    <row r="20" ht="16.5" customHeight="1">
      <c r="A20" s="83"/>
      <c r="B20" s="264"/>
      <c r="C20" s="83"/>
      <c r="D20" s="339"/>
    </row>
    <row r="21" ht="16.5" customHeight="1">
      <c r="A21" s="343" t="s">
        <v>191</v>
      </c>
      <c r="B21" s="86"/>
      <c r="C21" s="83"/>
      <c r="D21" s="339"/>
      <c r="G21" s="257"/>
    </row>
    <row r="22" ht="16.5" customHeight="1">
      <c r="A22" s="326" t="s">
        <v>177</v>
      </c>
      <c r="B22" s="344" t="s">
        <v>178</v>
      </c>
      <c r="C22" s="345" t="s">
        <v>133</v>
      </c>
      <c r="D22" s="344" t="s">
        <v>179</v>
      </c>
      <c r="E22" s="330" t="s">
        <v>192</v>
      </c>
    </row>
    <row r="23" ht="26.25" customHeight="1">
      <c r="A23" s="346" t="s">
        <v>193</v>
      </c>
      <c r="B23" s="319" t="s">
        <v>194</v>
      </c>
      <c r="C23" s="347">
        <v>1.0</v>
      </c>
      <c r="D23" s="348">
        <f>D52</f>
        <v>6089500</v>
      </c>
      <c r="E23" s="349" t="s">
        <v>195</v>
      </c>
      <c r="F23" s="257">
        <f>D23/3</f>
        <v>2029833.333</v>
      </c>
    </row>
    <row r="24" ht="27.0" customHeight="1">
      <c r="A24" s="350" t="s">
        <v>196</v>
      </c>
      <c r="B24" s="322" t="s">
        <v>194</v>
      </c>
      <c r="C24" s="351">
        <v>1.0</v>
      </c>
      <c r="D24" s="352">
        <f>D63</f>
        <v>4570000</v>
      </c>
      <c r="E24" s="304" t="s">
        <v>195</v>
      </c>
    </row>
    <row r="25" ht="16.5" customHeight="1">
      <c r="A25" s="83"/>
      <c r="B25" s="264"/>
      <c r="C25" s="253" t="s">
        <v>188</v>
      </c>
      <c r="D25" s="337">
        <f>SUM(D23:D24)</f>
        <v>10659500</v>
      </c>
      <c r="E25" s="310"/>
    </row>
    <row r="26" ht="16.5" customHeight="1">
      <c r="A26" s="83"/>
      <c r="B26" s="264"/>
      <c r="C26" s="254"/>
      <c r="D26" s="339"/>
      <c r="E26" s="310"/>
      <c r="F26" s="83"/>
    </row>
    <row r="27" ht="16.5" customHeight="1">
      <c r="A27" s="296" t="s">
        <v>197</v>
      </c>
      <c r="B27" s="264"/>
      <c r="C27" s="254"/>
      <c r="D27" s="339"/>
      <c r="E27" s="310"/>
      <c r="F27" s="83"/>
    </row>
    <row r="28" ht="16.5" customHeight="1">
      <c r="A28" s="326" t="s">
        <v>177</v>
      </c>
      <c r="B28" s="344" t="s">
        <v>178</v>
      </c>
      <c r="C28" s="345" t="s">
        <v>133</v>
      </c>
      <c r="D28" s="344" t="s">
        <v>179</v>
      </c>
      <c r="E28" s="330" t="s">
        <v>192</v>
      </c>
      <c r="F28" s="83"/>
    </row>
    <row r="29" ht="26.25" customHeight="1">
      <c r="A29" s="346" t="s">
        <v>198</v>
      </c>
      <c r="B29" s="319">
        <v>23000.0</v>
      </c>
      <c r="C29" s="347">
        <f>C81</f>
        <v>86</v>
      </c>
      <c r="D29" s="353">
        <f>B29*C29</f>
        <v>1978000</v>
      </c>
      <c r="E29" s="354" t="s">
        <v>195</v>
      </c>
      <c r="F29" s="355">
        <f>D29/3</f>
        <v>659333.3333</v>
      </c>
    </row>
    <row r="30" ht="27.0" customHeight="1">
      <c r="A30" s="350" t="s">
        <v>199</v>
      </c>
      <c r="B30" s="322" t="s">
        <v>194</v>
      </c>
      <c r="C30" s="351">
        <v>1.0</v>
      </c>
      <c r="D30" s="356">
        <f>E88</f>
        <v>3898000</v>
      </c>
      <c r="E30" s="357" t="s">
        <v>195</v>
      </c>
      <c r="F30" s="257"/>
    </row>
    <row r="31" ht="16.5" customHeight="1">
      <c r="A31" s="358"/>
      <c r="B31" s="359"/>
      <c r="C31" s="360" t="s">
        <v>188</v>
      </c>
      <c r="D31" s="337">
        <f>SUM(D29:D30)</f>
        <v>5876000</v>
      </c>
      <c r="E31" s="310"/>
    </row>
    <row r="32" ht="13.5" customHeight="1">
      <c r="A32" s="358"/>
      <c r="B32" s="359"/>
      <c r="E32" s="310"/>
    </row>
    <row r="33" ht="16.5" customHeight="1">
      <c r="A33" s="358"/>
      <c r="B33" s="361" t="s">
        <v>200</v>
      </c>
      <c r="C33" s="86"/>
      <c r="D33" s="362">
        <f>D14+D19+D25+D31</f>
        <v>19538400</v>
      </c>
      <c r="E33" s="310"/>
    </row>
    <row r="34" ht="15.75" customHeight="1">
      <c r="A34" s="358"/>
      <c r="B34" s="359"/>
      <c r="C34" s="363"/>
      <c r="D34" s="364"/>
      <c r="E34" s="310"/>
    </row>
    <row r="35" ht="12.75" customHeight="1">
      <c r="A35" s="83"/>
      <c r="B35" s="83"/>
      <c r="C35" s="83"/>
      <c r="E35" s="310"/>
      <c r="F35" s="83"/>
      <c r="G35" s="83"/>
    </row>
    <row r="36" ht="13.5" customHeight="1">
      <c r="A36" s="83"/>
      <c r="B36" s="264"/>
      <c r="F36" s="83"/>
      <c r="G36" s="83"/>
    </row>
    <row r="37" ht="16.5" customHeight="1">
      <c r="A37" s="365" t="s">
        <v>201</v>
      </c>
      <c r="B37" s="366" t="s">
        <v>202</v>
      </c>
      <c r="C37" s="367" t="s">
        <v>133</v>
      </c>
      <c r="D37" s="366" t="s">
        <v>179</v>
      </c>
      <c r="F37" s="83"/>
      <c r="G37" s="83"/>
    </row>
    <row r="38" ht="12.75" customHeight="1">
      <c r="A38" s="331" t="s">
        <v>203</v>
      </c>
      <c r="B38" s="368">
        <v>1000.0</v>
      </c>
      <c r="C38" s="332">
        <v>500.0</v>
      </c>
      <c r="D38" s="342">
        <f t="shared" ref="D38:D51" si="2">+B38*C38</f>
        <v>500000</v>
      </c>
      <c r="F38" s="83"/>
      <c r="G38" s="83"/>
    </row>
    <row r="39" ht="13.5" customHeight="1">
      <c r="A39" s="369" t="s">
        <v>204</v>
      </c>
      <c r="B39" s="370">
        <v>15000.0</v>
      </c>
      <c r="C39" s="371">
        <v>12.0</v>
      </c>
      <c r="D39" s="372">
        <f t="shared" si="2"/>
        <v>180000</v>
      </c>
    </row>
    <row r="40" ht="13.5" customHeight="1">
      <c r="A40" s="333" t="s">
        <v>205</v>
      </c>
      <c r="B40" s="373">
        <v>3000.0</v>
      </c>
      <c r="C40" s="335">
        <v>12.5</v>
      </c>
      <c r="D40" s="372">
        <f t="shared" si="2"/>
        <v>37500</v>
      </c>
    </row>
    <row r="41" ht="12.75" customHeight="1">
      <c r="A41" s="317" t="s">
        <v>206</v>
      </c>
      <c r="B41" s="374">
        <v>23000.0</v>
      </c>
      <c r="C41" s="375">
        <v>30.0</v>
      </c>
      <c r="D41" s="372">
        <f t="shared" si="2"/>
        <v>690000</v>
      </c>
    </row>
    <row r="42" ht="12.75" customHeight="1">
      <c r="A42" s="333" t="s">
        <v>207</v>
      </c>
      <c r="B42" s="374">
        <v>40000.0</v>
      </c>
      <c r="C42" s="335">
        <v>4.0</v>
      </c>
      <c r="D42" s="372">
        <f t="shared" si="2"/>
        <v>160000</v>
      </c>
    </row>
    <row r="43" ht="12.75" customHeight="1">
      <c r="A43" s="333" t="s">
        <v>208</v>
      </c>
      <c r="B43" s="374">
        <v>28000.0</v>
      </c>
      <c r="C43" s="335">
        <v>7.0</v>
      </c>
      <c r="D43" s="372">
        <f t="shared" si="2"/>
        <v>196000</v>
      </c>
    </row>
    <row r="44" ht="12.75" customHeight="1">
      <c r="A44" s="369" t="s">
        <v>209</v>
      </c>
      <c r="B44" s="374">
        <v>28000.0</v>
      </c>
      <c r="C44" s="371">
        <v>7.0</v>
      </c>
      <c r="D44" s="372">
        <f t="shared" si="2"/>
        <v>196000</v>
      </c>
    </row>
    <row r="45" ht="12.75" customHeight="1">
      <c r="A45" s="333" t="s">
        <v>210</v>
      </c>
      <c r="B45" s="374">
        <v>20000.0</v>
      </c>
      <c r="C45" s="335">
        <v>2.0</v>
      </c>
      <c r="D45" s="372">
        <f t="shared" si="2"/>
        <v>40000</v>
      </c>
    </row>
    <row r="46" ht="12.75" customHeight="1">
      <c r="A46" s="333" t="s">
        <v>211</v>
      </c>
      <c r="B46" s="374">
        <v>20000.0</v>
      </c>
      <c r="C46" s="335">
        <v>2.0</v>
      </c>
      <c r="D46" s="372">
        <f t="shared" si="2"/>
        <v>40000</v>
      </c>
    </row>
    <row r="47" ht="12.75" customHeight="1">
      <c r="A47" s="333" t="s">
        <v>212</v>
      </c>
      <c r="B47" s="374">
        <v>25000.0</v>
      </c>
      <c r="C47" s="335">
        <v>2.0</v>
      </c>
      <c r="D47" s="372">
        <f t="shared" si="2"/>
        <v>50000</v>
      </c>
    </row>
    <row r="48" ht="12.75" customHeight="1">
      <c r="A48" s="369" t="s">
        <v>213</v>
      </c>
      <c r="B48" s="370">
        <v>3000000.0</v>
      </c>
      <c r="C48" s="371">
        <v>1.0</v>
      </c>
      <c r="D48" s="334">
        <f t="shared" si="2"/>
        <v>3000000</v>
      </c>
    </row>
    <row r="49" ht="12.75" customHeight="1">
      <c r="A49" s="369" t="s">
        <v>214</v>
      </c>
      <c r="B49" s="376">
        <v>150000.0</v>
      </c>
      <c r="C49" s="371">
        <v>1.0</v>
      </c>
      <c r="D49" s="334">
        <f t="shared" si="2"/>
        <v>150000</v>
      </c>
    </row>
    <row r="50" ht="12.75" customHeight="1">
      <c r="A50" s="369" t="s">
        <v>215</v>
      </c>
      <c r="B50" s="376">
        <v>250000.0</v>
      </c>
      <c r="C50" s="371">
        <v>1.0</v>
      </c>
      <c r="D50" s="377">
        <f t="shared" si="2"/>
        <v>250000</v>
      </c>
    </row>
    <row r="51" ht="13.5" customHeight="1">
      <c r="A51" s="320" t="s">
        <v>216</v>
      </c>
      <c r="B51" s="321">
        <v>150000.0</v>
      </c>
      <c r="C51" s="336">
        <v>4.0</v>
      </c>
      <c r="D51" s="378">
        <f t="shared" si="2"/>
        <v>600000</v>
      </c>
    </row>
    <row r="52" ht="16.5" customHeight="1">
      <c r="D52" s="379">
        <f>SUM(D38:D51)</f>
        <v>6089500</v>
      </c>
    </row>
    <row r="53" ht="15.75" customHeight="1">
      <c r="A53" s="83"/>
      <c r="B53" s="264"/>
      <c r="C53" s="254"/>
      <c r="D53" s="339"/>
    </row>
    <row r="54" ht="13.5" customHeight="1">
      <c r="A54" s="83"/>
      <c r="B54" s="264"/>
      <c r="C54" s="254"/>
      <c r="D54" s="264"/>
    </row>
    <row r="55" ht="16.5" customHeight="1">
      <c r="A55" s="365" t="s">
        <v>217</v>
      </c>
      <c r="B55" s="380"/>
      <c r="C55" s="381"/>
      <c r="D55" s="380"/>
    </row>
    <row r="56" ht="12.75" customHeight="1">
      <c r="A56" s="382" t="s">
        <v>218</v>
      </c>
      <c r="B56" s="319"/>
      <c r="C56" s="383"/>
      <c r="D56" s="319"/>
    </row>
    <row r="57" ht="13.5" customHeight="1">
      <c r="A57" s="350" t="s">
        <v>219</v>
      </c>
      <c r="B57" s="322">
        <v>150000.0</v>
      </c>
      <c r="C57" s="351">
        <v>3.0</v>
      </c>
      <c r="D57" s="322">
        <f>+B57*C57</f>
        <v>450000</v>
      </c>
    </row>
    <row r="58" ht="13.5" customHeight="1">
      <c r="A58" s="384" t="s">
        <v>220</v>
      </c>
      <c r="B58" s="378"/>
      <c r="C58" s="254"/>
      <c r="D58" s="378"/>
    </row>
    <row r="59" ht="12.75" customHeight="1">
      <c r="A59" s="346" t="s">
        <v>221</v>
      </c>
      <c r="B59" s="319">
        <v>28000.0</v>
      </c>
      <c r="C59" s="347">
        <v>15.0</v>
      </c>
      <c r="D59" s="319">
        <f>+B59*C59</f>
        <v>420000</v>
      </c>
    </row>
    <row r="60" ht="12.75" customHeight="1">
      <c r="A60" s="385" t="s">
        <v>222</v>
      </c>
      <c r="B60" s="335" t="s">
        <v>194</v>
      </c>
      <c r="C60" s="386">
        <v>1.0</v>
      </c>
      <c r="D60" s="334">
        <v>2000000.0</v>
      </c>
    </row>
    <row r="61" ht="14.25" customHeight="1">
      <c r="A61" s="385" t="s">
        <v>213</v>
      </c>
      <c r="B61" s="335" t="s">
        <v>194</v>
      </c>
      <c r="C61" s="386">
        <v>1.0</v>
      </c>
      <c r="D61" s="334">
        <v>1100000.0</v>
      </c>
    </row>
    <row r="62" ht="13.5" customHeight="1">
      <c r="A62" s="350" t="s">
        <v>223</v>
      </c>
      <c r="B62" s="322">
        <v>150000.0</v>
      </c>
      <c r="C62" s="351">
        <v>4.0</v>
      </c>
      <c r="D62" s="322">
        <f>+B62*C62</f>
        <v>600000</v>
      </c>
    </row>
    <row r="63" ht="16.5" customHeight="1">
      <c r="D63" s="379">
        <f>SUM(D57:D62)</f>
        <v>4570000</v>
      </c>
    </row>
    <row r="64" ht="12.75" customHeight="1"/>
    <row r="65" ht="12.75" customHeight="1"/>
    <row r="66" ht="15.75" customHeight="1">
      <c r="C66" s="251"/>
      <c r="D66" s="339"/>
    </row>
    <row r="67" ht="16.5" customHeight="1">
      <c r="C67" s="251"/>
      <c r="D67" s="339"/>
    </row>
    <row r="68" ht="16.5" customHeight="1">
      <c r="A68" s="271" t="s">
        <v>224</v>
      </c>
      <c r="B68" s="85"/>
      <c r="C68" s="86"/>
      <c r="D68" s="339"/>
    </row>
    <row r="69" ht="13.5" customHeight="1">
      <c r="A69" s="271" t="s">
        <v>225</v>
      </c>
      <c r="B69" s="297" t="s">
        <v>226</v>
      </c>
      <c r="C69" s="387" t="s">
        <v>133</v>
      </c>
      <c r="D69" s="388" t="s">
        <v>227</v>
      </c>
      <c r="E69" s="389" t="s">
        <v>228</v>
      </c>
    </row>
    <row r="70" ht="14.25" customHeight="1">
      <c r="A70" s="29" t="s">
        <v>9</v>
      </c>
      <c r="B70" s="73" t="s">
        <v>10</v>
      </c>
      <c r="C70" s="390">
        <v>14.0</v>
      </c>
      <c r="D70" s="391">
        <v>25000.0</v>
      </c>
      <c r="E70" s="392">
        <f t="shared" ref="E70:E80" si="3">D70*C70</f>
        <v>350000</v>
      </c>
    </row>
    <row r="71" ht="14.25" customHeight="1">
      <c r="A71" s="33" t="s">
        <v>11</v>
      </c>
      <c r="B71" s="25" t="s">
        <v>10</v>
      </c>
      <c r="C71" s="393">
        <v>4.0</v>
      </c>
      <c r="D71" s="394">
        <v>25000.0</v>
      </c>
      <c r="E71" s="395">
        <f t="shared" si="3"/>
        <v>100000</v>
      </c>
    </row>
    <row r="72" ht="14.25" customHeight="1">
      <c r="A72" s="33" t="s">
        <v>12</v>
      </c>
      <c r="B72" s="25" t="s">
        <v>10</v>
      </c>
      <c r="C72" s="393">
        <v>2.0</v>
      </c>
      <c r="D72" s="394">
        <v>25000.0</v>
      </c>
      <c r="E72" s="395">
        <f t="shared" si="3"/>
        <v>50000</v>
      </c>
    </row>
    <row r="73" ht="14.25" customHeight="1">
      <c r="A73" s="33" t="s">
        <v>13</v>
      </c>
      <c r="B73" s="25" t="s">
        <v>10</v>
      </c>
      <c r="C73" s="393">
        <v>15.0</v>
      </c>
      <c r="D73" s="394">
        <v>25000.0</v>
      </c>
      <c r="E73" s="395">
        <f t="shared" si="3"/>
        <v>375000</v>
      </c>
    </row>
    <row r="74" ht="14.25" customHeight="1">
      <c r="A74" s="33" t="s">
        <v>14</v>
      </c>
      <c r="B74" s="25" t="s">
        <v>10</v>
      </c>
      <c r="C74" s="393">
        <v>2.0</v>
      </c>
      <c r="D74" s="394">
        <v>25000.0</v>
      </c>
      <c r="E74" s="395">
        <f t="shared" si="3"/>
        <v>50000</v>
      </c>
    </row>
    <row r="75" ht="28.5" customHeight="1">
      <c r="A75" s="33" t="s">
        <v>15</v>
      </c>
      <c r="B75" s="396" t="s">
        <v>10</v>
      </c>
      <c r="C75" s="397">
        <v>2.0</v>
      </c>
      <c r="D75" s="394">
        <v>25000.0</v>
      </c>
      <c r="E75" s="395">
        <f t="shared" si="3"/>
        <v>50000</v>
      </c>
    </row>
    <row r="76" ht="14.25" customHeight="1">
      <c r="A76" s="33" t="s">
        <v>16</v>
      </c>
      <c r="B76" s="25" t="s">
        <v>10</v>
      </c>
      <c r="C76" s="393">
        <v>12.0</v>
      </c>
      <c r="D76" s="394">
        <v>25000.0</v>
      </c>
      <c r="E76" s="395">
        <f t="shared" si="3"/>
        <v>300000</v>
      </c>
    </row>
    <row r="77" ht="14.25" customHeight="1">
      <c r="A77" s="33" t="s">
        <v>17</v>
      </c>
      <c r="B77" s="25" t="s">
        <v>10</v>
      </c>
      <c r="C77" s="393">
        <v>2.0</v>
      </c>
      <c r="D77" s="394">
        <v>25000.0</v>
      </c>
      <c r="E77" s="395">
        <f t="shared" si="3"/>
        <v>50000</v>
      </c>
    </row>
    <row r="78" ht="14.25" customHeight="1">
      <c r="A78" s="33" t="s">
        <v>18</v>
      </c>
      <c r="B78" s="25" t="s">
        <v>10</v>
      </c>
      <c r="C78" s="393">
        <v>15.0</v>
      </c>
      <c r="D78" s="394">
        <v>25000.0</v>
      </c>
      <c r="E78" s="395">
        <f t="shared" si="3"/>
        <v>375000</v>
      </c>
    </row>
    <row r="79" ht="14.25" customHeight="1">
      <c r="A79" s="33" t="s">
        <v>19</v>
      </c>
      <c r="B79" s="25" t="s">
        <v>10</v>
      </c>
      <c r="C79" s="393">
        <v>12.0</v>
      </c>
      <c r="D79" s="394">
        <v>25000.0</v>
      </c>
      <c r="E79" s="395">
        <f t="shared" si="3"/>
        <v>300000</v>
      </c>
    </row>
    <row r="80" ht="15.0" customHeight="1">
      <c r="A80" s="398" t="s">
        <v>20</v>
      </c>
      <c r="B80" s="79" t="s">
        <v>10</v>
      </c>
      <c r="C80" s="399">
        <v>6.0</v>
      </c>
      <c r="D80" s="400">
        <v>25000.0</v>
      </c>
      <c r="E80" s="401">
        <f t="shared" si="3"/>
        <v>150000</v>
      </c>
      <c r="F80" s="251"/>
    </row>
    <row r="81" ht="16.5" customHeight="1">
      <c r="A81" s="402"/>
      <c r="B81" s="403" t="s">
        <v>229</v>
      </c>
      <c r="C81" s="404">
        <f>SUM(C70:C80)</f>
        <v>86</v>
      </c>
      <c r="D81" s="403" t="s">
        <v>229</v>
      </c>
      <c r="E81" s="405">
        <f>SUM(E70:E80)</f>
        <v>2150000</v>
      </c>
      <c r="F81" s="251"/>
    </row>
    <row r="82" ht="15.0" customHeight="1">
      <c r="A82" s="402"/>
      <c r="B82" s="406"/>
      <c r="C82" s="407"/>
      <c r="E82" s="273">
        <f>SUM(E80:E81)</f>
        <v>2300000</v>
      </c>
    </row>
    <row r="83" ht="15.75" customHeight="1">
      <c r="A83" s="408" t="s">
        <v>37</v>
      </c>
      <c r="B83" s="85"/>
      <c r="C83" s="403" t="s">
        <v>133</v>
      </c>
      <c r="D83" s="316" t="s">
        <v>227</v>
      </c>
      <c r="E83" s="297" t="s">
        <v>228</v>
      </c>
    </row>
    <row r="84" ht="14.25" customHeight="1">
      <c r="A84" s="409" t="s">
        <v>38</v>
      </c>
      <c r="B84" s="57" t="s">
        <v>36</v>
      </c>
      <c r="C84" s="410">
        <v>1200.0</v>
      </c>
      <c r="D84" s="319">
        <v>600.0</v>
      </c>
      <c r="E84" s="411">
        <f t="shared" ref="E84:E87" si="4">D84*C84</f>
        <v>720000</v>
      </c>
    </row>
    <row r="85" ht="14.25" customHeight="1">
      <c r="A85" s="412" t="s">
        <v>39</v>
      </c>
      <c r="B85" s="25" t="s">
        <v>36</v>
      </c>
      <c r="C85" s="413">
        <v>1200.0</v>
      </c>
      <c r="D85" s="334">
        <v>1800.0</v>
      </c>
      <c r="E85" s="414">
        <f t="shared" si="4"/>
        <v>2160000</v>
      </c>
    </row>
    <row r="86" ht="14.25" customHeight="1">
      <c r="A86" s="61" t="s">
        <v>40</v>
      </c>
      <c r="B86" s="25" t="s">
        <v>36</v>
      </c>
      <c r="C86" s="413">
        <v>158.0</v>
      </c>
      <c r="D86" s="334">
        <v>5000.0</v>
      </c>
      <c r="E86" s="414">
        <f t="shared" si="4"/>
        <v>790000</v>
      </c>
    </row>
    <row r="87" ht="15.0" customHeight="1">
      <c r="A87" s="415" t="s">
        <v>41</v>
      </c>
      <c r="B87" s="79" t="s">
        <v>36</v>
      </c>
      <c r="C87" s="416">
        <v>1200.0</v>
      </c>
      <c r="D87" s="322">
        <v>190.0</v>
      </c>
      <c r="E87" s="417">
        <f t="shared" si="4"/>
        <v>228000</v>
      </c>
    </row>
    <row r="88" ht="16.5" customHeight="1">
      <c r="A88" s="418"/>
      <c r="B88" s="406"/>
      <c r="C88" s="406"/>
      <c r="D88" s="419" t="s">
        <v>229</v>
      </c>
      <c r="E88" s="366">
        <f>SUM(E84:E87)</f>
        <v>3898000</v>
      </c>
      <c r="F88" s="232" t="s">
        <v>230</v>
      </c>
    </row>
    <row r="89" ht="14.25" customHeight="1">
      <c r="A89" s="418"/>
      <c r="B89" s="406"/>
      <c r="C89" s="406"/>
      <c r="D89" s="83"/>
    </row>
    <row r="90" ht="14.25" customHeight="1">
      <c r="A90" s="402"/>
      <c r="B90" s="406"/>
      <c r="C90" s="407"/>
    </row>
    <row r="91" ht="15.75" customHeight="1">
      <c r="A91" s="228" t="s">
        <v>231</v>
      </c>
    </row>
    <row r="92" ht="15.0" customHeight="1">
      <c r="A92" s="6" t="s">
        <v>232</v>
      </c>
      <c r="B92" s="420">
        <f>D33</f>
        <v>19538400</v>
      </c>
    </row>
    <row r="93" ht="15.0" customHeight="1">
      <c r="A93" s="6" t="s">
        <v>233</v>
      </c>
      <c r="B93" s="420">
        <f>+'Capital de Trabajo'!B16</f>
        <v>37711093.12</v>
      </c>
    </row>
    <row r="94" ht="18.0" customHeight="1">
      <c r="A94" s="6" t="s">
        <v>135</v>
      </c>
      <c r="B94" s="421">
        <f>SUM(B92:B93)</f>
        <v>57249493.12</v>
      </c>
    </row>
    <row r="95" ht="15.75" customHeight="1">
      <c r="A95" s="6" t="s">
        <v>234</v>
      </c>
      <c r="B95" s="420">
        <v>566700.0</v>
      </c>
    </row>
    <row r="96" ht="18.75" customHeight="1">
      <c r="A96" s="6" t="s">
        <v>235</v>
      </c>
      <c r="B96" s="422">
        <f>+B94/B95</f>
        <v>101.0225748</v>
      </c>
    </row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2:F2"/>
    <mergeCell ref="A21:B21"/>
    <mergeCell ref="B33:C33"/>
    <mergeCell ref="A68:C68"/>
    <mergeCell ref="A83:B83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3.29"/>
    <col customWidth="1" min="2" max="2" width="19.14"/>
    <col customWidth="1" min="3" max="3" width="25.14"/>
    <col customWidth="1" min="4" max="4" width="15.86"/>
    <col customWidth="1" min="5" max="5" width="13.29"/>
    <col customWidth="1" min="6" max="6" width="11.71"/>
    <col customWidth="1" min="7" max="7" width="14.57"/>
    <col customWidth="1" min="8" max="8" width="11.71"/>
  </cols>
  <sheetData>
    <row r="1" ht="12.75" customHeight="1"/>
    <row r="2" ht="15.75" customHeight="1">
      <c r="A2" s="178" t="s">
        <v>236</v>
      </c>
    </row>
    <row r="3" ht="13.5" customHeight="1"/>
    <row r="4" ht="16.5" customHeight="1">
      <c r="A4" s="326" t="s">
        <v>177</v>
      </c>
      <c r="B4" s="344" t="s">
        <v>179</v>
      </c>
      <c r="C4" s="344" t="s">
        <v>237</v>
      </c>
      <c r="F4" s="257"/>
    </row>
    <row r="5" ht="15.0" customHeight="1">
      <c r="A5" s="423" t="s">
        <v>213</v>
      </c>
      <c r="B5" s="424">
        <f>+'Costos Operativos'!D151*0.666</f>
        <v>13352844.9</v>
      </c>
      <c r="C5" s="425" t="s">
        <v>238</v>
      </c>
      <c r="D5" s="257"/>
      <c r="E5" s="257">
        <f>B5-26666600</f>
        <v>-13313755.1</v>
      </c>
      <c r="F5" s="257"/>
      <c r="G5" s="257"/>
      <c r="H5" s="257"/>
    </row>
    <row r="6" ht="15.0" customHeight="1">
      <c r="A6" s="426" t="s">
        <v>239</v>
      </c>
      <c r="B6" s="427">
        <f>+'Costos Operativos'!D157*0.666</f>
        <v>12608063.32</v>
      </c>
      <c r="C6" s="428" t="s">
        <v>238</v>
      </c>
      <c r="D6" s="257"/>
      <c r="E6" s="257">
        <f>B6-25178000</f>
        <v>-12569936.68</v>
      </c>
      <c r="F6" s="257"/>
      <c r="G6" s="427">
        <f>+'Costos Operativos'!D157*1.333</f>
        <v>25235057.66</v>
      </c>
    </row>
    <row r="7" ht="15.0" customHeight="1">
      <c r="A7" s="426" t="s">
        <v>155</v>
      </c>
      <c r="B7" s="427">
        <f>+('Costos Admtivo-Ventas'!D4*2)</f>
        <v>1854684.9</v>
      </c>
      <c r="C7" s="428" t="s">
        <v>240</v>
      </c>
      <c r="D7" s="257"/>
      <c r="E7" s="257">
        <f>SUM(E5:E6)</f>
        <v>-25883691.78</v>
      </c>
      <c r="F7" s="257"/>
      <c r="H7" s="257"/>
    </row>
    <row r="8" ht="15.0" customHeight="1">
      <c r="A8" s="426" t="s">
        <v>156</v>
      </c>
      <c r="B8" s="427">
        <f>+'Costos Admtivo-Ventas'!E5</f>
        <v>2400000</v>
      </c>
      <c r="C8" s="428" t="s">
        <v>241</v>
      </c>
      <c r="F8" s="257"/>
    </row>
    <row r="9" ht="15.0" customHeight="1">
      <c r="A9" s="426" t="s">
        <v>242</v>
      </c>
      <c r="B9" s="427">
        <f>+'Costos Admtivo-Ventas'!E6</f>
        <v>3600000</v>
      </c>
      <c r="C9" s="428" t="s">
        <v>241</v>
      </c>
    </row>
    <row r="10" ht="15.0" customHeight="1">
      <c r="A10" s="426" t="s">
        <v>147</v>
      </c>
      <c r="B10" s="427">
        <f>'Costos Indirectos'!B5*6</f>
        <v>120000</v>
      </c>
      <c r="C10" s="428" t="s">
        <v>243</v>
      </c>
      <c r="D10" s="257"/>
    </row>
    <row r="11" ht="15.0" customHeight="1">
      <c r="A11" s="426" t="s">
        <v>148</v>
      </c>
      <c r="B11" s="427">
        <f>+'Costos Indirectos'!B6*6</f>
        <v>600000</v>
      </c>
      <c r="C11" s="428" t="s">
        <v>243</v>
      </c>
      <c r="D11" s="257"/>
      <c r="E11" s="257"/>
      <c r="G11" s="257"/>
    </row>
    <row r="12" ht="15.0" customHeight="1">
      <c r="A12" s="426" t="s">
        <v>149</v>
      </c>
      <c r="B12" s="427">
        <f>+'Costos Indirectos'!B7</f>
        <v>30000</v>
      </c>
      <c r="C12" s="428" t="s">
        <v>244</v>
      </c>
    </row>
    <row r="13" ht="15.0" customHeight="1">
      <c r="A13" s="426" t="s">
        <v>60</v>
      </c>
      <c r="B13" s="427">
        <f>+'Costos Operativos'!G182</f>
        <v>1464000</v>
      </c>
      <c r="C13" s="428" t="s">
        <v>241</v>
      </c>
      <c r="D13" s="257"/>
      <c r="E13" s="257"/>
      <c r="F13" s="257"/>
    </row>
    <row r="14" ht="15.0" customHeight="1">
      <c r="A14" s="426" t="s">
        <v>245</v>
      </c>
      <c r="B14" s="427">
        <f>+('Flujo de Caja'!D5/6)*('Costos Admtivo-Ventas'!D11+'Costos Admtivo-Ventas'!F16)</f>
        <v>1501500</v>
      </c>
      <c r="C14" s="428" t="s">
        <v>246</v>
      </c>
    </row>
    <row r="15" ht="15.75" customHeight="1">
      <c r="A15" s="429" t="s">
        <v>247</v>
      </c>
      <c r="B15" s="430">
        <f>+B24</f>
        <v>180000</v>
      </c>
      <c r="C15" s="428" t="s">
        <v>248</v>
      </c>
    </row>
    <row r="16" ht="18.75" customHeight="1">
      <c r="A16" s="431" t="s">
        <v>249</v>
      </c>
      <c r="B16" s="432">
        <f>SUM(B5:B15)</f>
        <v>37711093.12</v>
      </c>
      <c r="C16" s="433" t="s">
        <v>250</v>
      </c>
      <c r="D16" s="86"/>
    </row>
    <row r="17" ht="15.75" customHeight="1">
      <c r="A17" s="434"/>
      <c r="B17" s="435"/>
      <c r="C17" s="435"/>
    </row>
    <row r="18" ht="15.75" customHeight="1">
      <c r="A18" s="434"/>
      <c r="B18" s="435"/>
      <c r="C18" s="435"/>
    </row>
    <row r="19" ht="14.25" customHeight="1">
      <c r="A19" s="2"/>
    </row>
    <row r="20" ht="15.75" customHeight="1">
      <c r="B20" s="436"/>
    </row>
    <row r="21" ht="16.5" customHeight="1">
      <c r="A21" s="437" t="s">
        <v>247</v>
      </c>
      <c r="B21" s="436"/>
    </row>
    <row r="22" ht="15.75" customHeight="1">
      <c r="A22" s="438" t="s">
        <v>251</v>
      </c>
      <c r="B22" s="439">
        <v>60000.0</v>
      </c>
    </row>
    <row r="23" ht="15.75" customHeight="1">
      <c r="A23" s="438" t="s">
        <v>252</v>
      </c>
      <c r="B23" s="440">
        <v>120000.0</v>
      </c>
    </row>
    <row r="24" ht="16.5" customHeight="1">
      <c r="A24" s="441" t="s">
        <v>188</v>
      </c>
      <c r="B24" s="442">
        <f>SUM(B22:B23)</f>
        <v>180000</v>
      </c>
    </row>
    <row r="25" ht="15.0" customHeight="1">
      <c r="A25" s="6"/>
      <c r="B25" s="420"/>
    </row>
    <row r="26" ht="15.0" customHeight="1">
      <c r="A26" s="6"/>
      <c r="B26" s="420"/>
    </row>
    <row r="27" ht="15.0" customHeight="1">
      <c r="A27" s="6"/>
      <c r="B27" s="420"/>
    </row>
    <row r="28" ht="15.0" customHeight="1">
      <c r="A28" s="6"/>
      <c r="B28" s="420"/>
    </row>
    <row r="29" ht="15.0" customHeight="1">
      <c r="A29" s="6"/>
      <c r="B29" s="420"/>
    </row>
    <row r="30" ht="15.75" customHeight="1">
      <c r="B30" s="339"/>
    </row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2:H2"/>
    <mergeCell ref="C16:D16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9.86"/>
    <col customWidth="1" min="2" max="2" width="11.29"/>
    <col customWidth="1" min="3" max="3" width="11.57"/>
    <col customWidth="1" min="4" max="6" width="18.57"/>
    <col customWidth="1" min="7" max="7" width="17.0"/>
    <col customWidth="1" min="8" max="8" width="10.0"/>
    <col customWidth="1" min="9" max="9" width="11.57"/>
    <col customWidth="1" min="10" max="12" width="10.0"/>
  </cols>
  <sheetData>
    <row r="1" ht="12.75" customHeight="1"/>
    <row r="2" ht="12.75" customHeight="1"/>
    <row r="3" ht="16.5" customHeight="1">
      <c r="A3" s="180" t="s">
        <v>253</v>
      </c>
      <c r="C3" s="178" t="s">
        <v>89</v>
      </c>
      <c r="D3" s="178" t="s">
        <v>90</v>
      </c>
      <c r="E3" s="178" t="s">
        <v>91</v>
      </c>
      <c r="F3" s="178" t="s">
        <v>92</v>
      </c>
      <c r="G3" s="178" t="s">
        <v>93</v>
      </c>
    </row>
    <row r="4" ht="14.25" customHeight="1">
      <c r="A4" s="184" t="s">
        <v>73</v>
      </c>
      <c r="B4" s="117" t="s">
        <v>74</v>
      </c>
      <c r="C4" s="443">
        <f>+'Costos Operativos'!C121</f>
        <v>0</v>
      </c>
      <c r="D4" s="425">
        <f>+'Costos Operativos'!D121</f>
        <v>3000</v>
      </c>
      <c r="E4" s="444">
        <f>+'Costos Operativos'!E121</f>
        <v>6000</v>
      </c>
      <c r="F4" s="425">
        <f>+'Costos Operativos'!F121</f>
        <v>10000</v>
      </c>
      <c r="G4" s="445">
        <f>+'Costos Operativos'!G121</f>
        <v>10000</v>
      </c>
      <c r="I4" s="232">
        <f t="shared" ref="I4:L4" si="1">+D4/2</f>
        <v>1500</v>
      </c>
      <c r="J4" s="232">
        <f t="shared" si="1"/>
        <v>3000</v>
      </c>
      <c r="K4" s="232">
        <f t="shared" si="1"/>
        <v>5000</v>
      </c>
      <c r="L4" s="232">
        <f t="shared" si="1"/>
        <v>5000</v>
      </c>
    </row>
    <row r="5" ht="14.25" customHeight="1">
      <c r="A5" s="187" t="s">
        <v>254</v>
      </c>
      <c r="B5" s="137" t="s">
        <v>74</v>
      </c>
      <c r="C5" s="446">
        <f>+'Costos Operativos'!C122</f>
        <v>0</v>
      </c>
      <c r="D5" s="335">
        <f>+'Costos Operativos'!D122</f>
        <v>78000</v>
      </c>
      <c r="E5" s="386">
        <f>+'Costos Operativos'!E122</f>
        <v>62400</v>
      </c>
      <c r="F5" s="335">
        <f>+'Costos Operativos'!F122</f>
        <v>49920</v>
      </c>
      <c r="G5" s="447">
        <f>+'Costos Operativos'!G122</f>
        <v>0</v>
      </c>
      <c r="I5" s="232">
        <f t="shared" ref="I5:L5" si="2">+D5/2</f>
        <v>39000</v>
      </c>
      <c r="J5" s="232">
        <f t="shared" si="2"/>
        <v>31200</v>
      </c>
      <c r="K5" s="232">
        <f t="shared" si="2"/>
        <v>24960</v>
      </c>
      <c r="L5" s="232">
        <f t="shared" si="2"/>
        <v>0</v>
      </c>
    </row>
    <row r="6" ht="15.0" customHeight="1">
      <c r="A6" s="190" t="s">
        <v>255</v>
      </c>
      <c r="B6" s="166" t="s">
        <v>77</v>
      </c>
      <c r="C6" s="448">
        <f>+'Costos Operativos'!C123</f>
        <v>0</v>
      </c>
      <c r="D6" s="449">
        <f>+'Costos Operativos'!D123</f>
        <v>0</v>
      </c>
      <c r="E6" s="450">
        <f>+'Costos Operativos'!E123</f>
        <v>0</v>
      </c>
      <c r="F6" s="449">
        <f>+'Costos Operativos'!F123</f>
        <v>0</v>
      </c>
      <c r="G6" s="451">
        <f>+'Costos Operativos'!G123</f>
        <v>0</v>
      </c>
    </row>
    <row r="7" ht="15.0" customHeight="1">
      <c r="A7" s="2"/>
    </row>
    <row r="8" ht="14.25" customHeight="1">
      <c r="A8" s="184" t="s">
        <v>78</v>
      </c>
      <c r="B8" s="452" t="s">
        <v>65</v>
      </c>
      <c r="C8" s="453">
        <f>+'Costos Operativos'!C125</f>
        <v>4800</v>
      </c>
      <c r="D8" s="342">
        <f>+'Costos Operativos'!D125</f>
        <v>5040</v>
      </c>
      <c r="E8" s="454">
        <f>+'Costos Operativos'!E125</f>
        <v>5292</v>
      </c>
      <c r="F8" s="342">
        <f>+'Costos Operativos'!F125</f>
        <v>5556.6</v>
      </c>
      <c r="G8" s="455">
        <f>+'Costos Operativos'!G125</f>
        <v>5834.43</v>
      </c>
    </row>
    <row r="9" ht="14.25" customHeight="1">
      <c r="A9" s="187" t="s">
        <v>80</v>
      </c>
      <c r="B9" s="137" t="s">
        <v>65</v>
      </c>
      <c r="C9" s="373">
        <f>+'Costos Operativos'!C126</f>
        <v>800</v>
      </c>
      <c r="D9" s="334">
        <f>+'Costos Operativos'!D126</f>
        <v>840</v>
      </c>
      <c r="E9" s="456">
        <f>+'Costos Operativos'!E126</f>
        <v>882</v>
      </c>
      <c r="F9" s="334">
        <f>+'Costos Operativos'!F126</f>
        <v>926.1</v>
      </c>
      <c r="G9" s="414">
        <f>+'Costos Operativos'!G126</f>
        <v>972.405</v>
      </c>
    </row>
    <row r="10" ht="15.0" customHeight="1">
      <c r="A10" s="190" t="s">
        <v>256</v>
      </c>
      <c r="B10" s="166" t="s">
        <v>82</v>
      </c>
      <c r="C10" s="457">
        <f>+'Costos Operativos'!C127</f>
        <v>50000</v>
      </c>
      <c r="D10" s="458">
        <f>+'Costos Operativos'!D127</f>
        <v>52500</v>
      </c>
      <c r="E10" s="380">
        <f>+'Costos Operativos'!E127</f>
        <v>55125</v>
      </c>
      <c r="F10" s="458">
        <f>+'Costos Operativos'!F127</f>
        <v>57881.25</v>
      </c>
      <c r="G10" s="459">
        <f>+'Costos Operativos'!G127</f>
        <v>60775.3125</v>
      </c>
    </row>
    <row r="11" ht="12.75" customHeight="1"/>
    <row r="12" ht="15.75" customHeight="1">
      <c r="A12" s="206" t="s">
        <v>102</v>
      </c>
      <c r="B12" s="3"/>
      <c r="C12" s="181"/>
      <c r="D12" s="181"/>
      <c r="E12" s="181"/>
      <c r="F12" s="181"/>
      <c r="G12" s="181"/>
    </row>
    <row r="13" ht="14.25" customHeight="1">
      <c r="A13" s="152" t="s">
        <v>84</v>
      </c>
      <c r="B13" s="207" t="s">
        <v>85</v>
      </c>
      <c r="C13" s="460">
        <f t="shared" ref="C13:G13" si="3">+C4*C8</f>
        <v>0</v>
      </c>
      <c r="D13" s="461">
        <f t="shared" si="3"/>
        <v>15120000</v>
      </c>
      <c r="E13" s="462">
        <f t="shared" si="3"/>
        <v>31752000</v>
      </c>
      <c r="F13" s="461">
        <f t="shared" si="3"/>
        <v>55566000</v>
      </c>
      <c r="G13" s="461">
        <f t="shared" si="3"/>
        <v>58344300</v>
      </c>
    </row>
    <row r="14" ht="14.25" customHeight="1">
      <c r="A14" s="136" t="s">
        <v>86</v>
      </c>
      <c r="B14" s="211" t="s">
        <v>85</v>
      </c>
      <c r="C14" s="463">
        <f t="shared" ref="C14:G14" si="4">+C5*C9</f>
        <v>0</v>
      </c>
      <c r="D14" s="464">
        <f t="shared" si="4"/>
        <v>65520000</v>
      </c>
      <c r="E14" s="465">
        <f t="shared" si="4"/>
        <v>55036800</v>
      </c>
      <c r="F14" s="464">
        <f t="shared" si="4"/>
        <v>46230912</v>
      </c>
      <c r="G14" s="464">
        <f t="shared" si="4"/>
        <v>0</v>
      </c>
    </row>
    <row r="15" ht="15.0" customHeight="1">
      <c r="A15" s="165" t="s">
        <v>256</v>
      </c>
      <c r="B15" s="215" t="s">
        <v>85</v>
      </c>
      <c r="C15" s="466">
        <f t="shared" ref="C15:G15" si="5">+C6*C10</f>
        <v>0</v>
      </c>
      <c r="D15" s="467">
        <f t="shared" si="5"/>
        <v>0</v>
      </c>
      <c r="E15" s="468">
        <f t="shared" si="5"/>
        <v>0</v>
      </c>
      <c r="F15" s="467">
        <f t="shared" si="5"/>
        <v>0</v>
      </c>
      <c r="G15" s="467">
        <f t="shared" si="5"/>
        <v>0</v>
      </c>
    </row>
    <row r="16" ht="18.75" customHeight="1">
      <c r="B16" s="469" t="s">
        <v>229</v>
      </c>
      <c r="C16" s="470">
        <f t="shared" ref="C16:G16" si="6">SUM(C13:C15)</f>
        <v>0</v>
      </c>
      <c r="D16" s="471">
        <f t="shared" si="6"/>
        <v>80640000</v>
      </c>
      <c r="E16" s="470">
        <f t="shared" si="6"/>
        <v>86788800</v>
      </c>
      <c r="F16" s="472">
        <f t="shared" si="6"/>
        <v>101796912</v>
      </c>
      <c r="G16" s="470">
        <f t="shared" si="6"/>
        <v>58344300</v>
      </c>
    </row>
    <row r="17" ht="12.75" customHeight="1"/>
    <row r="18" ht="15.0" customHeight="1">
      <c r="A18" s="206" t="s">
        <v>257</v>
      </c>
    </row>
    <row r="19" ht="15.0" customHeight="1">
      <c r="A19" s="473" t="s">
        <v>258</v>
      </c>
    </row>
    <row r="20" ht="15.0" customHeight="1">
      <c r="A20" s="474" t="s">
        <v>213</v>
      </c>
      <c r="D20" s="253" t="s">
        <v>172</v>
      </c>
      <c r="E20" s="253" t="s">
        <v>91</v>
      </c>
      <c r="F20" s="253" t="s">
        <v>92</v>
      </c>
      <c r="G20" s="253" t="s">
        <v>93</v>
      </c>
    </row>
    <row r="21" ht="12.75" customHeight="1">
      <c r="A21" s="232" t="s">
        <v>108</v>
      </c>
      <c r="D21" s="264">
        <f>+'Costos Operativos'!D153*'Flujo de Caja'!D4</f>
        <v>3759246.875</v>
      </c>
      <c r="E21" s="264">
        <f>+'Costos Operativos'!E153*'Flujo de Caja'!E4</f>
        <v>4385556.476</v>
      </c>
      <c r="F21" s="264">
        <f>+'Costos Operativos'!F153*'Flujo de Caja'!F4</f>
        <v>7180803.658</v>
      </c>
      <c r="G21" s="264">
        <f>+'Costos Operativos'!G153*'Flujo de Caja'!G4</f>
        <v>11527435.34</v>
      </c>
    </row>
    <row r="22" ht="12.75" customHeight="1">
      <c r="A22" s="232" t="s">
        <v>173</v>
      </c>
      <c r="D22" s="264">
        <f>+'Costos Operativos'!D155*'Flujo de Caja'!D5</f>
        <v>16290069.79</v>
      </c>
      <c r="E22" s="264">
        <f>+'Costos Operativos'!E155*'Flujo de Caja'!E5</f>
        <v>7601631.224</v>
      </c>
      <c r="F22" s="264">
        <f>+'Costos Operativos'!F155*'Flujo de Caja'!F5</f>
        <v>5974428.644</v>
      </c>
      <c r="G22" s="264">
        <f>+'Costos Operativos'!G155*'Flujo de Caja'!G5</f>
        <v>0</v>
      </c>
    </row>
    <row r="23" ht="12.75" customHeight="1">
      <c r="C23" s="253" t="s">
        <v>259</v>
      </c>
      <c r="D23" s="475">
        <f t="shared" ref="D23:G23" si="7">SUM(D21:D22)</f>
        <v>20049316.67</v>
      </c>
      <c r="E23" s="475">
        <f t="shared" si="7"/>
        <v>11987187.7</v>
      </c>
      <c r="F23" s="475">
        <f t="shared" si="7"/>
        <v>13155232.3</v>
      </c>
      <c r="G23" s="475">
        <f t="shared" si="7"/>
        <v>11527435.34</v>
      </c>
    </row>
    <row r="24" ht="12.75" customHeight="1"/>
    <row r="25" ht="15.0" customHeight="1">
      <c r="A25" s="474" t="s">
        <v>239</v>
      </c>
      <c r="D25" s="253" t="s">
        <v>172</v>
      </c>
      <c r="E25" s="253" t="s">
        <v>91</v>
      </c>
      <c r="F25" s="253" t="s">
        <v>92</v>
      </c>
      <c r="G25" s="253" t="s">
        <v>93</v>
      </c>
    </row>
    <row r="26" ht="12.75" customHeight="1">
      <c r="A26" s="232" t="s">
        <v>108</v>
      </c>
      <c r="D26" s="264">
        <f>+'Costos Operativos'!D159*D4</f>
        <v>3549567.375</v>
      </c>
      <c r="E26" s="264">
        <f>+'Costos Operativos'!E159*E4</f>
        <v>2256037.683</v>
      </c>
      <c r="F26" s="264">
        <f>+'Costos Operativos'!F159*F4</f>
        <v>2066537.555</v>
      </c>
      <c r="G26" s="264">
        <f>+'Costos Operativos'!G159*G4</f>
        <v>4789580.828</v>
      </c>
    </row>
    <row r="27" ht="12.75" customHeight="1">
      <c r="A27" s="232" t="s">
        <v>173</v>
      </c>
      <c r="D27" s="264">
        <f>+'Costos Operativos'!D161*D5</f>
        <v>15381458.63</v>
      </c>
      <c r="E27" s="264">
        <f>+'Costos Operativos'!E161*E5</f>
        <v>3910465.317</v>
      </c>
      <c r="F27" s="264">
        <f>+'Costos Operativos'!F161*F5</f>
        <v>1719359.245</v>
      </c>
      <c r="G27" s="264">
        <f>+'Costos Operativos'!G161*G5</f>
        <v>0</v>
      </c>
    </row>
    <row r="28" ht="12.75" customHeight="1">
      <c r="C28" s="253" t="s">
        <v>259</v>
      </c>
      <c r="D28" s="475">
        <f t="shared" ref="D28:G28" si="8">SUM(D26:D27)</f>
        <v>18931026</v>
      </c>
      <c r="E28" s="475">
        <f t="shared" si="8"/>
        <v>6166503</v>
      </c>
      <c r="F28" s="475">
        <f t="shared" si="8"/>
        <v>3785896.8</v>
      </c>
      <c r="G28" s="475">
        <f t="shared" si="8"/>
        <v>4789580.828</v>
      </c>
    </row>
    <row r="29" ht="12.75" customHeight="1"/>
    <row r="30" ht="15.0" customHeight="1">
      <c r="A30" s="473" t="s">
        <v>260</v>
      </c>
      <c r="D30" s="253" t="s">
        <v>172</v>
      </c>
      <c r="E30" s="253" t="s">
        <v>91</v>
      </c>
      <c r="F30" s="253" t="s">
        <v>92</v>
      </c>
      <c r="G30" s="253" t="s">
        <v>93</v>
      </c>
    </row>
    <row r="31" ht="15.0" customHeight="1">
      <c r="A31" s="473"/>
      <c r="D31" s="475">
        <f>+'Costos Admtivo-Ventas'!F7+'Costos Admtivo-Ventas'!G7</f>
        <v>27257939.37</v>
      </c>
      <c r="E31" s="475">
        <f>+'Costos Admtivo-Ventas'!H7</f>
        <v>18883740.61</v>
      </c>
      <c r="F31" s="475">
        <f>+'Costos Admtivo-Ventas'!I7</f>
        <v>19827927.64</v>
      </c>
      <c r="G31" s="475">
        <f>+'Costos Admtivo-Ventas'!J7</f>
        <v>20819324.03</v>
      </c>
    </row>
    <row r="32" ht="15.0" customHeight="1">
      <c r="A32" s="473"/>
      <c r="D32" s="475"/>
      <c r="E32" s="475"/>
      <c r="F32" s="475"/>
      <c r="G32" s="475"/>
    </row>
    <row r="33" ht="15.0" customHeight="1">
      <c r="A33" s="473" t="s">
        <v>261</v>
      </c>
      <c r="D33" s="253" t="s">
        <v>172</v>
      </c>
      <c r="E33" s="253" t="s">
        <v>91</v>
      </c>
      <c r="F33" s="253" t="s">
        <v>92</v>
      </c>
      <c r="G33" s="253" t="s">
        <v>93</v>
      </c>
    </row>
    <row r="34" ht="12.75" customHeight="1">
      <c r="A34" s="232" t="s">
        <v>108</v>
      </c>
      <c r="D34" s="264">
        <f>+'Costos Admtivo-Ventas'!B21</f>
        <v>441000</v>
      </c>
      <c r="E34" s="264">
        <f>+'Costos Admtivo-Ventas'!C21</f>
        <v>926100</v>
      </c>
      <c r="F34" s="264">
        <f>+'Costos Admtivo-Ventas'!D21</f>
        <v>1620675</v>
      </c>
      <c r="G34" s="264">
        <f>+'Costos Admtivo-Ventas'!E21</f>
        <v>1701708.75</v>
      </c>
    </row>
    <row r="35" ht="12.75" customHeight="1">
      <c r="A35" s="232" t="s">
        <v>173</v>
      </c>
      <c r="D35" s="264">
        <f>+'Costos Admtivo-Ventas'!B22-'Capital de Trabajo'!B14</f>
        <v>7507500</v>
      </c>
      <c r="E35" s="264">
        <f>+'Costos Admtivo-Ventas'!C22</f>
        <v>7567560</v>
      </c>
      <c r="F35" s="264">
        <f>+'Costos Admtivo-Ventas'!D22</f>
        <v>6356750.4</v>
      </c>
      <c r="G35" s="264">
        <f>+'Costos Admtivo-Ventas'!E22</f>
        <v>0</v>
      </c>
    </row>
    <row r="36" ht="12.75" customHeight="1">
      <c r="C36" s="253" t="s">
        <v>259</v>
      </c>
      <c r="D36" s="475">
        <f t="shared" ref="D36:G36" si="9">SUM(D34:D35)</f>
        <v>7948500</v>
      </c>
      <c r="E36" s="475">
        <f t="shared" si="9"/>
        <v>8493660</v>
      </c>
      <c r="F36" s="475">
        <f t="shared" si="9"/>
        <v>7977425.4</v>
      </c>
      <c r="G36" s="475">
        <f t="shared" si="9"/>
        <v>1701708.75</v>
      </c>
    </row>
    <row r="37" ht="12.75" customHeight="1">
      <c r="C37" s="253"/>
      <c r="D37" s="475"/>
      <c r="E37" s="475"/>
      <c r="F37" s="475"/>
      <c r="G37" s="475"/>
    </row>
    <row r="38" ht="15.0" customHeight="1">
      <c r="A38" s="473" t="s">
        <v>262</v>
      </c>
      <c r="D38" s="253" t="s">
        <v>172</v>
      </c>
      <c r="E38" s="253" t="s">
        <v>91</v>
      </c>
      <c r="F38" s="253" t="s">
        <v>92</v>
      </c>
      <c r="G38" s="253" t="s">
        <v>93</v>
      </c>
    </row>
    <row r="39" ht="12.75" customHeight="1">
      <c r="D39" s="475">
        <f>+'Costos Indirectos'!F9</f>
        <v>1170000</v>
      </c>
      <c r="E39" s="475">
        <f>+'Costos Indirectos'!G9</f>
        <v>1890000</v>
      </c>
      <c r="F39" s="475">
        <f>+'Costos Indirectos'!H9</f>
        <v>1984500</v>
      </c>
      <c r="G39" s="475">
        <f>+'Costos Indirectos'!I9</f>
        <v>2083725</v>
      </c>
    </row>
    <row r="40" ht="12.75" customHeight="1">
      <c r="D40" s="475"/>
      <c r="E40" s="475"/>
      <c r="F40" s="475"/>
      <c r="G40" s="475"/>
    </row>
    <row r="41" ht="15.0" customHeight="1">
      <c r="A41" s="206" t="s">
        <v>263</v>
      </c>
      <c r="D41" s="475">
        <f t="shared" ref="D41:G41" si="10">+D23+D28+D31+D36+D39</f>
        <v>75356782.04</v>
      </c>
      <c r="E41" s="475">
        <f t="shared" si="10"/>
        <v>47421091.31</v>
      </c>
      <c r="F41" s="475">
        <f t="shared" si="10"/>
        <v>46730982.15</v>
      </c>
      <c r="G41" s="475">
        <f t="shared" si="10"/>
        <v>40921773.94</v>
      </c>
    </row>
    <row r="42" ht="15.0" customHeight="1">
      <c r="A42" s="206" t="s">
        <v>264</v>
      </c>
      <c r="D42" s="475">
        <f t="shared" ref="D42:G42" si="11">+D16-D41</f>
        <v>5283217.963</v>
      </c>
      <c r="E42" s="475">
        <f t="shared" si="11"/>
        <v>39367708.69</v>
      </c>
      <c r="F42" s="475">
        <f t="shared" si="11"/>
        <v>55065929.85</v>
      </c>
      <c r="G42" s="475">
        <f t="shared" si="11"/>
        <v>17422526.06</v>
      </c>
    </row>
    <row r="43" ht="15.0" customHeight="1">
      <c r="A43" s="206"/>
      <c r="D43" s="475"/>
      <c r="E43" s="475"/>
      <c r="F43" s="475"/>
      <c r="G43" s="475"/>
    </row>
    <row r="44" ht="12.75" customHeight="1"/>
    <row r="45" ht="12.75" customHeight="1">
      <c r="B45" s="253" t="s">
        <v>233</v>
      </c>
      <c r="D45" s="475">
        <f>+'Capital de Trabajo'!B16</f>
        <v>37711093.12</v>
      </c>
    </row>
    <row r="46" ht="12.75" customHeight="1">
      <c r="B46" s="253" t="s">
        <v>232</v>
      </c>
      <c r="D46" s="475">
        <f>'Inversión'!B92</f>
        <v>19538400</v>
      </c>
    </row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45:C45"/>
    <mergeCell ref="B46:C46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0" width="10.0"/>
  </cols>
  <sheetData>
    <row r="1" ht="12.75" customHeight="1"/>
    <row r="2" ht="12.75" customHeight="1"/>
    <row r="3" ht="12.75" customHeight="1">
      <c r="A3" s="476">
        <f>(157*5)/180</f>
        <v>4.361111111</v>
      </c>
      <c r="B3" s="476">
        <f>(85*5)/180</f>
        <v>2.361111111</v>
      </c>
      <c r="C3" s="476">
        <f>(95*5)/180</f>
        <v>2.638888889</v>
      </c>
      <c r="D3" s="476">
        <f>(108*5)/180</f>
        <v>3</v>
      </c>
      <c r="E3" s="476">
        <f>(96*5)/180</f>
        <v>2.666666667</v>
      </c>
      <c r="F3" s="476">
        <f t="shared" ref="F3:J3" si="1">(108*5)/180</f>
        <v>3</v>
      </c>
      <c r="G3" s="476">
        <f t="shared" si="1"/>
        <v>3</v>
      </c>
      <c r="H3" s="476">
        <f t="shared" si="1"/>
        <v>3</v>
      </c>
      <c r="I3" s="476">
        <f t="shared" si="1"/>
        <v>3</v>
      </c>
      <c r="J3" s="476">
        <f t="shared" si="1"/>
        <v>3</v>
      </c>
    </row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