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i unidad\Drive FC\Carpetas SENA\Carpeta Sena 2024\Gestion Sistema Agroecologico 2024\Diseño Instruccional\CF_03\Anexos\"/>
    </mc:Choice>
  </mc:AlternateContent>
  <xr:revisionPtr revIDLastSave="0" documentId="13_ncr:1_{CE553440-73A0-4A32-BC63-A1AB93B450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stos Operativos" sheetId="1" r:id="rId1"/>
    <sheet name="Costos Indirectos" sheetId="2" state="hidden" r:id="rId2"/>
    <sheet name="Costos Admtivo-Ventas" sheetId="3" r:id="rId3"/>
    <sheet name="Inversión" sheetId="4" state="hidden" r:id="rId4"/>
    <sheet name="Capital de Trabajo" sheetId="5" state="hidden" r:id="rId5"/>
    <sheet name="Flujo de Caja" sheetId="6" state="hidden" r:id="rId6"/>
    <sheet name="Hoja1" sheetId="7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hWzB4pq2Io2WJBc9qUq6bY7w3zUw=="/>
    </ext>
  </extLst>
</workbook>
</file>

<file path=xl/calcChain.xml><?xml version="1.0" encoding="utf-8"?>
<calcChain xmlns="http://schemas.openxmlformats.org/spreadsheetml/2006/main">
  <c r="J3" i="7" l="1"/>
  <c r="I3" i="7"/>
  <c r="H3" i="7"/>
  <c r="G3" i="7"/>
  <c r="F3" i="7"/>
  <c r="E3" i="7"/>
  <c r="D3" i="7"/>
  <c r="C3" i="7"/>
  <c r="B3" i="7"/>
  <c r="A3" i="7"/>
  <c r="C10" i="6"/>
  <c r="D9" i="6"/>
  <c r="E6" i="6"/>
  <c r="D6" i="6"/>
  <c r="C6" i="6"/>
  <c r="C15" i="6" s="1"/>
  <c r="G5" i="6"/>
  <c r="G27" i="6" s="1"/>
  <c r="G4" i="6"/>
  <c r="L4" i="6" s="1"/>
  <c r="B24" i="5"/>
  <c r="B15" i="5"/>
  <c r="B12" i="5"/>
  <c r="B11" i="5"/>
  <c r="B10" i="5"/>
  <c r="E87" i="4"/>
  <c r="E88" i="4" s="1"/>
  <c r="D30" i="4" s="1"/>
  <c r="D31" i="4" s="1"/>
  <c r="E86" i="4"/>
  <c r="E85" i="4"/>
  <c r="E84" i="4"/>
  <c r="C81" i="4"/>
  <c r="C29" i="4" s="1"/>
  <c r="D29" i="4" s="1"/>
  <c r="E80" i="4"/>
  <c r="E79" i="4"/>
  <c r="E78" i="4"/>
  <c r="E77" i="4"/>
  <c r="E76" i="4"/>
  <c r="E75" i="4"/>
  <c r="E74" i="4"/>
  <c r="E73" i="4"/>
  <c r="E72" i="4"/>
  <c r="E71" i="4"/>
  <c r="E81" i="4" s="1"/>
  <c r="E70" i="4"/>
  <c r="D62" i="4"/>
  <c r="D59" i="4"/>
  <c r="D57" i="4"/>
  <c r="D63" i="4" s="1"/>
  <c r="D51" i="4"/>
  <c r="D50" i="4"/>
  <c r="D49" i="4"/>
  <c r="D48" i="4"/>
  <c r="D47" i="4"/>
  <c r="D46" i="4"/>
  <c r="D45" i="4"/>
  <c r="D44" i="4"/>
  <c r="D43" i="4"/>
  <c r="D42" i="4"/>
  <c r="D52" i="4" s="1"/>
  <c r="D23" i="4" s="1"/>
  <c r="D41" i="4"/>
  <c r="D40" i="4"/>
  <c r="D39" i="4"/>
  <c r="D38" i="4"/>
  <c r="F29" i="4"/>
  <c r="D24" i="4"/>
  <c r="D18" i="4"/>
  <c r="D19" i="4" s="1"/>
  <c r="D13" i="4"/>
  <c r="D12" i="4"/>
  <c r="D11" i="4"/>
  <c r="D10" i="4"/>
  <c r="D9" i="4"/>
  <c r="D8" i="4"/>
  <c r="D7" i="4"/>
  <c r="D6" i="4"/>
  <c r="H16" i="3"/>
  <c r="I16" i="3" s="1"/>
  <c r="G16" i="3"/>
  <c r="F16" i="3"/>
  <c r="E16" i="3"/>
  <c r="E15" i="3"/>
  <c r="F15" i="3" s="1"/>
  <c r="C11" i="3"/>
  <c r="D11" i="3" s="1"/>
  <c r="E10" i="3"/>
  <c r="F10" i="3" s="1"/>
  <c r="D10" i="3"/>
  <c r="C10" i="3"/>
  <c r="E6" i="3"/>
  <c r="B9" i="5" s="1"/>
  <c r="D6" i="3"/>
  <c r="D5" i="3"/>
  <c r="E5" i="3" s="1"/>
  <c r="B8" i="5" s="1"/>
  <c r="C4" i="3"/>
  <c r="D4" i="3" s="1"/>
  <c r="C7" i="2"/>
  <c r="D7" i="2" s="1"/>
  <c r="D6" i="2"/>
  <c r="C6" i="2"/>
  <c r="C5" i="2"/>
  <c r="D5" i="2" s="1"/>
  <c r="I181" i="1"/>
  <c r="H181" i="1"/>
  <c r="E181" i="1"/>
  <c r="G181" i="1" s="1"/>
  <c r="I180" i="1"/>
  <c r="H180" i="1"/>
  <c r="G180" i="1"/>
  <c r="E180" i="1"/>
  <c r="I179" i="1"/>
  <c r="H179" i="1"/>
  <c r="E179" i="1"/>
  <c r="G179" i="1" s="1"/>
  <c r="I178" i="1"/>
  <c r="I182" i="1" s="1"/>
  <c r="C59" i="1" s="1"/>
  <c r="D59" i="1" s="1"/>
  <c r="E59" i="1" s="1"/>
  <c r="F59" i="1" s="1"/>
  <c r="G59" i="1" s="1"/>
  <c r="H59" i="1" s="1"/>
  <c r="I59" i="1" s="1"/>
  <c r="J59" i="1" s="1"/>
  <c r="K59" i="1" s="1"/>
  <c r="L59" i="1" s="1"/>
  <c r="H178" i="1"/>
  <c r="H182" i="1" s="1"/>
  <c r="E178" i="1"/>
  <c r="G178" i="1" s="1"/>
  <c r="G182" i="1" s="1"/>
  <c r="D132" i="1"/>
  <c r="C132" i="1"/>
  <c r="D127" i="1"/>
  <c r="E127" i="1" s="1"/>
  <c r="D126" i="1"/>
  <c r="E126" i="1" s="1"/>
  <c r="C126" i="1"/>
  <c r="C9" i="6" s="1"/>
  <c r="D125" i="1"/>
  <c r="D8" i="6" s="1"/>
  <c r="C125" i="1"/>
  <c r="C8" i="6" s="1"/>
  <c r="K123" i="1"/>
  <c r="J123" i="1"/>
  <c r="I123" i="1"/>
  <c r="H123" i="1"/>
  <c r="G123" i="1"/>
  <c r="G6" i="6" s="1"/>
  <c r="F123" i="1"/>
  <c r="F6" i="6" s="1"/>
  <c r="E123" i="1"/>
  <c r="D123" i="1"/>
  <c r="C123" i="1"/>
  <c r="K122" i="1"/>
  <c r="J122" i="1"/>
  <c r="I122" i="1"/>
  <c r="H122" i="1"/>
  <c r="G122" i="1"/>
  <c r="D122" i="1"/>
  <c r="D131" i="1" s="1"/>
  <c r="C122" i="1"/>
  <c r="L121" i="1"/>
  <c r="K121" i="1"/>
  <c r="J121" i="1"/>
  <c r="I121" i="1"/>
  <c r="H121" i="1"/>
  <c r="G121" i="1"/>
  <c r="F121" i="1"/>
  <c r="E121" i="1"/>
  <c r="E4" i="6" s="1"/>
  <c r="D121" i="1"/>
  <c r="F120" i="1"/>
  <c r="E111" i="1"/>
  <c r="D111" i="1"/>
  <c r="C111" i="1"/>
  <c r="C110" i="1"/>
  <c r="G109" i="1"/>
  <c r="G106" i="1"/>
  <c r="G111" i="1" s="1"/>
  <c r="F106" i="1"/>
  <c r="F111" i="1" s="1"/>
  <c r="E106" i="1"/>
  <c r="D106" i="1"/>
  <c r="D105" i="1"/>
  <c r="E105" i="1" s="1"/>
  <c r="F105" i="1" s="1"/>
  <c r="G105" i="1" s="1"/>
  <c r="G110" i="1" s="1"/>
  <c r="E104" i="1"/>
  <c r="F104" i="1" s="1"/>
  <c r="G104" i="1" s="1"/>
  <c r="H104" i="1" s="1"/>
  <c r="I104" i="1" s="1"/>
  <c r="D104" i="1"/>
  <c r="D109" i="1" s="1"/>
  <c r="L102" i="1"/>
  <c r="L123" i="1" s="1"/>
  <c r="L101" i="1"/>
  <c r="L122" i="1" s="1"/>
  <c r="K101" i="1"/>
  <c r="J101" i="1"/>
  <c r="I101" i="1"/>
  <c r="H101" i="1"/>
  <c r="D101" i="1"/>
  <c r="E101" i="1" s="1"/>
  <c r="C100" i="1"/>
  <c r="C109" i="1" s="1"/>
  <c r="C112" i="1" s="1"/>
  <c r="C96" i="1"/>
  <c r="C95" i="1"/>
  <c r="C94" i="1"/>
  <c r="D93" i="1"/>
  <c r="C93" i="1"/>
  <c r="E92" i="1"/>
  <c r="D92" i="1"/>
  <c r="C92" i="1"/>
  <c r="D91" i="1"/>
  <c r="C91" i="1"/>
  <c r="D90" i="1"/>
  <c r="C90" i="1"/>
  <c r="D89" i="1"/>
  <c r="C89" i="1"/>
  <c r="C88" i="1"/>
  <c r="L86" i="1"/>
  <c r="K86" i="1"/>
  <c r="J86" i="1"/>
  <c r="I86" i="1"/>
  <c r="H86" i="1"/>
  <c r="G86" i="1"/>
  <c r="F86" i="1"/>
  <c r="E86" i="1"/>
  <c r="D86" i="1"/>
  <c r="C85" i="1"/>
  <c r="C84" i="1"/>
  <c r="L83" i="1"/>
  <c r="K83" i="1"/>
  <c r="J83" i="1"/>
  <c r="I83" i="1"/>
  <c r="H83" i="1"/>
  <c r="G83" i="1"/>
  <c r="F83" i="1"/>
  <c r="E83" i="1"/>
  <c r="D83" i="1"/>
  <c r="C83" i="1"/>
  <c r="C81" i="1"/>
  <c r="D75" i="1"/>
  <c r="D96" i="1" s="1"/>
  <c r="D74" i="1"/>
  <c r="E74" i="1" s="1"/>
  <c r="E73" i="1"/>
  <c r="E94" i="1" s="1"/>
  <c r="D73" i="1"/>
  <c r="D94" i="1" s="1"/>
  <c r="E72" i="1"/>
  <c r="F72" i="1" s="1"/>
  <c r="D72" i="1"/>
  <c r="G71" i="1"/>
  <c r="H71" i="1" s="1"/>
  <c r="F71" i="1"/>
  <c r="F92" i="1" s="1"/>
  <c r="E71" i="1"/>
  <c r="D71" i="1"/>
  <c r="D70" i="1"/>
  <c r="E70" i="1" s="1"/>
  <c r="E69" i="1"/>
  <c r="F69" i="1" s="1"/>
  <c r="G69" i="1" s="1"/>
  <c r="G90" i="1" s="1"/>
  <c r="D69" i="1"/>
  <c r="D68" i="1"/>
  <c r="E68" i="1" s="1"/>
  <c r="D67" i="1"/>
  <c r="D88" i="1" s="1"/>
  <c r="D60" i="1"/>
  <c r="E60" i="1" s="1"/>
  <c r="F58" i="1"/>
  <c r="G58" i="1" s="1"/>
  <c r="H58" i="1" s="1"/>
  <c r="E58" i="1"/>
  <c r="D58" i="1"/>
  <c r="H43" i="1"/>
  <c r="K34" i="1"/>
  <c r="K80" i="1" s="1"/>
  <c r="H34" i="1"/>
  <c r="H80" i="1" s="1"/>
  <c r="C34" i="1"/>
  <c r="L33" i="1"/>
  <c r="K33" i="1"/>
  <c r="J33" i="1"/>
  <c r="J34" i="1" s="1"/>
  <c r="J80" i="1" s="1"/>
  <c r="I33" i="1"/>
  <c r="H33" i="1"/>
  <c r="G33" i="1"/>
  <c r="F33" i="1"/>
  <c r="E33" i="1"/>
  <c r="E79" i="1" s="1"/>
  <c r="D33" i="1"/>
  <c r="D34" i="1" s="1"/>
  <c r="D80" i="1" s="1"/>
  <c r="C33" i="1"/>
  <c r="C79" i="1" s="1"/>
  <c r="B7" i="5" l="1"/>
  <c r="E4" i="3"/>
  <c r="E7" i="3" s="1"/>
  <c r="G15" i="3"/>
  <c r="H15" i="3" s="1"/>
  <c r="I15" i="3" s="1"/>
  <c r="J4" i="6"/>
  <c r="F68" i="1"/>
  <c r="E89" i="1"/>
  <c r="E11" i="3"/>
  <c r="E122" i="1"/>
  <c r="E110" i="1"/>
  <c r="F101" i="1"/>
  <c r="J104" i="1"/>
  <c r="I109" i="1"/>
  <c r="E9" i="6"/>
  <c r="F126" i="1"/>
  <c r="E82" i="4"/>
  <c r="G183" i="1"/>
  <c r="B13" i="5"/>
  <c r="G72" i="1"/>
  <c r="F93" i="1"/>
  <c r="F127" i="1"/>
  <c r="E10" i="6"/>
  <c r="E15" i="6" s="1"/>
  <c r="E132" i="1"/>
  <c r="D25" i="4"/>
  <c r="F23" i="4"/>
  <c r="L79" i="1"/>
  <c r="F60" i="1"/>
  <c r="E81" i="1"/>
  <c r="E95" i="1"/>
  <c r="F74" i="1"/>
  <c r="H79" i="1"/>
  <c r="I58" i="1"/>
  <c r="J58" i="1" s="1"/>
  <c r="K58" i="1" s="1"/>
  <c r="L58" i="1" s="1"/>
  <c r="D9" i="2"/>
  <c r="C80" i="1"/>
  <c r="C97" i="1" s="1"/>
  <c r="I71" i="1"/>
  <c r="H92" i="1"/>
  <c r="G10" i="3"/>
  <c r="E21" i="3" s="1"/>
  <c r="I34" i="1"/>
  <c r="I80" i="1" s="1"/>
  <c r="F70" i="1"/>
  <c r="E91" i="1"/>
  <c r="F73" i="1"/>
  <c r="J79" i="1"/>
  <c r="E90" i="1"/>
  <c r="E93" i="1"/>
  <c r="H105" i="1"/>
  <c r="I105" i="1" s="1"/>
  <c r="J105" i="1" s="1"/>
  <c r="K105" i="1" s="1"/>
  <c r="H109" i="1"/>
  <c r="F90" i="1"/>
  <c r="D112" i="1"/>
  <c r="H106" i="1"/>
  <c r="G112" i="1"/>
  <c r="G142" i="1" s="1"/>
  <c r="E125" i="1"/>
  <c r="F132" i="1"/>
  <c r="F4" i="6"/>
  <c r="D21" i="3" s="1"/>
  <c r="D10" i="6"/>
  <c r="D15" i="6" s="1"/>
  <c r="G92" i="1"/>
  <c r="L34" i="1"/>
  <c r="L80" i="1" s="1"/>
  <c r="H69" i="1"/>
  <c r="D81" i="1"/>
  <c r="D157" i="1" s="1"/>
  <c r="D110" i="1"/>
  <c r="G22" i="6"/>
  <c r="L5" i="6"/>
  <c r="F79" i="1"/>
  <c r="F34" i="1"/>
  <c r="F80" i="1" s="1"/>
  <c r="E67" i="1"/>
  <c r="D79" i="1"/>
  <c r="I110" i="1"/>
  <c r="C121" i="1"/>
  <c r="D142" i="1"/>
  <c r="C9" i="2"/>
  <c r="F9" i="2" s="1"/>
  <c r="D39" i="6" s="1"/>
  <c r="D14" i="4"/>
  <c r="D5" i="6"/>
  <c r="G79" i="1"/>
  <c r="E34" i="1"/>
  <c r="E80" i="1" s="1"/>
  <c r="E151" i="1" s="1"/>
  <c r="E75" i="1"/>
  <c r="D95" i="1"/>
  <c r="J110" i="1"/>
  <c r="E109" i="1"/>
  <c r="D4" i="6"/>
  <c r="D130" i="1"/>
  <c r="D134" i="1" s="1"/>
  <c r="C21" i="3"/>
  <c r="G34" i="1"/>
  <c r="G80" i="1" s="1"/>
  <c r="F109" i="1"/>
  <c r="E130" i="1"/>
  <c r="C5" i="6"/>
  <c r="C14" i="6" s="1"/>
  <c r="C131" i="1"/>
  <c r="F34" i="6" l="1"/>
  <c r="B6" i="5"/>
  <c r="E6" i="5" s="1"/>
  <c r="G6" i="5"/>
  <c r="D158" i="1"/>
  <c r="D159" i="1" s="1"/>
  <c r="D26" i="6" s="1"/>
  <c r="D160" i="1"/>
  <c r="D161" i="1" s="1"/>
  <c r="D27" i="6" s="1"/>
  <c r="C118" i="1"/>
  <c r="C4" i="6"/>
  <c r="C13" i="6" s="1"/>
  <c r="C16" i="6" s="1"/>
  <c r="C130" i="1"/>
  <c r="C134" i="1" s="1"/>
  <c r="H9" i="2"/>
  <c r="G9" i="2"/>
  <c r="E39" i="6" s="1"/>
  <c r="F9" i="6"/>
  <c r="G126" i="1"/>
  <c r="E5" i="6"/>
  <c r="C22" i="3" s="1"/>
  <c r="E131" i="1"/>
  <c r="G151" i="1"/>
  <c r="H111" i="1"/>
  <c r="H112" i="1" s="1"/>
  <c r="I106" i="1"/>
  <c r="G127" i="1"/>
  <c r="F10" i="6"/>
  <c r="F15" i="6" s="1"/>
  <c r="F11" i="3"/>
  <c r="I5" i="6"/>
  <c r="B14" i="5"/>
  <c r="D14" i="6"/>
  <c r="D97" i="1"/>
  <c r="D118" i="1" s="1"/>
  <c r="G73" i="1"/>
  <c r="F94" i="1"/>
  <c r="G143" i="1"/>
  <c r="K79" i="1"/>
  <c r="B22" i="3"/>
  <c r="D35" i="6" s="1"/>
  <c r="E134" i="1"/>
  <c r="D13" i="6"/>
  <c r="I4" i="6"/>
  <c r="E14" i="4"/>
  <c r="D33" i="4"/>
  <c r="B92" i="4" s="1"/>
  <c r="F67" i="1"/>
  <c r="E88" i="1"/>
  <c r="E97" i="1" s="1"/>
  <c r="E118" i="1" s="1"/>
  <c r="E148" i="1" s="1"/>
  <c r="D143" i="1"/>
  <c r="F95" i="1"/>
  <c r="G74" i="1"/>
  <c r="D151" i="1"/>
  <c r="G34" i="6"/>
  <c r="E112" i="1"/>
  <c r="E142" i="1"/>
  <c r="H110" i="1"/>
  <c r="F91" i="1"/>
  <c r="G70" i="1"/>
  <c r="J71" i="1"/>
  <c r="I92" i="1"/>
  <c r="H72" i="1"/>
  <c r="G93" i="1"/>
  <c r="I79" i="1"/>
  <c r="B21" i="3"/>
  <c r="K4" i="6"/>
  <c r="J109" i="1"/>
  <c r="K104" i="1"/>
  <c r="H7" i="3"/>
  <c r="G7" i="3"/>
  <c r="F7" i="3"/>
  <c r="D31" i="6" s="1"/>
  <c r="F151" i="1"/>
  <c r="H90" i="1"/>
  <c r="I69" i="1"/>
  <c r="L105" i="1"/>
  <c r="L110" i="1" s="1"/>
  <c r="K110" i="1"/>
  <c r="F122" i="1"/>
  <c r="F110" i="1"/>
  <c r="G68" i="1"/>
  <c r="F89" i="1"/>
  <c r="E34" i="6"/>
  <c r="E96" i="1"/>
  <c r="F75" i="1"/>
  <c r="E8" i="6"/>
  <c r="E13" i="6" s="1"/>
  <c r="F125" i="1"/>
  <c r="G60" i="1"/>
  <c r="F81" i="1"/>
  <c r="E143" i="1"/>
  <c r="E35" i="6" l="1"/>
  <c r="C23" i="3"/>
  <c r="J69" i="1"/>
  <c r="I90" i="1"/>
  <c r="K109" i="1"/>
  <c r="L104" i="1"/>
  <c r="L109" i="1" s="1"/>
  <c r="I111" i="1"/>
  <c r="I112" i="1" s="1"/>
  <c r="J106" i="1"/>
  <c r="D28" i="6"/>
  <c r="E166" i="1"/>
  <c r="E171" i="1" s="1"/>
  <c r="E165" i="1"/>
  <c r="E170" i="1" s="1"/>
  <c r="H68" i="1"/>
  <c r="G89" i="1"/>
  <c r="I9" i="2"/>
  <c r="F39" i="6"/>
  <c r="F8" i="6"/>
  <c r="F13" i="6" s="1"/>
  <c r="G125" i="1"/>
  <c r="F130" i="1"/>
  <c r="F112" i="1"/>
  <c r="F142" i="1" s="1"/>
  <c r="G67" i="1"/>
  <c r="F88" i="1"/>
  <c r="F157" i="1" s="1"/>
  <c r="I72" i="1"/>
  <c r="H93" i="1"/>
  <c r="E16" i="6"/>
  <c r="F5" i="6"/>
  <c r="F131" i="1"/>
  <c r="F152" i="1"/>
  <c r="F153" i="1" s="1"/>
  <c r="F21" i="6" s="1"/>
  <c r="K71" i="1"/>
  <c r="J92" i="1"/>
  <c r="D46" i="6"/>
  <c r="G11" i="3"/>
  <c r="E22" i="3" s="1"/>
  <c r="D22" i="3"/>
  <c r="G154" i="1"/>
  <c r="G152" i="1"/>
  <c r="G153" i="1" s="1"/>
  <c r="G21" i="6" s="1"/>
  <c r="G23" i="6" s="1"/>
  <c r="E152" i="1"/>
  <c r="E153" i="1" s="1"/>
  <c r="E21" i="6" s="1"/>
  <c r="E36" i="6"/>
  <c r="D148" i="1"/>
  <c r="D165" i="1" s="1"/>
  <c r="D170" i="1" s="1"/>
  <c r="E154" i="1"/>
  <c r="E155" i="1" s="1"/>
  <c r="E22" i="6" s="1"/>
  <c r="E31" i="6"/>
  <c r="I7" i="3"/>
  <c r="G81" i="1"/>
  <c r="H60" i="1"/>
  <c r="F96" i="1"/>
  <c r="F97" i="1" s="1"/>
  <c r="F118" i="1" s="1"/>
  <c r="F148" i="1" s="1"/>
  <c r="G75" i="1"/>
  <c r="E157" i="1"/>
  <c r="D34" i="6"/>
  <c r="D36" i="6" s="1"/>
  <c r="B23" i="3"/>
  <c r="B5" i="5"/>
  <c r="D154" i="1"/>
  <c r="D152" i="1"/>
  <c r="D150" i="1"/>
  <c r="G94" i="1"/>
  <c r="H73" i="1"/>
  <c r="J5" i="6"/>
  <c r="E14" i="6"/>
  <c r="H70" i="1"/>
  <c r="G91" i="1"/>
  <c r="G95" i="1"/>
  <c r="H74" i="1"/>
  <c r="D16" i="6"/>
  <c r="H127" i="1"/>
  <c r="G10" i="6"/>
  <c r="G15" i="6" s="1"/>
  <c r="G132" i="1"/>
  <c r="G9" i="6"/>
  <c r="G14" i="6" s="1"/>
  <c r="H126" i="1"/>
  <c r="G131" i="1"/>
  <c r="F158" i="1" l="1"/>
  <c r="F159" i="1" s="1"/>
  <c r="F26" i="6" s="1"/>
  <c r="F165" i="1"/>
  <c r="F170" i="1" s="1"/>
  <c r="G39" i="6"/>
  <c r="J9" i="2"/>
  <c r="H94" i="1"/>
  <c r="I73" i="1"/>
  <c r="K5" i="6"/>
  <c r="F14" i="6"/>
  <c r="I68" i="1"/>
  <c r="H89" i="1"/>
  <c r="F143" i="1"/>
  <c r="I127" i="1"/>
  <c r="H132" i="1"/>
  <c r="H75" i="1"/>
  <c r="G96" i="1"/>
  <c r="G35" i="6"/>
  <c r="G36" i="6" s="1"/>
  <c r="E23" i="3"/>
  <c r="I126" i="1"/>
  <c r="H131" i="1"/>
  <c r="D153" i="1"/>
  <c r="D21" i="6" s="1"/>
  <c r="D23" i="6" s="1"/>
  <c r="D41" i="6" s="1"/>
  <c r="D42" i="6" s="1"/>
  <c r="H152" i="1"/>
  <c r="F134" i="1"/>
  <c r="K69" i="1"/>
  <c r="J90" i="1"/>
  <c r="H154" i="1"/>
  <c r="D155" i="1"/>
  <c r="D22" i="6" s="1"/>
  <c r="I60" i="1"/>
  <c r="H81" i="1"/>
  <c r="I93" i="1"/>
  <c r="J72" i="1"/>
  <c r="G8" i="6"/>
  <c r="G13" i="6" s="1"/>
  <c r="G16" i="6" s="1"/>
  <c r="G130" i="1"/>
  <c r="G134" i="1" s="1"/>
  <c r="H125" i="1"/>
  <c r="D166" i="1"/>
  <c r="D171" i="1" s="1"/>
  <c r="E158" i="1"/>
  <c r="E159" i="1" s="1"/>
  <c r="E26" i="6" s="1"/>
  <c r="E28" i="6" s="1"/>
  <c r="E160" i="1"/>
  <c r="E161" i="1" s="1"/>
  <c r="E27" i="6" s="1"/>
  <c r="I74" i="1"/>
  <c r="H95" i="1"/>
  <c r="E5" i="5"/>
  <c r="E7" i="5" s="1"/>
  <c r="B16" i="5"/>
  <c r="G97" i="1"/>
  <c r="G118" i="1" s="1"/>
  <c r="G148" i="1" s="1"/>
  <c r="E23" i="6"/>
  <c r="K92" i="1"/>
  <c r="L71" i="1"/>
  <c r="L92" i="1" s="1"/>
  <c r="J111" i="1"/>
  <c r="J112" i="1" s="1"/>
  <c r="K106" i="1"/>
  <c r="H67" i="1"/>
  <c r="G88" i="1"/>
  <c r="G157" i="1" s="1"/>
  <c r="F35" i="6"/>
  <c r="F36" i="6" s="1"/>
  <c r="D23" i="3"/>
  <c r="I70" i="1"/>
  <c r="H91" i="1"/>
  <c r="F16" i="6"/>
  <c r="J7" i="3"/>
  <c r="G31" i="6" s="1"/>
  <c r="F31" i="6"/>
  <c r="G160" i="1" l="1"/>
  <c r="G158" i="1"/>
  <c r="G159" i="1" s="1"/>
  <c r="G26" i="6" s="1"/>
  <c r="G28" i="6" s="1"/>
  <c r="G41" i="6" s="1"/>
  <c r="J126" i="1"/>
  <c r="I131" i="1"/>
  <c r="J60" i="1"/>
  <c r="I81" i="1"/>
  <c r="I67" i="1"/>
  <c r="H88" i="1"/>
  <c r="H97" i="1" s="1"/>
  <c r="H118" i="1" s="1"/>
  <c r="I125" i="1"/>
  <c r="H130" i="1"/>
  <c r="H134" i="1" s="1"/>
  <c r="G165" i="1"/>
  <c r="G170" i="1" s="1"/>
  <c r="G166" i="1"/>
  <c r="F166" i="1"/>
  <c r="F171" i="1" s="1"/>
  <c r="F154" i="1"/>
  <c r="F155" i="1" s="1"/>
  <c r="F22" i="6" s="1"/>
  <c r="F23" i="6" s="1"/>
  <c r="I94" i="1"/>
  <c r="J73" i="1"/>
  <c r="L106" i="1"/>
  <c r="L111" i="1" s="1"/>
  <c r="L112" i="1" s="1"/>
  <c r="K111" i="1"/>
  <c r="K112" i="1" s="1"/>
  <c r="G42" i="6"/>
  <c r="K90" i="1"/>
  <c r="L69" i="1"/>
  <c r="L90" i="1" s="1"/>
  <c r="I89" i="1"/>
  <c r="J68" i="1"/>
  <c r="E41" i="6"/>
  <c r="E42" i="6" s="1"/>
  <c r="J127" i="1"/>
  <c r="I132" i="1"/>
  <c r="D45" i="6"/>
  <c r="B93" i="4"/>
  <c r="B94" i="4" s="1"/>
  <c r="B96" i="4" s="1"/>
  <c r="J70" i="1"/>
  <c r="I91" i="1"/>
  <c r="J74" i="1"/>
  <c r="I95" i="1"/>
  <c r="J93" i="1"/>
  <c r="K72" i="1"/>
  <c r="I75" i="1"/>
  <c r="H96" i="1"/>
  <c r="F160" i="1"/>
  <c r="F161" i="1" s="1"/>
  <c r="F27" i="6" s="1"/>
  <c r="F28" i="6" s="1"/>
  <c r="I88" i="1" l="1"/>
  <c r="J67" i="1"/>
  <c r="I97" i="1"/>
  <c r="I118" i="1" s="1"/>
  <c r="K73" i="1"/>
  <c r="J94" i="1"/>
  <c r="F41" i="6"/>
  <c r="F42" i="6" s="1"/>
  <c r="J81" i="1"/>
  <c r="K60" i="1"/>
  <c r="I96" i="1"/>
  <c r="J75" i="1"/>
  <c r="J89" i="1"/>
  <c r="K68" i="1"/>
  <c r="K126" i="1"/>
  <c r="J131" i="1"/>
  <c r="K70" i="1"/>
  <c r="J91" i="1"/>
  <c r="K93" i="1"/>
  <c r="L72" i="1"/>
  <c r="L93" i="1" s="1"/>
  <c r="K127" i="1"/>
  <c r="J132" i="1"/>
  <c r="K74" i="1"/>
  <c r="J95" i="1"/>
  <c r="J125" i="1"/>
  <c r="I130" i="1"/>
  <c r="I134" i="1" s="1"/>
  <c r="K125" i="1" l="1"/>
  <c r="J130" i="1"/>
  <c r="J134" i="1" s="1"/>
  <c r="L126" i="1"/>
  <c r="L131" i="1" s="1"/>
  <c r="K131" i="1"/>
  <c r="K132" i="1"/>
  <c r="L127" i="1"/>
  <c r="L132" i="1" s="1"/>
  <c r="J88" i="1"/>
  <c r="J97" i="1" s="1"/>
  <c r="J118" i="1" s="1"/>
  <c r="K67" i="1"/>
  <c r="K81" i="1"/>
  <c r="L60" i="1"/>
  <c r="L81" i="1" s="1"/>
  <c r="L70" i="1"/>
  <c r="L91" i="1" s="1"/>
  <c r="K91" i="1"/>
  <c r="L74" i="1"/>
  <c r="L95" i="1" s="1"/>
  <c r="K95" i="1"/>
  <c r="K89" i="1"/>
  <c r="L68" i="1"/>
  <c r="L89" i="1" s="1"/>
  <c r="L73" i="1"/>
  <c r="L94" i="1" s="1"/>
  <c r="K94" i="1"/>
  <c r="K75" i="1"/>
  <c r="J96" i="1"/>
  <c r="K96" i="1" l="1"/>
  <c r="L75" i="1"/>
  <c r="L96" i="1" s="1"/>
  <c r="K88" i="1"/>
  <c r="K97" i="1" s="1"/>
  <c r="K118" i="1" s="1"/>
  <c r="L67" i="1"/>
  <c r="L88" i="1" s="1"/>
  <c r="L97" i="1" s="1"/>
  <c r="L118" i="1" s="1"/>
  <c r="L125" i="1"/>
  <c r="L130" i="1" s="1"/>
  <c r="L134" i="1" s="1"/>
  <c r="K130" i="1"/>
  <c r="K1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4" authorId="0" shapeId="0" xr:uid="{00000000-0006-0000-0000-00000B000000}">
      <text>
        <r>
          <rPr>
            <sz val="10"/>
            <color rgb="FF000000"/>
            <rFont val="Arial"/>
          </rPr>
          <t>======
ID#AAAALuzgoCo
Orlando    (2021-03-26 11:19:17)
17-6-18-2</t>
        </r>
      </text>
    </comment>
    <comment ref="C44" authorId="0" shapeId="0" xr:uid="{00000000-0006-0000-0000-000008000000}">
      <text>
        <r>
          <rPr>
            <sz val="10"/>
            <color rgb="FF000000"/>
            <rFont val="Arial"/>
          </rPr>
          <t>======
ID#AAAALuzgoCw
Orlando    (2021-03-26 11:19:17)
50gr/planta x 1200= 60kg/Ha (0 - 2 meses)
70gr/planta x 1200= 84kg/Ha (2 - 6 meses)
90gr/planta x 1200= 108kg/Ha (6 - 12 meses)
Para plátano se usarán 500 gr/planta x 1200= 600 kg/Ha</t>
        </r>
      </text>
    </comment>
    <comment ref="D44" authorId="0" shapeId="0" xr:uid="{00000000-0006-0000-0000-000009000000}">
      <text>
        <r>
          <rPr>
            <sz val="10"/>
            <color rgb="FF000000"/>
            <rFont val="Arial"/>
          </rPr>
          <t>======
ID#AAAALuzgoCs
Orlando    (2021-03-26 11:19:17)
50gr/planta x 1200= 60kg/Ha (0 - 2 meses)
70gr/planta x 1200= 84kg/Ha (2 - 6 meses)
90gr/planta x 1200= 108kg/Ha (6 - 12 meses)
Para plátano se usarán 500 gr/planta x 1200= 600 kg/Ha</t>
        </r>
      </text>
    </comment>
    <comment ref="E44" authorId="0" shapeId="0" xr:uid="{00000000-0006-0000-0000-000007000000}">
      <text>
        <r>
          <rPr>
            <sz val="10"/>
            <color rgb="FF000000"/>
            <rFont val="Arial"/>
          </rPr>
          <t>======
ID#AAAALuzgoC0
Orlando    (2021-03-26 11:19:17)
150gr/planta x 1200= 180 kg/Ha (6 - 12 meses)
Para plátano se usarán 500 gr/planta x 1200= 600 kg/Ha</t>
        </r>
      </text>
    </comment>
    <comment ref="F44" authorId="0" shapeId="0" xr:uid="{00000000-0006-0000-0000-000001000000}">
      <text>
        <r>
          <rPr>
            <sz val="10"/>
            <color rgb="FF000000"/>
            <rFont val="Arial"/>
          </rPr>
          <t>======
ID#AAAALuzgoC8
Orlando    (2021-03-26 11:19:17)
Aplicación de 300gr/planta x 1200= 360kg/Ha</t>
        </r>
      </text>
    </comment>
    <comment ref="A46" authorId="0" shapeId="0" xr:uid="{00000000-0006-0000-0000-000006000000}">
      <text>
        <r>
          <rPr>
            <sz val="10"/>
            <color rgb="FF000000"/>
            <rFont val="Arial"/>
          </rPr>
          <t>======
ID#AAAALuzgoC4
Orlando    (2021-03-26 11:19:17)
Encalar con 290 gr/planta/año.</t>
        </r>
      </text>
    </comment>
    <comment ref="C48" authorId="0" shapeId="0" xr:uid="{00000000-0006-0000-0000-000005000000}">
      <text>
        <r>
          <rPr>
            <sz val="10"/>
            <color rgb="FF000000"/>
            <rFont val="Arial"/>
          </rPr>
          <t>======
ID#AAAALuzgoDA
Orlando    (2021-03-26 11:19:17)
200 gr/planta en la siembra.</t>
        </r>
      </text>
    </comment>
    <comment ref="E48" authorId="0" shapeId="0" xr:uid="{00000000-0006-0000-0000-000003000000}">
      <text>
        <r>
          <rPr>
            <sz val="10"/>
            <color rgb="FF000000"/>
            <rFont val="Arial"/>
          </rPr>
          <t>======
ID#AAAALuzgoDE
Orlando    (2021-03-26 11:19:17)
8 gr/planta</t>
        </r>
      </text>
    </comment>
    <comment ref="A68" authorId="0" shapeId="0" xr:uid="{00000000-0006-0000-0000-00000A000000}">
      <text>
        <r>
          <rPr>
            <sz val="10"/>
            <color rgb="FF000000"/>
            <rFont val="Arial"/>
          </rPr>
          <t>======
ID#AAAALuzgoCk
Orlando    (2021-03-26 11:19:17)
17-6-18-2</t>
        </r>
      </text>
    </comment>
    <comment ref="A70" authorId="0" shapeId="0" xr:uid="{00000000-0006-0000-0000-00000C000000}">
      <text>
        <r>
          <rPr>
            <sz val="10"/>
            <color rgb="FF000000"/>
            <rFont val="Arial"/>
          </rPr>
          <t>======
ID#AAAALuzgoCg
Orlando    (2021-03-26 11:19:17)
Encalar con 290 gr/planta/año.</t>
        </r>
      </text>
    </comment>
    <comment ref="A89" authorId="0" shapeId="0" xr:uid="{00000000-0006-0000-0000-000004000000}">
      <text>
        <r>
          <rPr>
            <sz val="10"/>
            <color rgb="FF000000"/>
            <rFont val="Arial"/>
          </rPr>
          <t>======
ID#AAAALuzgoDI
Orlando    (2021-03-26 11:19:17)
17-6-18-2</t>
        </r>
      </text>
    </comment>
    <comment ref="A91" authorId="0" shapeId="0" xr:uid="{00000000-0006-0000-0000-000002000000}">
      <text>
        <r>
          <rPr>
            <sz val="10"/>
            <color rgb="FF000000"/>
            <rFont val="Arial"/>
          </rPr>
          <t>======
ID#AAAALuzgoDM
Orlando    (2021-03-26 11:19:17)
Encalar con 290 gr/planta/año.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WHDCTetT3o64c/BRzsstobQZwnQ=="/>
    </ext>
  </extLst>
</comments>
</file>

<file path=xl/sharedStrings.xml><?xml version="1.0" encoding="utf-8"?>
<sst xmlns="http://schemas.openxmlformats.org/spreadsheetml/2006/main" count="558" uniqueCount="265">
  <si>
    <t>SISTEMAS  AGROFORESTALES  CON CULTIVOS DE  CACAO, PLATANO Y  MADERABLES</t>
  </si>
  <si>
    <t>SISTEMA AGROFORESTAL DE CACAO - PLATANO - MADERABLE</t>
  </si>
  <si>
    <t>CACAO: distancia de siembra: 3m. X 3m = 1200 arboles / Ha.</t>
  </si>
  <si>
    <t>PLATANO: distancia  de  siembra 3m. X  3m. = 1200 arboles / Ha</t>
  </si>
  <si>
    <t>CEDRO: Distancia  de siembra  21*3 = 158 arboles / Ha</t>
  </si>
  <si>
    <t>AÑOS</t>
  </si>
  <si>
    <t>ACTIVIDAD</t>
  </si>
  <si>
    <t>UNIDAD</t>
  </si>
  <si>
    <t>MANO DE OBRA</t>
  </si>
  <si>
    <t>Preparación del terreno</t>
  </si>
  <si>
    <t>Jornales</t>
  </si>
  <si>
    <t>Trazado y estacado</t>
  </si>
  <si>
    <t>Aplicación de correctivos</t>
  </si>
  <si>
    <t>Ahoyado plátano</t>
  </si>
  <si>
    <t>Ahoyado para maderables</t>
  </si>
  <si>
    <t>Desinfección de colinos de plátano</t>
  </si>
  <si>
    <t>Siembra de colinos de plátano</t>
  </si>
  <si>
    <t>Siembra de árboles maderables</t>
  </si>
  <si>
    <t>Ahoyado para cacao</t>
  </si>
  <si>
    <t>Siembra de cacao</t>
  </si>
  <si>
    <t>Transporte de material vegetal</t>
  </si>
  <si>
    <t>Control de malezas (4 por año)</t>
  </si>
  <si>
    <t>Control fitosanitario plátano</t>
  </si>
  <si>
    <t>Control fitosanitario cacao</t>
  </si>
  <si>
    <t>Fertilización</t>
  </si>
  <si>
    <t>Resiembras de cacao</t>
  </si>
  <si>
    <t>Arreglo sombrío plátano</t>
  </si>
  <si>
    <t>Arreglo sombrío maderables</t>
  </si>
  <si>
    <t>Podas y desplumille</t>
  </si>
  <si>
    <t>Construcción y Mantenimiento de drenajes</t>
  </si>
  <si>
    <t>Cosecha y beneficio del plátano</t>
  </si>
  <si>
    <t>Cosecha y beneficio de cacao</t>
  </si>
  <si>
    <t>TOTAL MANO DE OBRA</t>
  </si>
  <si>
    <t>Número de empleos</t>
  </si>
  <si>
    <t>Empleos</t>
  </si>
  <si>
    <t>Análisis de suelos</t>
  </si>
  <si>
    <t>Und</t>
  </si>
  <si>
    <t>EQUIPOS Y MATERIAL VEGETAL</t>
  </si>
  <si>
    <t>Colino de Plátano</t>
  </si>
  <si>
    <t>Plantulas de cacao injertado</t>
  </si>
  <si>
    <t>Árboles Cedro</t>
  </si>
  <si>
    <t>Bolsa para embolsar racimos</t>
  </si>
  <si>
    <t>Bolsa de 20 kg para empaque</t>
  </si>
  <si>
    <t>AGROQUIMICOS</t>
  </si>
  <si>
    <t>ABONO ORGANICO (Compostaje)</t>
  </si>
  <si>
    <t>Bulto</t>
  </si>
  <si>
    <t>Fertilizantes varios</t>
  </si>
  <si>
    <t>kg</t>
  </si>
  <si>
    <t>Pasta cicatrizante</t>
  </si>
  <si>
    <t>Cal dolomita plátano</t>
  </si>
  <si>
    <t>Cal dolomita cacao</t>
  </si>
  <si>
    <t>Micorrizas</t>
  </si>
  <si>
    <t>Insecticida Ecológico</t>
  </si>
  <si>
    <t>Lts</t>
  </si>
  <si>
    <t>Fungicida Ecológico</t>
  </si>
  <si>
    <t>Biofertilizante foliar</t>
  </si>
  <si>
    <t>MATRIZ DE PRECIOS DE INSUMOS</t>
  </si>
  <si>
    <t>DESCRIPCION DEL INSUMO</t>
  </si>
  <si>
    <t>Vr Mano de Obra.</t>
  </si>
  <si>
    <t>$/Jornal</t>
  </si>
  <si>
    <t>Dotación Industrial</t>
  </si>
  <si>
    <t>Análisis de Suelo</t>
  </si>
  <si>
    <t>$/Und</t>
  </si>
  <si>
    <t>ABONO ORGANICO (Lombricompost)</t>
  </si>
  <si>
    <t>$/Bulto</t>
  </si>
  <si>
    <t>$/kg</t>
  </si>
  <si>
    <t>$/Lts</t>
  </si>
  <si>
    <t>RESULTADOS DE COSTOS</t>
  </si>
  <si>
    <t>$</t>
  </si>
  <si>
    <r>
      <rPr>
        <sz val="11"/>
        <color theme="1"/>
        <rFont val="Tahoma"/>
      </rPr>
      <t>An</t>
    </r>
    <r>
      <rPr>
        <sz val="11"/>
        <color theme="1"/>
        <rFont val="Arial"/>
      </rPr>
      <t>á</t>
    </r>
    <r>
      <rPr>
        <sz val="11"/>
        <color theme="1"/>
        <rFont val="Tahoma"/>
      </rPr>
      <t>lisis de Suelo</t>
    </r>
  </si>
  <si>
    <r>
      <rPr>
        <sz val="11"/>
        <color theme="1"/>
        <rFont val="Arial"/>
      </rPr>
      <t>Á</t>
    </r>
    <r>
      <rPr>
        <sz val="11"/>
        <color theme="1"/>
        <rFont val="Tahoma"/>
      </rPr>
      <t>rboles Nogal</t>
    </r>
  </si>
  <si>
    <t>TOTAL  EGRESOS</t>
  </si>
  <si>
    <t xml:space="preserve">RENDIMIENTOS TOTALES </t>
  </si>
  <si>
    <t>Rendimientos Cacao</t>
  </si>
  <si>
    <t>Kg</t>
  </si>
  <si>
    <t>Rendimientos Plátano (racimo 13 Kg).</t>
  </si>
  <si>
    <t>Rendimientos de  Cedro</t>
  </si>
  <si>
    <t>Rastra</t>
  </si>
  <si>
    <t>Precio de Cacao</t>
  </si>
  <si>
    <t>$/KG</t>
  </si>
  <si>
    <t>Precio de Plátano</t>
  </si>
  <si>
    <t>Venta de Cedro</t>
  </si>
  <si>
    <t>$/RASTRA</t>
  </si>
  <si>
    <t>INGRESOS</t>
  </si>
  <si>
    <t>Venta de Cacao</t>
  </si>
  <si>
    <t>$/AÑO</t>
  </si>
  <si>
    <t>Venta de Plátano</t>
  </si>
  <si>
    <t>TOTAL  INGRESOS</t>
  </si>
  <si>
    <r>
      <rPr>
        <b/>
        <sz val="12"/>
        <color theme="1"/>
        <rFont val="Arial"/>
      </rPr>
      <t>Nota:</t>
    </r>
    <r>
      <rPr>
        <sz val="12"/>
        <color theme="1"/>
        <rFont val="Arial"/>
      </rPr>
      <t xml:space="preserve"> Los costos e ingresos anteriores corresponden a 1 hectárea de producción del sistema agroforestal. El proyecto constará de 5,0 hectáreas, por lo que todos los costos, volúmenes de producción e ingresos, se multiplicarán por este factor.</t>
    </r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</si>
  <si>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</si>
  <si>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</si>
  <si>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</si>
  <si>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</si>
  <si>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</si>
  <si>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</si>
  <si>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</si>
  <si>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</si>
  <si>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</si>
  <si>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</si>
  <si>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TOTAL  EGRESOS PARA 5 Ha</t>
  </si>
  <si>
    <t>RENDIMIENTOS TOTALES (5 Ha)</t>
  </si>
  <si>
    <r>
      <rPr>
        <sz val="11"/>
        <color theme="1"/>
        <rFont val="Tahoma"/>
      </rPr>
      <t>Rendimientos Pl</t>
    </r>
    <r>
      <rPr>
        <sz val="11"/>
        <color theme="1"/>
        <rFont val="Arial"/>
      </rPr>
      <t>á</t>
    </r>
    <r>
      <rPr>
        <sz val="11"/>
        <color theme="1"/>
        <rFont val="Tahoma"/>
      </rPr>
      <t>tano (racimo 13 Kg).</t>
    </r>
  </si>
  <si>
    <t>INGRESOS PARA 5 Ha</t>
  </si>
  <si>
    <t>TOTAL  INGRESOS (5 Ha)</t>
  </si>
  <si>
    <t xml:space="preserve">Para efectos de asignar costos por  Kg o unidad producida, se ponderará la participación en costos acorde a su participación en ingresos. Para el caso del año 1, </t>
  </si>
  <si>
    <t>los costos de este se cargarán al año 2, pues en el año 1 no hay producción.</t>
  </si>
  <si>
    <t>A continuación ponderamos acorde al ingreso de cada producto:</t>
  </si>
  <si>
    <t>PONDERADORES</t>
  </si>
  <si>
    <t>Cacao</t>
  </si>
  <si>
    <r>
      <rPr>
        <b/>
        <sz val="10"/>
        <color theme="1"/>
        <rFont val="Tahoma"/>
      </rPr>
      <t>Pl</t>
    </r>
    <r>
      <rPr>
        <b/>
        <sz val="10"/>
        <color theme="1"/>
        <rFont val="Arial"/>
      </rPr>
      <t>á</t>
    </r>
    <r>
      <rPr>
        <b/>
        <sz val="10"/>
        <color theme="1"/>
        <rFont val="Tahoma"/>
      </rPr>
      <t>tano</t>
    </r>
  </si>
  <si>
    <t>No se tiene en cuenta la producción de Cedro, porque ésta comienza a partir del año 11.</t>
  </si>
  <si>
    <t>COSTOS TOTALES</t>
  </si>
  <si>
    <t>Año 2***</t>
  </si>
  <si>
    <t>Costos Totales</t>
  </si>
  <si>
    <r>
      <rPr>
        <sz val="10"/>
        <color theme="1"/>
        <rFont val="Calibri"/>
      </rPr>
      <t>***Incluye los costos del a</t>
    </r>
    <r>
      <rPr>
        <sz val="10"/>
        <color theme="1"/>
        <rFont val="Arial"/>
      </rPr>
      <t>ñ</t>
    </r>
    <r>
      <rPr>
        <sz val="10"/>
        <color theme="1"/>
        <rFont val="Arial"/>
      </rPr>
      <t>o 1.</t>
    </r>
  </si>
  <si>
    <t>Costos Mano de Obra Total</t>
  </si>
  <si>
    <t>Costos Mano de Obra Cacao</t>
  </si>
  <si>
    <t>Unitario Mano Obra Cacao</t>
  </si>
  <si>
    <t>Costos Mano de Obra Plátano</t>
  </si>
  <si>
    <t>Unitario Mano Obra Plátano</t>
  </si>
  <si>
    <t>Costos Insumos Total</t>
  </si>
  <si>
    <t>Costos Insumos Cacao</t>
  </si>
  <si>
    <t>Unitario Insumo Cacao</t>
  </si>
  <si>
    <t>Costos Insumo Plátano</t>
  </si>
  <si>
    <t>Unitario Insumo Plátano</t>
  </si>
  <si>
    <t>COSTOS TOTALES ASOCIADOS A CADA PRODUCTO</t>
  </si>
  <si>
    <r>
      <rPr>
        <b/>
        <sz val="10"/>
        <color theme="1"/>
        <rFont val="Tahoma"/>
      </rPr>
      <t>Pl</t>
    </r>
    <r>
      <rPr>
        <b/>
        <sz val="10"/>
        <color theme="1"/>
        <rFont val="Arial"/>
      </rPr>
      <t>á</t>
    </r>
    <r>
      <rPr>
        <b/>
        <sz val="10"/>
        <color theme="1"/>
        <rFont val="Tahoma"/>
      </rPr>
      <t>tano</t>
    </r>
  </si>
  <si>
    <t>COSTOS UNITARIOS ASOCIADOS A CADA PRODUCTO</t>
  </si>
  <si>
    <t>Cacao ($/Kg)</t>
  </si>
  <si>
    <r>
      <rPr>
        <b/>
        <sz val="10"/>
        <color theme="1"/>
        <rFont val="Tahoma"/>
      </rPr>
      <t>Pl</t>
    </r>
    <r>
      <rPr>
        <b/>
        <sz val="10"/>
        <color theme="1"/>
        <rFont val="Arial"/>
      </rPr>
      <t>á</t>
    </r>
    <r>
      <rPr>
        <b/>
        <sz val="10"/>
        <color theme="1"/>
        <rFont val="Tahoma"/>
      </rPr>
      <t>tano ($/Kg)</t>
    </r>
  </si>
  <si>
    <t>Se plantean 4 operarios:</t>
  </si>
  <si>
    <t>Frec./Año</t>
  </si>
  <si>
    <t>Operarios</t>
  </si>
  <si>
    <t>Cantidad</t>
  </si>
  <si>
    <t>Unitario</t>
  </si>
  <si>
    <t>Total</t>
  </si>
  <si>
    <t>Vr/Operario</t>
  </si>
  <si>
    <t>Botas de Caucho</t>
  </si>
  <si>
    <t>Overol</t>
  </si>
  <si>
    <t>Careta</t>
  </si>
  <si>
    <t>Guantes</t>
  </si>
  <si>
    <t>Total/Año</t>
  </si>
  <si>
    <t>Total/mes</t>
  </si>
  <si>
    <t>COSTOS INDIRECTOS</t>
  </si>
  <si>
    <t>Valor/Mes</t>
  </si>
  <si>
    <t>Valor/Año 1</t>
  </si>
  <si>
    <t>Valor/Año 2</t>
  </si>
  <si>
    <t>Servicios Publicos</t>
  </si>
  <si>
    <t>Plan de Celular</t>
  </si>
  <si>
    <t>Suministros Oficina</t>
  </si>
  <si>
    <t>OTROS COSTOS DE FABRICACION</t>
  </si>
  <si>
    <t>COSTOS ADMINISTRATIVOS</t>
  </si>
  <si>
    <t>Valor/mes</t>
  </si>
  <si>
    <t>Prestaciones</t>
  </si>
  <si>
    <t>Total/Año 1</t>
  </si>
  <si>
    <t>Gerente</t>
  </si>
  <si>
    <t>Contador</t>
  </si>
  <si>
    <t>GASTOS ADMINISTRATIVOS</t>
  </si>
  <si>
    <t>Asistente Técnico</t>
  </si>
  <si>
    <t xml:space="preserve">TOTAL </t>
  </si>
  <si>
    <t>COSTOS  DE VENTAS</t>
  </si>
  <si>
    <t>Flete Marfil - Manizales para Cacao ($/Kg)</t>
  </si>
  <si>
    <t>Flete Marfil - Pto Boyacá para Plátano($/Kg)</t>
  </si>
  <si>
    <t>Empaques:</t>
  </si>
  <si>
    <t>Producto</t>
  </si>
  <si>
    <t>Empaque</t>
  </si>
  <si>
    <t>Costo Unitario</t>
  </si>
  <si>
    <t>Capacidad</t>
  </si>
  <si>
    <t>Costal de Fique 3 Rayas</t>
  </si>
  <si>
    <t>Bolsa de 20 kg para empaque de Plátano</t>
  </si>
  <si>
    <t>Bolsa de polipropileno de baja densidad</t>
  </si>
  <si>
    <t>RESUMEN COSTO DE VENTAS</t>
  </si>
  <si>
    <t>Año 1 y 2</t>
  </si>
  <si>
    <t>Plátano</t>
  </si>
  <si>
    <t>GASTOS DE VENTAS</t>
  </si>
  <si>
    <t>INVERSION PROYECTO CACAO AGROFORESTAL "INVERSIONES BELLA VISTA"</t>
  </si>
  <si>
    <t>MAQUINARIA Y EQUIPO</t>
  </si>
  <si>
    <t>Descripción</t>
  </si>
  <si>
    <t>Valor Unitario</t>
  </si>
  <si>
    <t>Valor Total</t>
  </si>
  <si>
    <t>Canecas de 200 L</t>
  </si>
  <si>
    <t>Balde Plástico</t>
  </si>
  <si>
    <t>Máquina aspersora</t>
  </si>
  <si>
    <t>Tijera Podadora</t>
  </si>
  <si>
    <t>Palin</t>
  </si>
  <si>
    <t>Machete</t>
  </si>
  <si>
    <t>Bascula x 100 Kg</t>
  </si>
  <si>
    <t>Medialuna</t>
  </si>
  <si>
    <t>SUBTOTAL</t>
  </si>
  <si>
    <t>EQUIPOS DE OFICINA</t>
  </si>
  <si>
    <t>Equipo de cómputo con impresora</t>
  </si>
  <si>
    <t>CONSTRUCCIONES Y EDIFICIOS</t>
  </si>
  <si>
    <t>Observaciones</t>
  </si>
  <si>
    <t>Bodega Almacenamiento *</t>
  </si>
  <si>
    <t>Global</t>
  </si>
  <si>
    <t>Ver descripción del item en la parte inferior</t>
  </si>
  <si>
    <t>Construcción Beneficiadero</t>
  </si>
  <si>
    <t>CULTIVOS PERMANENTES</t>
  </si>
  <si>
    <t>Adecuación del Terreno **</t>
  </si>
  <si>
    <t>Material Vegetal y Empaque ***</t>
  </si>
  <si>
    <t>TOTAL INVERSION</t>
  </si>
  <si>
    <t>Bodega de almacenamiento</t>
  </si>
  <si>
    <t>Valor unitario</t>
  </si>
  <si>
    <t>Bloques</t>
  </si>
  <si>
    <t>Varilla 1/2"</t>
  </si>
  <si>
    <t>Varilla 1/4"</t>
  </si>
  <si>
    <t>Cemento</t>
  </si>
  <si>
    <t>Perfil (3cmx4cmx4mt)</t>
  </si>
  <si>
    <t>Zinc (3mt)</t>
  </si>
  <si>
    <t>Zinc (4mt)</t>
  </si>
  <si>
    <t>Arena</t>
  </si>
  <si>
    <t>Arenon</t>
  </si>
  <si>
    <t>Gravilla</t>
  </si>
  <si>
    <t>Mano de Obra</t>
  </si>
  <si>
    <t>Ventana</t>
  </si>
  <si>
    <t>Puerta</t>
  </si>
  <si>
    <t>Flete</t>
  </si>
  <si>
    <t>Beneficiadero</t>
  </si>
  <si>
    <t>Fermentación</t>
  </si>
  <si>
    <t>Cajones de Madera</t>
  </si>
  <si>
    <t>Secado</t>
  </si>
  <si>
    <t>Tejas de Zinc</t>
  </si>
  <si>
    <t>Estructura Madera</t>
  </si>
  <si>
    <t>Pasera 2x2</t>
  </si>
  <si>
    <t>ADECUACION DE TERRENO ***</t>
  </si>
  <si>
    <t>Actividad</t>
  </si>
  <si>
    <t>Unidad</t>
  </si>
  <si>
    <t>Vr/Unitario</t>
  </si>
  <si>
    <t>Vr/Total</t>
  </si>
  <si>
    <t>TOTAL</t>
  </si>
  <si>
    <t>Multiplicar por 5 Ha.</t>
  </si>
  <si>
    <t>RECURSOS SOLICITADOS AL FONDO EMPRENDER</t>
  </si>
  <si>
    <t>Inversión</t>
  </si>
  <si>
    <t>Capital de Trabajo</t>
  </si>
  <si>
    <t>SMMLV</t>
  </si>
  <si>
    <t>N° SMMLV</t>
  </si>
  <si>
    <t>CAPITAL DE TRABAJO PROYECTO CACAO AGROFORESTAL</t>
  </si>
  <si>
    <t>Observación</t>
  </si>
  <si>
    <t>Incluye Año y Cuatro meses</t>
  </si>
  <si>
    <t>Insumos</t>
  </si>
  <si>
    <t>2 meses</t>
  </si>
  <si>
    <t>1 Año</t>
  </si>
  <si>
    <t>Asistencia Técnica</t>
  </si>
  <si>
    <t>6 meses</t>
  </si>
  <si>
    <t>1 Mes</t>
  </si>
  <si>
    <t>Costo Empaque y Flete Plátano</t>
  </si>
  <si>
    <t>2 Meses (2° Año)</t>
  </si>
  <si>
    <t>Gastos de Constitución</t>
  </si>
  <si>
    <t>1 Vez</t>
  </si>
  <si>
    <t xml:space="preserve">Total </t>
  </si>
  <si>
    <t>GASTOS ANTICIPADOS</t>
  </si>
  <si>
    <t>Registro Mercantil</t>
  </si>
  <si>
    <t>Impuestos</t>
  </si>
  <si>
    <t>RENDIMIENTOS TOTALES (3 Ha)</t>
  </si>
  <si>
    <r>
      <rPr>
        <sz val="11"/>
        <color theme="1"/>
        <rFont val="Tahoma"/>
      </rPr>
      <t>Rendimientos Pl</t>
    </r>
    <r>
      <rPr>
        <sz val="11"/>
        <color theme="1"/>
        <rFont val="Arial"/>
      </rPr>
      <t>á</t>
    </r>
    <r>
      <rPr>
        <sz val="11"/>
        <color theme="1"/>
        <rFont val="Tahoma"/>
      </rPr>
      <t xml:space="preserve">tano </t>
    </r>
  </si>
  <si>
    <t>Rendimientos de  Nogal</t>
  </si>
  <si>
    <t>Venta de Nogal</t>
  </si>
  <si>
    <t>EGRESOS PARA 5 Ha</t>
  </si>
  <si>
    <t>Egresos Operativos</t>
  </si>
  <si>
    <t>Subtotal</t>
  </si>
  <si>
    <t>Egresos Administrativos</t>
  </si>
  <si>
    <t>Egresos de Ventas</t>
  </si>
  <si>
    <t>Egresos indirectos</t>
  </si>
  <si>
    <t>TOTAL EGRESOS PARA 5 Ha</t>
  </si>
  <si>
    <t>FLUJO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</si>
</sst>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&quot;$&quot;#,##0"/>
    <numFmt numFmtId="166" formatCode="#,##0.000"/>
    <numFmt numFmtId="167" formatCode="0.0%"/>
    <numFmt numFmtId="168" formatCode="&quot;$&quot;#,##0.00"/>
    <numFmt numFmtId="169" formatCode="&quot;$&quot;\ #,##0;[Red]&quot;$&quot;\ \-#,##0"/>
    <numFmt numFmtId="170" formatCode="&quot;$&quot;\ #,##0"/>
    <numFmt numFmtId="171" formatCode="&quot;$&quot;\ #,##0.0"/>
    <numFmt numFmtId="172" formatCode="_ &quot;$&quot;\ * #,##0_ ;_ &quot;$&quot;\ * \-#,##0_ ;_ &quot;$&quot;\ * &quot;-&quot;??_ ;_ @_ "/>
  </numFmts>
  <fonts count="32" x14ac:knownFonts="1">
    <font>
      <sz val="10"/>
      <color rgb="FF000000"/>
      <name val="Arial"/>
    </font>
    <font>
      <b/>
      <sz val="14"/>
      <color theme="1"/>
      <name val="Tahoma"/>
    </font>
    <font>
      <sz val="11"/>
      <color theme="1"/>
      <name val="Tahoma"/>
    </font>
    <font>
      <b/>
      <sz val="12"/>
      <color rgb="FF0000FF"/>
      <name val="Tahoma"/>
    </font>
    <font>
      <sz val="10"/>
      <name val="Arial"/>
    </font>
    <font>
      <sz val="12"/>
      <color theme="1"/>
      <name val="Arial"/>
    </font>
    <font>
      <b/>
      <sz val="11"/>
      <color theme="1"/>
      <name val="Tahoma"/>
    </font>
    <font>
      <b/>
      <sz val="10"/>
      <color rgb="FFFFFFFF"/>
      <name val="Tahoma"/>
    </font>
    <font>
      <sz val="11"/>
      <color rgb="FFFFFFFF"/>
      <name val="Tahoma"/>
    </font>
    <font>
      <b/>
      <sz val="12"/>
      <color rgb="FFFFFFFF"/>
      <name val="Tahoma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</font>
    <font>
      <b/>
      <sz val="11"/>
      <color rgb="FF0000FF"/>
      <name val="Arial"/>
    </font>
    <font>
      <b/>
      <sz val="10"/>
      <color theme="1"/>
      <name val="Tahoma"/>
    </font>
    <font>
      <b/>
      <sz val="12"/>
      <color theme="1"/>
      <name val="Tahoma"/>
    </font>
    <font>
      <b/>
      <sz val="12"/>
      <color theme="1"/>
      <name val="Arial"/>
    </font>
    <font>
      <sz val="10"/>
      <color theme="1"/>
      <name val="Calibri"/>
    </font>
    <font>
      <b/>
      <i/>
      <u/>
      <sz val="10"/>
      <color theme="1"/>
      <name val="Arial"/>
    </font>
    <font>
      <b/>
      <sz val="10"/>
      <color theme="1"/>
      <name val="Arial"/>
    </font>
    <font>
      <b/>
      <i/>
      <u/>
      <sz val="10"/>
      <color theme="1"/>
      <name val="Arial"/>
    </font>
    <font>
      <b/>
      <i/>
      <u/>
      <sz val="12"/>
      <color theme="1"/>
      <name val="Arial"/>
    </font>
    <font>
      <b/>
      <i/>
      <u/>
      <sz val="10"/>
      <color theme="1"/>
      <name val="Arial"/>
    </font>
    <font>
      <b/>
      <i/>
      <u/>
      <sz val="10"/>
      <color theme="1"/>
      <name val="Arial"/>
    </font>
    <font>
      <b/>
      <i/>
      <u/>
      <sz val="10"/>
      <color theme="1"/>
      <name val="Arial"/>
    </font>
    <font>
      <b/>
      <i/>
      <u/>
      <sz val="10"/>
      <color theme="1"/>
      <name val="Arial"/>
    </font>
    <font>
      <b/>
      <sz val="14"/>
      <color theme="1"/>
      <name val="Arial"/>
    </font>
    <font>
      <i/>
      <u/>
      <sz val="12"/>
      <color theme="1"/>
      <name val="Arial"/>
    </font>
    <font>
      <i/>
      <u/>
      <sz val="12"/>
      <color theme="1"/>
      <name val="Arial"/>
    </font>
    <font>
      <sz val="10"/>
      <color theme="1"/>
      <name val="Tahoma"/>
    </font>
    <font>
      <b/>
      <u/>
      <sz val="12"/>
      <color theme="1"/>
      <name val="Tahoma"/>
    </font>
    <font>
      <b/>
      <i/>
      <u/>
      <sz val="12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99CCFF"/>
        <bgColor rgb="FF99CCFF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  <fill>
      <patternFill patternType="solid">
        <fgColor rgb="FFFABF8F"/>
        <bgColor rgb="FFFABF8F"/>
      </patternFill>
    </fill>
    <fill>
      <patternFill patternType="solid">
        <fgColor rgb="FF95B3D7"/>
        <bgColor rgb="FF95B3D7"/>
      </patternFill>
    </fill>
    <fill>
      <patternFill patternType="solid">
        <fgColor theme="9"/>
        <bgColor theme="9"/>
      </patternFill>
    </fill>
    <fill>
      <patternFill patternType="solid">
        <fgColor rgb="FFCCC0D9"/>
        <bgColor rgb="FFCCC0D9"/>
      </patternFill>
    </fill>
  </fills>
  <borders count="8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5" xfId="0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6" xfId="0" applyFont="1" applyBorder="1"/>
    <xf numFmtId="0" fontId="8" fillId="0" borderId="7" xfId="0" applyFont="1" applyBorder="1" applyAlignment="1">
      <alignment horizontal="center"/>
    </xf>
    <xf numFmtId="0" fontId="3" fillId="4" borderId="11" xfId="0" applyFont="1" applyFill="1" applyBorder="1"/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10" fillId="0" borderId="12" xfId="0" applyFont="1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/>
    <xf numFmtId="0" fontId="11" fillId="0" borderId="18" xfId="0" applyFont="1" applyBorder="1"/>
    <xf numFmtId="0" fontId="11" fillId="0" borderId="19" xfId="0" applyFont="1" applyBorder="1"/>
    <xf numFmtId="0" fontId="11" fillId="0" borderId="20" xfId="0" applyFont="1" applyBorder="1" applyAlignment="1">
      <alignment vertical="top" wrapText="1"/>
    </xf>
    <xf numFmtId="0" fontId="11" fillId="0" borderId="21" xfId="0" applyFont="1" applyBorder="1" applyAlignment="1">
      <alignment horizontal="center" vertical="top" wrapText="1"/>
    </xf>
    <xf numFmtId="0" fontId="11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2" xfId="0" applyFont="1" applyBorder="1" applyAlignment="1">
      <alignment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23" xfId="0" applyFont="1" applyBorder="1" applyAlignment="1">
      <alignment vertical="top" wrapText="1"/>
    </xf>
    <xf numFmtId="0" fontId="11" fillId="0" borderId="24" xfId="0" applyFont="1" applyBorder="1" applyAlignment="1">
      <alignment horizontal="center" vertical="top" wrapText="1"/>
    </xf>
    <xf numFmtId="0" fontId="11" fillId="0" borderId="24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0" fillId="0" borderId="28" xfId="0" applyFont="1" applyBorder="1" applyAlignment="1">
      <alignment vertical="top" wrapText="1"/>
    </xf>
    <xf numFmtId="0" fontId="11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1" fillId="0" borderId="1" xfId="0" applyFont="1" applyBorder="1" applyAlignment="1">
      <alignment vertical="top" wrapText="1"/>
    </xf>
    <xf numFmtId="164" fontId="11" fillId="0" borderId="17" xfId="0" applyNumberFormat="1" applyFont="1" applyBorder="1" applyAlignment="1">
      <alignment horizontal="center" vertical="top" wrapText="1"/>
    </xf>
    <xf numFmtId="164" fontId="11" fillId="0" borderId="18" xfId="0" applyNumberFormat="1" applyFont="1" applyBorder="1" applyAlignment="1">
      <alignment horizontal="center" vertical="top" wrapText="1"/>
    </xf>
    <xf numFmtId="0" fontId="11" fillId="0" borderId="33" xfId="0" applyFont="1" applyBorder="1" applyAlignment="1">
      <alignment vertical="top" wrapText="1"/>
    </xf>
    <xf numFmtId="0" fontId="11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0" borderId="38" xfId="0" applyFont="1" applyBorder="1"/>
    <xf numFmtId="0" fontId="11" fillId="0" borderId="3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11" fillId="0" borderId="22" xfId="0" applyFont="1" applyBorder="1"/>
    <xf numFmtId="0" fontId="11" fillId="0" borderId="17" xfId="0" applyFont="1" applyBorder="1" applyAlignment="1">
      <alignment horizontal="center"/>
    </xf>
    <xf numFmtId="0" fontId="11" fillId="5" borderId="43" xfId="0" applyFont="1" applyFill="1" applyBorder="1"/>
    <xf numFmtId="0" fontId="11" fillId="0" borderId="23" xfId="0" applyFont="1" applyBorder="1"/>
    <xf numFmtId="0" fontId="11" fillId="0" borderId="24" xfId="0" applyFont="1" applyBorder="1" applyAlignment="1">
      <alignment horizontal="center"/>
    </xf>
    <xf numFmtId="0" fontId="11" fillId="5" borderId="44" xfId="0" applyFont="1" applyFill="1" applyBorder="1"/>
    <xf numFmtId="0" fontId="10" fillId="0" borderId="45" xfId="0" applyFont="1" applyBorder="1"/>
    <xf numFmtId="0" fontId="11" fillId="0" borderId="12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20" xfId="0" applyFont="1" applyBorder="1"/>
    <xf numFmtId="0" fontId="11" fillId="0" borderId="47" xfId="0" applyFont="1" applyBorder="1" applyAlignment="1">
      <alignment horizontal="center"/>
    </xf>
    <xf numFmtId="0" fontId="11" fillId="0" borderId="48" xfId="0" applyFont="1" applyBorder="1" applyAlignment="1">
      <alignment horizontal="center"/>
    </xf>
    <xf numFmtId="3" fontId="11" fillId="0" borderId="41" xfId="0" applyNumberFormat="1" applyFont="1" applyBorder="1" applyAlignment="1">
      <alignment horizontal="center"/>
    </xf>
    <xf numFmtId="0" fontId="11" fillId="0" borderId="49" xfId="0" applyFont="1" applyBorder="1" applyAlignment="1">
      <alignment horizontal="center"/>
    </xf>
    <xf numFmtId="0" fontId="11" fillId="0" borderId="50" xfId="0" applyFont="1" applyBorder="1" applyAlignment="1">
      <alignment horizontal="center"/>
    </xf>
    <xf numFmtId="0" fontId="11" fillId="0" borderId="51" xfId="0" applyFont="1" applyBorder="1"/>
    <xf numFmtId="0" fontId="11" fillId="0" borderId="52" xfId="0" applyFont="1" applyBorder="1" applyAlignment="1">
      <alignment horizontal="center"/>
    </xf>
    <xf numFmtId="0" fontId="11" fillId="0" borderId="53" xfId="0" applyFont="1" applyBorder="1" applyAlignment="1">
      <alignment horizontal="center"/>
    </xf>
    <xf numFmtId="0" fontId="11" fillId="0" borderId="54" xfId="0" applyFont="1" applyBorder="1" applyAlignment="1">
      <alignment horizontal="center"/>
    </xf>
    <xf numFmtId="0" fontId="11" fillId="0" borderId="55" xfId="0" applyFont="1" applyBorder="1" applyAlignment="1">
      <alignment horizontal="center"/>
    </xf>
    <xf numFmtId="0" fontId="12" fillId="0" borderId="0" xfId="0" applyFont="1"/>
    <xf numFmtId="0" fontId="11" fillId="0" borderId="58" xfId="0" applyFont="1" applyBorder="1"/>
    <xf numFmtId="0" fontId="11" fillId="0" borderId="12" xfId="0" applyFont="1" applyBorder="1"/>
    <xf numFmtId="0" fontId="13" fillId="4" borderId="13" xfId="0" applyFont="1" applyFill="1" applyBorder="1" applyAlignment="1">
      <alignment horizontal="center"/>
    </xf>
    <xf numFmtId="0" fontId="13" fillId="4" borderId="14" xfId="0" applyFont="1" applyFill="1" applyBorder="1" applyAlignment="1">
      <alignment horizontal="center"/>
    </xf>
    <xf numFmtId="0" fontId="13" fillId="4" borderId="15" xfId="0" applyFont="1" applyFill="1" applyBorder="1" applyAlignment="1">
      <alignment horizontal="center"/>
    </xf>
    <xf numFmtId="165" fontId="11" fillId="0" borderId="21" xfId="0" applyNumberFormat="1" applyFont="1" applyBorder="1" applyAlignment="1">
      <alignment horizontal="center"/>
    </xf>
    <xf numFmtId="165" fontId="11" fillId="0" borderId="59" xfId="0" applyNumberFormat="1" applyFont="1" applyBorder="1" applyAlignment="1">
      <alignment horizontal="center"/>
    </xf>
    <xf numFmtId="165" fontId="11" fillId="0" borderId="60" xfId="0" applyNumberFormat="1" applyFont="1" applyBorder="1" applyAlignment="1">
      <alignment horizontal="center"/>
    </xf>
    <xf numFmtId="165" fontId="11" fillId="0" borderId="17" xfId="0" applyNumberFormat="1" applyFont="1" applyBorder="1" applyAlignment="1">
      <alignment horizontal="center"/>
    </xf>
    <xf numFmtId="165" fontId="11" fillId="0" borderId="18" xfId="0" applyNumberFormat="1" applyFont="1" applyBorder="1" applyAlignment="1">
      <alignment horizontal="center"/>
    </xf>
    <xf numFmtId="165" fontId="11" fillId="0" borderId="19" xfId="0" applyNumberFormat="1" applyFont="1" applyBorder="1" applyAlignment="1">
      <alignment horizontal="center"/>
    </xf>
    <xf numFmtId="0" fontId="10" fillId="0" borderId="22" xfId="0" applyFont="1" applyBorder="1"/>
    <xf numFmtId="165" fontId="11" fillId="5" borderId="18" xfId="0" applyNumberFormat="1" applyFont="1" applyFill="1" applyBorder="1" applyAlignment="1">
      <alignment horizontal="center"/>
    </xf>
    <xf numFmtId="165" fontId="11" fillId="5" borderId="19" xfId="0" applyNumberFormat="1" applyFont="1" applyFill="1" applyBorder="1" applyAlignment="1">
      <alignment horizontal="center"/>
    </xf>
    <xf numFmtId="165" fontId="11" fillId="0" borderId="24" xfId="0" applyNumberFormat="1" applyFont="1" applyBorder="1" applyAlignment="1">
      <alignment horizontal="center"/>
    </xf>
    <xf numFmtId="165" fontId="11" fillId="5" borderId="61" xfId="0" applyNumberFormat="1" applyFont="1" applyFill="1" applyBorder="1" applyAlignment="1">
      <alignment horizontal="center"/>
    </xf>
    <xf numFmtId="165" fontId="11" fillId="0" borderId="46" xfId="0" applyNumberFormat="1" applyFont="1" applyBorder="1" applyAlignment="1">
      <alignment horizontal="center"/>
    </xf>
    <xf numFmtId="165" fontId="11" fillId="0" borderId="14" xfId="0" applyNumberFormat="1" applyFont="1" applyBorder="1" applyAlignment="1">
      <alignment horizontal="center"/>
    </xf>
    <xf numFmtId="165" fontId="11" fillId="0" borderId="15" xfId="0" applyNumberFormat="1" applyFont="1" applyBorder="1" applyAlignment="1">
      <alignment horizontal="center"/>
    </xf>
    <xf numFmtId="165" fontId="11" fillId="0" borderId="62" xfId="0" applyNumberFormat="1" applyFont="1" applyBorder="1" applyAlignment="1">
      <alignment horizontal="center"/>
    </xf>
    <xf numFmtId="165" fontId="11" fillId="0" borderId="54" xfId="0" applyNumberFormat="1" applyFont="1" applyBorder="1" applyAlignment="1">
      <alignment horizontal="center"/>
    </xf>
    <xf numFmtId="165" fontId="11" fillId="0" borderId="55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6" fillId="8" borderId="12" xfId="0" applyFont="1" applyFill="1" applyBorder="1"/>
    <xf numFmtId="0" fontId="2" fillId="8" borderId="12" xfId="0" applyFont="1" applyFill="1" applyBorder="1"/>
    <xf numFmtId="0" fontId="3" fillId="8" borderId="13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2" fillId="0" borderId="20" xfId="0" applyFont="1" applyBorder="1"/>
    <xf numFmtId="0" fontId="2" fillId="0" borderId="39" xfId="0" applyFont="1" applyBorder="1" applyAlignment="1">
      <alignment horizontal="center"/>
    </xf>
    <xf numFmtId="165" fontId="2" fillId="0" borderId="48" xfId="0" applyNumberFormat="1" applyFont="1" applyBorder="1" applyAlignment="1">
      <alignment horizontal="center"/>
    </xf>
    <xf numFmtId="165" fontId="2" fillId="0" borderId="41" xfId="0" applyNumberFormat="1" applyFont="1" applyBorder="1" applyAlignment="1">
      <alignment horizontal="center"/>
    </xf>
    <xf numFmtId="165" fontId="2" fillId="0" borderId="42" xfId="0" applyNumberFormat="1" applyFont="1" applyBorder="1" applyAlignment="1">
      <alignment horizontal="center"/>
    </xf>
    <xf numFmtId="0" fontId="2" fillId="0" borderId="58" xfId="0" applyFont="1" applyBorder="1"/>
    <xf numFmtId="0" fontId="2" fillId="0" borderId="63" xfId="0" applyFont="1" applyBorder="1" applyAlignment="1">
      <alignment horizontal="center"/>
    </xf>
    <xf numFmtId="165" fontId="2" fillId="0" borderId="64" xfId="0" applyNumberFormat="1" applyFont="1" applyBorder="1" applyAlignment="1">
      <alignment horizontal="center"/>
    </xf>
    <xf numFmtId="165" fontId="2" fillId="0" borderId="24" xfId="0" applyNumberFormat="1" applyFont="1" applyBorder="1" applyAlignment="1">
      <alignment horizontal="center"/>
    </xf>
    <xf numFmtId="165" fontId="2" fillId="0" borderId="65" xfId="0" applyNumberFormat="1" applyFont="1" applyBorder="1" applyAlignment="1">
      <alignment horizontal="center"/>
    </xf>
    <xf numFmtId="0" fontId="2" fillId="0" borderId="23" xfId="0" applyFont="1" applyBorder="1"/>
    <xf numFmtId="0" fontId="2" fillId="0" borderId="25" xfId="0" applyFont="1" applyBorder="1" applyAlignment="1">
      <alignment horizontal="center"/>
    </xf>
    <xf numFmtId="165" fontId="2" fillId="0" borderId="53" xfId="0" applyNumberFormat="1" applyFont="1" applyBorder="1" applyAlignment="1">
      <alignment horizontal="center"/>
    </xf>
    <xf numFmtId="165" fontId="2" fillId="0" borderId="54" xfId="0" applyNumberFormat="1" applyFont="1" applyBorder="1" applyAlignment="1">
      <alignment horizontal="center"/>
    </xf>
    <xf numFmtId="165" fontId="2" fillId="0" borderId="55" xfId="0" applyNumberFormat="1" applyFont="1" applyBorder="1" applyAlignment="1">
      <alignment horizontal="center"/>
    </xf>
    <xf numFmtId="0" fontId="14" fillId="0" borderId="45" xfId="0" applyFont="1" applyBorder="1"/>
    <xf numFmtId="0" fontId="2" fillId="0" borderId="12" xfId="0" applyFont="1" applyBorder="1" applyAlignment="1">
      <alignment horizontal="center"/>
    </xf>
    <xf numFmtId="165" fontId="2" fillId="0" borderId="46" xfId="0" applyNumberFormat="1" applyFont="1" applyBorder="1" applyAlignment="1">
      <alignment horizontal="center"/>
    </xf>
    <xf numFmtId="165" fontId="2" fillId="0" borderId="14" xfId="0" applyNumberFormat="1" applyFont="1" applyBorder="1" applyAlignment="1">
      <alignment horizontal="center"/>
    </xf>
    <xf numFmtId="165" fontId="2" fillId="0" borderId="15" xfId="0" applyNumberFormat="1" applyFont="1" applyBorder="1" applyAlignment="1">
      <alignment horizontal="center"/>
    </xf>
    <xf numFmtId="0" fontId="2" fillId="0" borderId="22" xfId="0" applyFont="1" applyBorder="1"/>
    <xf numFmtId="0" fontId="2" fillId="0" borderId="16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165" fontId="2" fillId="0" borderId="18" xfId="0" applyNumberFormat="1" applyFont="1" applyBorder="1" applyAlignment="1">
      <alignment horizontal="center"/>
    </xf>
    <xf numFmtId="165" fontId="2" fillId="0" borderId="19" xfId="0" applyNumberFormat="1" applyFont="1" applyBorder="1" applyAlignment="1">
      <alignment horizontal="center"/>
    </xf>
    <xf numFmtId="0" fontId="6" fillId="0" borderId="45" xfId="0" applyFont="1" applyBorder="1"/>
    <xf numFmtId="0" fontId="2" fillId="0" borderId="47" xfId="0" applyFont="1" applyBorder="1" applyAlignment="1">
      <alignment horizontal="center"/>
    </xf>
    <xf numFmtId="165" fontId="2" fillId="0" borderId="49" xfId="0" applyNumberFormat="1" applyFont="1" applyBorder="1" applyAlignment="1">
      <alignment horizontal="center"/>
    </xf>
    <xf numFmtId="0" fontId="15" fillId="0" borderId="45" xfId="0" applyFont="1" applyBorder="1"/>
    <xf numFmtId="0" fontId="6" fillId="0" borderId="12" xfId="0" applyFont="1" applyBorder="1" applyAlignment="1">
      <alignment horizontal="center"/>
    </xf>
    <xf numFmtId="165" fontId="6" fillId="0" borderId="46" xfId="0" applyNumberFormat="1" applyFont="1" applyBorder="1" applyAlignment="1">
      <alignment horizontal="center"/>
    </xf>
    <xf numFmtId="165" fontId="6" fillId="0" borderId="14" xfId="0" applyNumberFormat="1" applyFont="1" applyBorder="1" applyAlignment="1">
      <alignment horizontal="center"/>
    </xf>
    <xf numFmtId="165" fontId="6" fillId="0" borderId="15" xfId="0" applyNumberFormat="1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2" fillId="0" borderId="38" xfId="0" applyFont="1" applyBorder="1"/>
    <xf numFmtId="0" fontId="2" fillId="0" borderId="48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" fontId="2" fillId="0" borderId="18" xfId="0" applyNumberFormat="1" applyFont="1" applyBorder="1" applyAlignment="1">
      <alignment horizontal="center"/>
    </xf>
    <xf numFmtId="1" fontId="2" fillId="0" borderId="19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3" fontId="2" fillId="0" borderId="49" xfId="0" applyNumberFormat="1" applyFont="1" applyBorder="1"/>
    <xf numFmtId="3" fontId="2" fillId="0" borderId="18" xfId="0" applyNumberFormat="1" applyFont="1" applyBorder="1"/>
    <xf numFmtId="3" fontId="2" fillId="0" borderId="19" xfId="0" applyNumberFormat="1" applyFont="1" applyBorder="1"/>
    <xf numFmtId="165" fontId="2" fillId="0" borderId="26" xfId="0" applyNumberFormat="1" applyFont="1" applyBorder="1" applyAlignment="1">
      <alignment horizontal="center"/>
    </xf>
    <xf numFmtId="165" fontId="2" fillId="0" borderId="27" xfId="0" applyNumberFormat="1" applyFont="1" applyBorder="1" applyAlignment="1">
      <alignment horizontal="center"/>
    </xf>
    <xf numFmtId="0" fontId="2" fillId="0" borderId="51" xfId="0" applyFont="1" applyBorder="1"/>
    <xf numFmtId="0" fontId="2" fillId="0" borderId="52" xfId="0" applyFont="1" applyBorder="1" applyAlignment="1">
      <alignment horizontal="center"/>
    </xf>
    <xf numFmtId="0" fontId="14" fillId="0" borderId="0" xfId="0" applyFont="1"/>
    <xf numFmtId="166" fontId="2" fillId="0" borderId="46" xfId="0" applyNumberFormat="1" applyFont="1" applyBorder="1"/>
    <xf numFmtId="3" fontId="2" fillId="0" borderId="14" xfId="0" applyNumberFormat="1" applyFont="1" applyBorder="1"/>
    <xf numFmtId="3" fontId="2" fillId="0" borderId="15" xfId="0" applyNumberFormat="1" applyFont="1" applyBorder="1"/>
    <xf numFmtId="0" fontId="2" fillId="0" borderId="66" xfId="0" applyFont="1" applyBorder="1"/>
    <xf numFmtId="165" fontId="2" fillId="0" borderId="6" xfId="0" applyNumberFormat="1" applyFont="1" applyBorder="1" applyAlignment="1">
      <alignment horizontal="center"/>
    </xf>
    <xf numFmtId="165" fontId="2" fillId="0" borderId="31" xfId="0" applyNumberFormat="1" applyFont="1" applyBorder="1" applyAlignment="1">
      <alignment horizontal="center"/>
    </xf>
    <xf numFmtId="165" fontId="2" fillId="0" borderId="32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16" fillId="0" borderId="0" xfId="0" applyFont="1" applyAlignment="1">
      <alignment horizontal="center"/>
    </xf>
    <xf numFmtId="165" fontId="6" fillId="0" borderId="56" xfId="0" applyNumberFormat="1" applyFont="1" applyBorder="1" applyAlignment="1">
      <alignment horizontal="center"/>
    </xf>
    <xf numFmtId="0" fontId="15" fillId="0" borderId="0" xfId="0" applyFont="1"/>
    <xf numFmtId="165" fontId="6" fillId="0" borderId="0" xfId="0" applyNumberFormat="1" applyFont="1" applyAlignment="1">
      <alignment horizontal="center"/>
    </xf>
    <xf numFmtId="0" fontId="15" fillId="0" borderId="12" xfId="0" applyFont="1" applyBorder="1"/>
    <xf numFmtId="0" fontId="5" fillId="0" borderId="0" xfId="0" applyFont="1" applyAlignment="1">
      <alignment horizontal="center"/>
    </xf>
    <xf numFmtId="0" fontId="2" fillId="0" borderId="39" xfId="0" applyFont="1" applyBorder="1"/>
    <xf numFmtId="0" fontId="2" fillId="0" borderId="67" xfId="0" applyFont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0" fontId="2" fillId="0" borderId="16" xfId="0" applyFont="1" applyBorder="1"/>
    <xf numFmtId="0" fontId="2" fillId="0" borderId="2" xfId="0" applyFont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0" borderId="52" xfId="0" applyFont="1" applyBorder="1"/>
    <xf numFmtId="0" fontId="2" fillId="0" borderId="68" xfId="0" applyFont="1" applyBorder="1" applyAlignment="1">
      <alignment horizontal="center"/>
    </xf>
    <xf numFmtId="0" fontId="2" fillId="0" borderId="69" xfId="0" applyFont="1" applyBorder="1" applyAlignment="1">
      <alignment horizontal="center"/>
    </xf>
    <xf numFmtId="165" fontId="2" fillId="0" borderId="39" xfId="0" applyNumberFormat="1" applyFont="1" applyBorder="1" applyAlignment="1">
      <alignment horizontal="center"/>
    </xf>
    <xf numFmtId="165" fontId="2" fillId="9" borderId="70" xfId="0" applyNumberFormat="1" applyFont="1" applyFill="1" applyBorder="1" applyAlignment="1">
      <alignment horizontal="center"/>
    </xf>
    <xf numFmtId="165" fontId="2" fillId="9" borderId="39" xfId="0" applyNumberFormat="1" applyFont="1" applyFill="1" applyBorder="1" applyAlignment="1">
      <alignment horizontal="center"/>
    </xf>
    <xf numFmtId="165" fontId="2" fillId="0" borderId="67" xfId="0" applyNumberFormat="1" applyFont="1" applyBorder="1" applyAlignment="1">
      <alignment horizontal="center"/>
    </xf>
    <xf numFmtId="165" fontId="2" fillId="0" borderId="71" xfId="0" applyNumberFormat="1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165" fontId="2" fillId="9" borderId="72" xfId="0" applyNumberFormat="1" applyFont="1" applyFill="1" applyBorder="1" applyAlignment="1">
      <alignment horizontal="center"/>
    </xf>
    <xf numFmtId="165" fontId="2" fillId="9" borderId="16" xfId="0" applyNumberFormat="1" applyFont="1" applyFill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50" xfId="0" applyNumberFormat="1" applyFont="1" applyBorder="1" applyAlignment="1">
      <alignment horizontal="center"/>
    </xf>
    <xf numFmtId="165" fontId="2" fillId="0" borderId="52" xfId="0" applyNumberFormat="1" applyFont="1" applyBorder="1" applyAlignment="1">
      <alignment horizontal="center"/>
    </xf>
    <xf numFmtId="165" fontId="2" fillId="0" borderId="68" xfId="0" applyNumberFormat="1" applyFont="1" applyBorder="1" applyAlignment="1">
      <alignment horizontal="center"/>
    </xf>
    <xf numFmtId="165" fontId="2" fillId="0" borderId="73" xfId="0" applyNumberFormat="1" applyFont="1" applyBorder="1" applyAlignment="1">
      <alignment horizontal="center"/>
    </xf>
    <xf numFmtId="0" fontId="15" fillId="0" borderId="0" xfId="0" applyFont="1" applyAlignment="1">
      <alignment horizontal="left"/>
    </xf>
    <xf numFmtId="0" fontId="2" fillId="0" borderId="38" xfId="0" applyFont="1" applyBorder="1" applyAlignment="1">
      <alignment horizontal="center"/>
    </xf>
    <xf numFmtId="165" fontId="6" fillId="0" borderId="38" xfId="0" applyNumberFormat="1" applyFont="1" applyBorder="1" applyAlignment="1">
      <alignment horizontal="center"/>
    </xf>
    <xf numFmtId="165" fontId="6" fillId="0" borderId="39" xfId="0" applyNumberFormat="1" applyFont="1" applyBorder="1" applyAlignment="1">
      <alignment horizontal="center"/>
    </xf>
    <xf numFmtId="165" fontId="6" fillId="0" borderId="6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165" fontId="6" fillId="0" borderId="22" xfId="0" applyNumberFormat="1" applyFont="1" applyBorder="1" applyAlignment="1">
      <alignment horizontal="center"/>
    </xf>
    <xf numFmtId="165" fontId="6" fillId="0" borderId="16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165" fontId="6" fillId="0" borderId="51" xfId="0" applyNumberFormat="1" applyFont="1" applyBorder="1" applyAlignment="1">
      <alignment horizontal="center"/>
    </xf>
    <xf numFmtId="165" fontId="6" fillId="0" borderId="52" xfId="0" applyNumberFormat="1" applyFont="1" applyBorder="1" applyAlignment="1">
      <alignment horizontal="center"/>
    </xf>
    <xf numFmtId="165" fontId="6" fillId="0" borderId="68" xfId="0" applyNumberFormat="1" applyFont="1" applyBorder="1" applyAlignment="1">
      <alignment horizontal="center"/>
    </xf>
    <xf numFmtId="165" fontId="6" fillId="0" borderId="45" xfId="0" applyNumberFormat="1" applyFont="1" applyBorder="1" applyAlignment="1">
      <alignment horizontal="center"/>
    </xf>
    <xf numFmtId="165" fontId="6" fillId="0" borderId="12" xfId="0" applyNumberFormat="1" applyFont="1" applyBorder="1" applyAlignment="1">
      <alignment horizontal="center"/>
    </xf>
    <xf numFmtId="9" fontId="12" fillId="0" borderId="0" xfId="0" applyNumberFormat="1" applyFont="1" applyAlignment="1">
      <alignment horizontal="center"/>
    </xf>
    <xf numFmtId="0" fontId="14" fillId="0" borderId="29" xfId="0" applyFont="1" applyBorder="1"/>
    <xf numFmtId="167" fontId="12" fillId="0" borderId="29" xfId="0" applyNumberFormat="1" applyFont="1" applyBorder="1" applyAlignment="1">
      <alignment horizontal="center"/>
    </xf>
    <xf numFmtId="167" fontId="12" fillId="0" borderId="74" xfId="0" applyNumberFormat="1" applyFont="1" applyBorder="1" applyAlignment="1">
      <alignment horizontal="center"/>
    </xf>
    <xf numFmtId="0" fontId="14" fillId="0" borderId="34" xfId="0" applyFont="1" applyBorder="1"/>
    <xf numFmtId="167" fontId="12" fillId="0" borderId="34" xfId="0" applyNumberFormat="1" applyFont="1" applyBorder="1" applyAlignment="1">
      <alignment horizontal="center"/>
    </xf>
    <xf numFmtId="167" fontId="12" fillId="0" borderId="75" xfId="0" applyNumberFormat="1" applyFont="1" applyBorder="1" applyAlignment="1">
      <alignment horizontal="center"/>
    </xf>
    <xf numFmtId="0" fontId="16" fillId="0" borderId="0" xfId="0" applyFont="1"/>
    <xf numFmtId="0" fontId="14" fillId="0" borderId="12" xfId="0" applyFont="1" applyBorder="1"/>
    <xf numFmtId="165" fontId="2" fillId="0" borderId="56" xfId="0" applyNumberFormat="1" applyFont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0" fontId="17" fillId="0" borderId="0" xfId="0" applyFont="1"/>
    <xf numFmtId="165" fontId="16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/>
    </xf>
    <xf numFmtId="165" fontId="12" fillId="9" borderId="12" xfId="0" applyNumberFormat="1" applyFont="1" applyFill="1" applyBorder="1" applyAlignment="1">
      <alignment horizontal="center"/>
    </xf>
    <xf numFmtId="165" fontId="12" fillId="9" borderId="76" xfId="0" applyNumberFormat="1" applyFont="1" applyFill="1" applyBorder="1" applyAlignment="1">
      <alignment horizontal="center"/>
    </xf>
    <xf numFmtId="165" fontId="12" fillId="9" borderId="77" xfId="0" applyNumberFormat="1" applyFont="1" applyFill="1" applyBorder="1" applyAlignment="1">
      <alignment horizontal="center"/>
    </xf>
    <xf numFmtId="0" fontId="14" fillId="0" borderId="38" xfId="0" applyFont="1" applyBorder="1"/>
    <xf numFmtId="168" fontId="12" fillId="0" borderId="39" xfId="0" applyNumberFormat="1" applyFont="1" applyBorder="1" applyAlignment="1">
      <alignment horizontal="center"/>
    </xf>
    <xf numFmtId="168" fontId="12" fillId="0" borderId="67" xfId="0" applyNumberFormat="1" applyFont="1" applyBorder="1" applyAlignment="1">
      <alignment horizontal="center"/>
    </xf>
    <xf numFmtId="168" fontId="12" fillId="0" borderId="71" xfId="0" applyNumberFormat="1" applyFont="1" applyBorder="1" applyAlignment="1">
      <alignment horizontal="center"/>
    </xf>
    <xf numFmtId="0" fontId="14" fillId="0" borderId="51" xfId="0" applyFont="1" applyBorder="1"/>
    <xf numFmtId="168" fontId="12" fillId="0" borderId="52" xfId="0" applyNumberFormat="1" applyFont="1" applyBorder="1" applyAlignment="1">
      <alignment horizontal="center"/>
    </xf>
    <xf numFmtId="168" fontId="12" fillId="0" borderId="68" xfId="0" applyNumberFormat="1" applyFont="1" applyBorder="1" applyAlignment="1">
      <alignment horizontal="center"/>
    </xf>
    <xf numFmtId="168" fontId="12" fillId="0" borderId="73" xfId="0" applyNumberFormat="1" applyFont="1" applyBorder="1" applyAlignment="1">
      <alignment horizontal="center"/>
    </xf>
    <xf numFmtId="168" fontId="12" fillId="0" borderId="0" xfId="0" applyNumberFormat="1" applyFont="1" applyAlignment="1">
      <alignment horizontal="center"/>
    </xf>
    <xf numFmtId="165" fontId="12" fillId="0" borderId="0" xfId="0" applyNumberFormat="1" applyFont="1"/>
    <xf numFmtId="0" fontId="19" fillId="0" borderId="0" xfId="0" applyFont="1"/>
    <xf numFmtId="0" fontId="12" fillId="2" borderId="78" xfId="0" applyFont="1" applyFill="1" applyBorder="1"/>
    <xf numFmtId="0" fontId="1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9" fontId="12" fillId="0" borderId="0" xfId="0" applyNumberFormat="1" applyFont="1" applyAlignment="1">
      <alignment horizontal="center"/>
    </xf>
    <xf numFmtId="169" fontId="12" fillId="0" borderId="0" xfId="0" applyNumberFormat="1" applyFont="1"/>
    <xf numFmtId="170" fontId="12" fillId="0" borderId="0" xfId="0" applyNumberFormat="1" applyFont="1"/>
    <xf numFmtId="0" fontId="12" fillId="0" borderId="12" xfId="0" applyFont="1" applyBorder="1"/>
    <xf numFmtId="0" fontId="19" fillId="0" borderId="46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47" xfId="0" applyFont="1" applyBorder="1"/>
    <xf numFmtId="170" fontId="12" fillId="0" borderId="21" xfId="0" applyNumberFormat="1" applyFont="1" applyBorder="1" applyAlignment="1">
      <alignment horizontal="center"/>
    </xf>
    <xf numFmtId="170" fontId="12" fillId="0" borderId="60" xfId="0" applyNumberFormat="1" applyFont="1" applyBorder="1" applyAlignment="1">
      <alignment horizontal="center"/>
    </xf>
    <xf numFmtId="170" fontId="12" fillId="0" borderId="0" xfId="0" applyNumberFormat="1" applyFont="1" applyAlignment="1">
      <alignment horizontal="center"/>
    </xf>
    <xf numFmtId="0" fontId="19" fillId="0" borderId="16" xfId="0" applyFont="1" applyBorder="1"/>
    <xf numFmtId="170" fontId="12" fillId="0" borderId="17" xfId="0" applyNumberFormat="1" applyFont="1" applyBorder="1" applyAlignment="1">
      <alignment horizontal="center"/>
    </xf>
    <xf numFmtId="170" fontId="12" fillId="0" borderId="19" xfId="0" applyNumberFormat="1" applyFont="1" applyBorder="1" applyAlignment="1">
      <alignment horizontal="center"/>
    </xf>
    <xf numFmtId="0" fontId="19" fillId="0" borderId="52" xfId="0" applyFont="1" applyBorder="1"/>
    <xf numFmtId="170" fontId="12" fillId="0" borderId="62" xfId="0" applyNumberFormat="1" applyFont="1" applyBorder="1" applyAlignment="1">
      <alignment horizontal="center"/>
    </xf>
    <xf numFmtId="170" fontId="12" fillId="0" borderId="55" xfId="0" applyNumberFormat="1" applyFont="1" applyBorder="1" applyAlignment="1">
      <alignment horizontal="center"/>
    </xf>
    <xf numFmtId="0" fontId="19" fillId="0" borderId="45" xfId="0" applyFont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170" fontId="19" fillId="0" borderId="0" xfId="0" applyNumberFormat="1" applyFont="1"/>
    <xf numFmtId="170" fontId="19" fillId="2" borderId="12" xfId="0" applyNumberFormat="1" applyFont="1" applyFill="1" applyBorder="1"/>
    <xf numFmtId="0" fontId="19" fillId="0" borderId="79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39" xfId="0" applyFont="1" applyBorder="1"/>
    <xf numFmtId="170" fontId="12" fillId="0" borderId="40" xfId="0" applyNumberFormat="1" applyFont="1" applyBorder="1" applyAlignment="1">
      <alignment horizontal="center"/>
    </xf>
    <xf numFmtId="170" fontId="12" fillId="0" borderId="41" xfId="0" applyNumberFormat="1" applyFont="1" applyBorder="1" applyAlignment="1">
      <alignment horizontal="center"/>
    </xf>
    <xf numFmtId="170" fontId="12" fillId="0" borderId="41" xfId="0" applyNumberFormat="1" applyFont="1" applyBorder="1"/>
    <xf numFmtId="170" fontId="12" fillId="0" borderId="42" xfId="0" applyNumberFormat="1" applyFont="1" applyBorder="1" applyAlignment="1">
      <alignment horizontal="center"/>
    </xf>
    <xf numFmtId="0" fontId="12" fillId="0" borderId="18" xfId="0" applyFont="1" applyBorder="1"/>
    <xf numFmtId="170" fontId="12" fillId="0" borderId="18" xfId="0" applyNumberFormat="1" applyFont="1" applyBorder="1"/>
    <xf numFmtId="0" fontId="12" fillId="0" borderId="54" xfId="0" applyFont="1" applyBorder="1"/>
    <xf numFmtId="170" fontId="12" fillId="0" borderId="54" xfId="0" applyNumberFormat="1" applyFont="1" applyBorder="1"/>
    <xf numFmtId="0" fontId="16" fillId="2" borderId="77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12" fillId="0" borderId="34" xfId="0" applyFont="1" applyBorder="1"/>
    <xf numFmtId="0" fontId="12" fillId="0" borderId="35" xfId="0" applyFont="1" applyBorder="1"/>
    <xf numFmtId="0" fontId="12" fillId="0" borderId="36" xfId="0" applyFont="1" applyBorder="1"/>
    <xf numFmtId="0" fontId="19" fillId="0" borderId="36" xfId="0" applyFont="1" applyBorder="1"/>
    <xf numFmtId="170" fontId="16" fillId="0" borderId="37" xfId="0" applyNumberFormat="1" applyFont="1" applyBorder="1" applyAlignment="1">
      <alignment horizontal="center"/>
    </xf>
    <xf numFmtId="170" fontId="19" fillId="2" borderId="77" xfId="0" applyNumberFormat="1" applyFont="1" applyFill="1" applyBorder="1"/>
    <xf numFmtId="0" fontId="19" fillId="2" borderId="78" xfId="0" applyFont="1" applyFill="1" applyBorder="1"/>
    <xf numFmtId="0" fontId="20" fillId="0" borderId="12" xfId="0" applyFont="1" applyBorder="1"/>
    <xf numFmtId="0" fontId="19" fillId="0" borderId="12" xfId="0" applyFont="1" applyBorder="1" applyAlignment="1">
      <alignment horizontal="center"/>
    </xf>
    <xf numFmtId="0" fontId="12" fillId="0" borderId="47" xfId="0" applyFont="1" applyBorder="1" applyAlignment="1">
      <alignment horizontal="left"/>
    </xf>
    <xf numFmtId="0" fontId="12" fillId="0" borderId="21" xfId="0" applyFont="1" applyBorder="1"/>
    <xf numFmtId="170" fontId="12" fillId="0" borderId="59" xfId="0" applyNumberFormat="1" applyFont="1" applyBorder="1" applyAlignment="1">
      <alignment horizontal="center"/>
    </xf>
    <xf numFmtId="0" fontId="12" fillId="0" borderId="59" xfId="0" applyFont="1" applyBorder="1" applyAlignment="1">
      <alignment horizontal="center"/>
    </xf>
    <xf numFmtId="171" fontId="12" fillId="0" borderId="59" xfId="0" applyNumberFormat="1" applyFont="1" applyBorder="1" applyAlignment="1">
      <alignment horizontal="center"/>
    </xf>
    <xf numFmtId="171" fontId="12" fillId="0" borderId="60" xfId="0" applyNumberFormat="1" applyFont="1" applyBorder="1" applyAlignment="1">
      <alignment horizontal="center"/>
    </xf>
    <xf numFmtId="0" fontId="12" fillId="0" borderId="52" xfId="0" applyFont="1" applyBorder="1" applyAlignment="1">
      <alignment wrapText="1"/>
    </xf>
    <xf numFmtId="0" fontId="12" fillId="0" borderId="62" xfId="0" applyFont="1" applyBorder="1" applyAlignment="1">
      <alignment horizontal="center" wrapText="1"/>
    </xf>
    <xf numFmtId="170" fontId="12" fillId="0" borderId="54" xfId="0" applyNumberFormat="1" applyFont="1" applyBorder="1" applyAlignment="1">
      <alignment horizontal="center"/>
    </xf>
    <xf numFmtId="3" fontId="12" fillId="0" borderId="54" xfId="0" applyNumberFormat="1" applyFont="1" applyBorder="1" applyAlignment="1">
      <alignment horizontal="center"/>
    </xf>
    <xf numFmtId="171" fontId="12" fillId="0" borderId="54" xfId="0" applyNumberFormat="1" applyFont="1" applyBorder="1" applyAlignment="1">
      <alignment horizontal="center"/>
    </xf>
    <xf numFmtId="171" fontId="12" fillId="0" borderId="55" xfId="0" applyNumberFormat="1" applyFont="1" applyBorder="1" applyAlignment="1">
      <alignment horizont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3" fontId="12" fillId="0" borderId="0" xfId="0" applyNumberFormat="1" applyFont="1" applyAlignment="1">
      <alignment horizontal="center"/>
    </xf>
    <xf numFmtId="171" fontId="12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15" fillId="0" borderId="12" xfId="0" applyFont="1" applyBorder="1" applyAlignment="1">
      <alignment horizontal="left"/>
    </xf>
    <xf numFmtId="0" fontId="19" fillId="0" borderId="56" xfId="0" applyFont="1" applyBorder="1" applyAlignment="1">
      <alignment horizontal="center"/>
    </xf>
    <xf numFmtId="0" fontId="12" fillId="0" borderId="47" xfId="0" applyFont="1" applyBorder="1"/>
    <xf numFmtId="170" fontId="12" fillId="0" borderId="80" xfId="0" applyNumberFormat="1" applyFont="1" applyBorder="1" applyAlignment="1">
      <alignment horizontal="center"/>
    </xf>
    <xf numFmtId="170" fontId="12" fillId="0" borderId="39" xfId="0" applyNumberFormat="1" applyFont="1" applyBorder="1" applyAlignment="1">
      <alignment horizontal="center"/>
    </xf>
    <xf numFmtId="0" fontId="12" fillId="0" borderId="52" xfId="0" applyFont="1" applyBorder="1"/>
    <xf numFmtId="170" fontId="12" fillId="0" borderId="68" xfId="0" applyNumberFormat="1" applyFont="1" applyBorder="1" applyAlignment="1">
      <alignment horizontal="center"/>
    </xf>
    <xf numFmtId="170" fontId="12" fillId="0" borderId="52" xfId="0" applyNumberFormat="1" applyFont="1" applyBorder="1" applyAlignment="1">
      <alignment horizontal="center"/>
    </xf>
    <xf numFmtId="170" fontId="19" fillId="9" borderId="81" xfId="0" applyNumberFormat="1" applyFont="1" applyFill="1" applyBorder="1" applyAlignment="1">
      <alignment horizontal="center"/>
    </xf>
    <xf numFmtId="170" fontId="19" fillId="9" borderId="82" xfId="0" applyNumberFormat="1" applyFont="1" applyFill="1" applyBorder="1" applyAlignment="1">
      <alignment horizontal="center"/>
    </xf>
    <xf numFmtId="170" fontId="19" fillId="9" borderId="83" xfId="0" applyNumberFormat="1" applyFont="1" applyFill="1" applyBorder="1" applyAlignment="1">
      <alignment horizontal="center"/>
    </xf>
    <xf numFmtId="0" fontId="16" fillId="0" borderId="45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22" fillId="0" borderId="0" xfId="0" applyFont="1"/>
    <xf numFmtId="0" fontId="16" fillId="0" borderId="28" xfId="0" applyFont="1" applyBorder="1" applyAlignment="1">
      <alignment horizontal="center"/>
    </xf>
    <xf numFmtId="3" fontId="16" fillId="0" borderId="29" xfId="0" applyNumberFormat="1" applyFont="1" applyBorder="1" applyAlignment="1">
      <alignment horizontal="center"/>
    </xf>
    <xf numFmtId="0" fontId="12" fillId="0" borderId="39" xfId="0" applyFont="1" applyBorder="1"/>
    <xf numFmtId="0" fontId="12" fillId="0" borderId="39" xfId="0" applyFont="1" applyBorder="1" applyAlignment="1">
      <alignment horizontal="center"/>
    </xf>
    <xf numFmtId="0" fontId="12" fillId="0" borderId="16" xfId="0" applyFont="1" applyBorder="1"/>
    <xf numFmtId="170" fontId="12" fillId="0" borderId="16" xfId="0" applyNumberFormat="1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52" xfId="0" applyFont="1" applyBorder="1" applyAlignment="1">
      <alignment horizontal="center"/>
    </xf>
    <xf numFmtId="170" fontId="16" fillId="9" borderId="12" xfId="0" applyNumberFormat="1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170" fontId="16" fillId="0" borderId="0" xfId="0" applyNumberFormat="1" applyFont="1" applyAlignment="1">
      <alignment horizontal="center"/>
    </xf>
    <xf numFmtId="170" fontId="12" fillId="0" borderId="12" xfId="0" applyNumberFormat="1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170" fontId="12" fillId="0" borderId="29" xfId="0" applyNumberFormat="1" applyFont="1" applyBorder="1" applyAlignment="1">
      <alignment horizontal="center"/>
    </xf>
    <xf numFmtId="3" fontId="16" fillId="0" borderId="12" xfId="0" applyNumberFormat="1" applyFont="1" applyBorder="1" applyAlignment="1">
      <alignment horizontal="center"/>
    </xf>
    <xf numFmtId="3" fontId="16" fillId="0" borderId="56" xfId="0" applyNumberFormat="1" applyFont="1" applyBorder="1" applyAlignment="1">
      <alignment horizontal="center"/>
    </xf>
    <xf numFmtId="0" fontId="12" fillId="0" borderId="38" xfId="0" applyFont="1" applyBorder="1"/>
    <xf numFmtId="0" fontId="12" fillId="0" borderId="67" xfId="0" applyFont="1" applyBorder="1" applyAlignment="1">
      <alignment horizontal="center"/>
    </xf>
    <xf numFmtId="170" fontId="16" fillId="0" borderId="39" xfId="0" applyNumberFormat="1" applyFont="1" applyBorder="1" applyAlignment="1">
      <alignment horizontal="center"/>
    </xf>
    <xf numFmtId="0" fontId="12" fillId="0" borderId="84" xfId="0" applyFont="1" applyBorder="1" applyAlignment="1">
      <alignment wrapText="1"/>
    </xf>
    <xf numFmtId="0" fontId="12" fillId="0" borderId="51" xfId="0" applyFont="1" applyBorder="1"/>
    <xf numFmtId="0" fontId="12" fillId="0" borderId="68" xfId="0" applyFont="1" applyBorder="1" applyAlignment="1">
      <alignment horizontal="center"/>
    </xf>
    <xf numFmtId="170" fontId="16" fillId="0" borderId="52" xfId="0" applyNumberFormat="1" applyFont="1" applyBorder="1" applyAlignment="1">
      <alignment horizontal="center"/>
    </xf>
    <xf numFmtId="170" fontId="16" fillId="5" borderId="39" xfId="0" applyNumberFormat="1" applyFont="1" applyFill="1" applyBorder="1" applyAlignment="1">
      <alignment horizontal="center"/>
    </xf>
    <xf numFmtId="0" fontId="12" fillId="0" borderId="29" xfId="0" applyFont="1" applyBorder="1" applyAlignment="1">
      <alignment wrapText="1"/>
    </xf>
    <xf numFmtId="170" fontId="12" fillId="2" borderId="78" xfId="0" applyNumberFormat="1" applyFont="1" applyFill="1" applyBorder="1"/>
    <xf numFmtId="170" fontId="16" fillId="5" borderId="52" xfId="0" applyNumberFormat="1" applyFont="1" applyFill="1" applyBorder="1" applyAlignment="1">
      <alignment horizontal="center"/>
    </xf>
    <xf numFmtId="0" fontId="12" fillId="2" borderId="52" xfId="0" applyFont="1" applyFill="1" applyBorder="1" applyAlignment="1">
      <alignment wrapText="1"/>
    </xf>
    <xf numFmtId="0" fontId="12" fillId="5" borderId="78" xfId="0" applyFont="1" applyFill="1" applyBorder="1"/>
    <xf numFmtId="170" fontId="12" fillId="5" borderId="78" xfId="0" applyNumberFormat="1" applyFont="1" applyFill="1" applyBorder="1" applyAlignment="1">
      <alignment horizontal="center"/>
    </xf>
    <xf numFmtId="0" fontId="19" fillId="5" borderId="78" xfId="0" applyFont="1" applyFill="1" applyBorder="1" applyAlignment="1">
      <alignment horizontal="center"/>
    </xf>
    <xf numFmtId="170" fontId="16" fillId="10" borderId="12" xfId="0" applyNumberFormat="1" applyFont="1" applyFill="1" applyBorder="1" applyAlignment="1">
      <alignment horizontal="center"/>
    </xf>
    <xf numFmtId="0" fontId="12" fillId="5" borderId="78" xfId="0" applyFont="1" applyFill="1" applyBorder="1" applyAlignment="1">
      <alignment horizontal="center"/>
    </xf>
    <xf numFmtId="170" fontId="16" fillId="5" borderId="78" xfId="0" applyNumberFormat="1" applyFont="1" applyFill="1" applyBorder="1" applyAlignment="1">
      <alignment horizontal="center"/>
    </xf>
    <xf numFmtId="0" fontId="16" fillId="5" borderId="12" xfId="0" applyFont="1" applyFill="1" applyBorder="1"/>
    <xf numFmtId="170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170" fontId="12" fillId="0" borderId="38" xfId="0" applyNumberFormat="1" applyFont="1" applyBorder="1" applyAlignment="1">
      <alignment horizontal="center"/>
    </xf>
    <xf numFmtId="0" fontId="12" fillId="0" borderId="25" xfId="0" applyFont="1" applyBorder="1"/>
    <xf numFmtId="170" fontId="12" fillId="0" borderId="23" xfId="0" applyNumberFormat="1" applyFont="1" applyBorder="1" applyAlignment="1">
      <alignment horizontal="center"/>
    </xf>
    <xf numFmtId="0" fontId="12" fillId="0" borderId="25" xfId="0" applyFont="1" applyBorder="1" applyAlignment="1">
      <alignment horizontal="center"/>
    </xf>
    <xf numFmtId="170" fontId="12" fillId="0" borderId="25" xfId="0" applyNumberFormat="1" applyFont="1" applyBorder="1" applyAlignment="1">
      <alignment horizontal="center"/>
    </xf>
    <xf numFmtId="170" fontId="12" fillId="0" borderId="22" xfId="0" applyNumberFormat="1" applyFont="1" applyBorder="1" applyAlignment="1">
      <alignment horizontal="center"/>
    </xf>
    <xf numFmtId="170" fontId="12" fillId="0" borderId="20" xfId="0" applyNumberFormat="1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170" fontId="12" fillId="0" borderId="4" xfId="0" applyNumberFormat="1" applyFont="1" applyBorder="1" applyAlignment="1">
      <alignment horizontal="center"/>
    </xf>
    <xf numFmtId="170" fontId="12" fillId="0" borderId="47" xfId="0" applyNumberFormat="1" applyFont="1" applyBorder="1" applyAlignment="1">
      <alignment horizontal="center"/>
    </xf>
    <xf numFmtId="170" fontId="12" fillId="0" borderId="63" xfId="0" applyNumberFormat="1" applyFont="1" applyBorder="1" applyAlignment="1">
      <alignment horizontal="center"/>
    </xf>
    <xf numFmtId="170" fontId="16" fillId="5" borderId="12" xfId="0" applyNumberFormat="1" applyFont="1" applyFill="1" applyBorder="1" applyAlignment="1">
      <alignment horizontal="center"/>
    </xf>
    <xf numFmtId="170" fontId="12" fillId="0" borderId="75" xfId="0" applyNumberFormat="1" applyFont="1" applyBorder="1" applyAlignment="1">
      <alignment horizontal="center"/>
    </xf>
    <xf numFmtId="0" fontId="12" fillId="0" borderId="75" xfId="0" applyFont="1" applyBorder="1"/>
    <xf numFmtId="0" fontId="24" fillId="0" borderId="38" xfId="0" applyFont="1" applyBorder="1"/>
    <xf numFmtId="0" fontId="12" fillId="0" borderId="67" xfId="0" applyFont="1" applyBorder="1"/>
    <xf numFmtId="0" fontId="25" fillId="0" borderId="58" xfId="0" applyFont="1" applyBorder="1"/>
    <xf numFmtId="0" fontId="12" fillId="0" borderId="22" xfId="0" applyFont="1" applyBorder="1"/>
    <xf numFmtId="0" fontId="12" fillId="0" borderId="2" xfId="0" applyFont="1" applyBorder="1" applyAlignment="1">
      <alignment horizontal="center"/>
    </xf>
    <xf numFmtId="0" fontId="19" fillId="0" borderId="84" xfId="0" applyFont="1" applyBorder="1" applyAlignment="1">
      <alignment horizontal="center"/>
    </xf>
    <xf numFmtId="0" fontId="19" fillId="0" borderId="74" xfId="0" applyFont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11" fillId="0" borderId="38" xfId="0" applyFont="1" applyBorder="1" applyAlignment="1">
      <alignment horizontal="center" wrapText="1"/>
    </xf>
    <xf numFmtId="172" fontId="12" fillId="0" borderId="39" xfId="0" applyNumberFormat="1" applyFont="1" applyBorder="1"/>
    <xf numFmtId="172" fontId="12" fillId="0" borderId="39" xfId="0" applyNumberFormat="1" applyFont="1" applyBorder="1" applyAlignment="1">
      <alignment horizontal="center"/>
    </xf>
    <xf numFmtId="0" fontId="11" fillId="0" borderId="22" xfId="0" applyFont="1" applyBorder="1" applyAlignment="1">
      <alignment horizontal="center" wrapText="1"/>
    </xf>
    <xf numFmtId="172" fontId="12" fillId="0" borderId="16" xfId="0" applyNumberFormat="1" applyFont="1" applyBorder="1"/>
    <xf numFmtId="172" fontId="12" fillId="0" borderId="16" xfId="0" applyNumberFormat="1" applyFont="1" applyBorder="1" applyAlignment="1">
      <alignment horizontal="center"/>
    </xf>
    <xf numFmtId="0" fontId="11" fillId="0" borderId="16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0" fontId="11" fillId="0" borderId="51" xfId="0" applyFont="1" applyBorder="1" applyAlignment="1">
      <alignment vertical="top" wrapText="1"/>
    </xf>
    <xf numFmtId="0" fontId="11" fillId="0" borderId="51" xfId="0" applyFont="1" applyBorder="1" applyAlignment="1">
      <alignment horizontal="center" wrapText="1"/>
    </xf>
    <xf numFmtId="172" fontId="12" fillId="0" borderId="52" xfId="0" applyNumberFormat="1" applyFont="1" applyBorder="1"/>
    <xf numFmtId="172" fontId="12" fillId="0" borderId="52" xfId="0" applyNumberFormat="1" applyFont="1" applyBorder="1" applyAlignment="1">
      <alignment horizontal="center"/>
    </xf>
    <xf numFmtId="0" fontId="11" fillId="0" borderId="0" xfId="0" applyFont="1" applyAlignment="1">
      <alignment vertical="top" wrapText="1"/>
    </xf>
    <xf numFmtId="0" fontId="10" fillId="0" borderId="12" xfId="0" applyFont="1" applyBorder="1" applyAlignment="1">
      <alignment horizontal="center"/>
    </xf>
    <xf numFmtId="0" fontId="10" fillId="0" borderId="34" xfId="0" applyFont="1" applyBorder="1" applyAlignment="1">
      <alignment horizontal="center" vertical="top" wrapText="1"/>
    </xf>
    <xf numFmtId="170" fontId="16" fillId="0" borderId="12" xfId="0" applyNumberFormat="1" applyFont="1" applyBorder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11" fillId="0" borderId="38" xfId="0" applyFont="1" applyBorder="1"/>
    <xf numFmtId="0" fontId="11" fillId="0" borderId="67" xfId="0" applyFont="1" applyBorder="1" applyAlignment="1">
      <alignment horizontal="center"/>
    </xf>
    <xf numFmtId="170" fontId="12" fillId="0" borderId="71" xfId="0" applyNumberFormat="1" applyFont="1" applyBorder="1" applyAlignment="1">
      <alignment horizontal="center"/>
    </xf>
    <xf numFmtId="0" fontId="11" fillId="5" borderId="43" xfId="0" applyFont="1" applyFill="1" applyBorder="1" applyAlignment="1">
      <alignment wrapText="1"/>
    </xf>
    <xf numFmtId="0" fontId="11" fillId="0" borderId="2" xfId="0" applyFont="1" applyBorder="1" applyAlignment="1">
      <alignment horizontal="center"/>
    </xf>
    <xf numFmtId="170" fontId="12" fillId="0" borderId="50" xfId="0" applyNumberFormat="1" applyFont="1" applyBorder="1" applyAlignment="1">
      <alignment horizontal="center"/>
    </xf>
    <xf numFmtId="0" fontId="11" fillId="5" borderId="85" xfId="0" applyFont="1" applyFill="1" applyBorder="1" applyAlignment="1">
      <alignment wrapText="1"/>
    </xf>
    <xf numFmtId="0" fontId="11" fillId="0" borderId="68" xfId="0" applyFont="1" applyBorder="1" applyAlignment="1">
      <alignment horizontal="center"/>
    </xf>
    <xf numFmtId="170" fontId="12" fillId="0" borderId="73" xfId="0" applyNumberFormat="1" applyFont="1" applyBorder="1" applyAlignment="1">
      <alignment horizontal="center"/>
    </xf>
    <xf numFmtId="0" fontId="11" fillId="0" borderId="0" xfId="0" applyFont="1" applyAlignment="1">
      <alignment wrapText="1"/>
    </xf>
    <xf numFmtId="170" fontId="19" fillId="0" borderId="33" xfId="0" applyNumberFormat="1" applyFont="1" applyBorder="1" applyAlignment="1">
      <alignment horizontal="center"/>
    </xf>
    <xf numFmtId="170" fontId="5" fillId="0" borderId="0" xfId="0" applyNumberFormat="1" applyFont="1" applyAlignment="1">
      <alignment horizontal="center"/>
    </xf>
    <xf numFmtId="170" fontId="26" fillId="0" borderId="0" xfId="0" applyNumberFormat="1" applyFont="1" applyAlignment="1">
      <alignment horizontal="center"/>
    </xf>
    <xf numFmtId="1" fontId="26" fillId="0" borderId="12" xfId="0" applyNumberFormat="1" applyFont="1" applyBorder="1" applyAlignment="1">
      <alignment horizontal="center"/>
    </xf>
    <xf numFmtId="0" fontId="5" fillId="0" borderId="28" xfId="0" applyFont="1" applyBorder="1" applyAlignment="1">
      <alignment horizontal="left"/>
    </xf>
    <xf numFmtId="170" fontId="5" fillId="0" borderId="28" xfId="0" applyNumberFormat="1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5" fillId="0" borderId="58" xfId="0" applyFont="1" applyBorder="1" applyAlignment="1">
      <alignment horizontal="left"/>
    </xf>
    <xf numFmtId="170" fontId="5" fillId="0" borderId="58" xfId="0" applyNumberFormat="1" applyFont="1" applyBorder="1" applyAlignment="1">
      <alignment horizontal="center"/>
    </xf>
    <xf numFmtId="0" fontId="12" fillId="0" borderId="63" xfId="0" applyFont="1" applyBorder="1" applyAlignment="1">
      <alignment horizontal="center"/>
    </xf>
    <xf numFmtId="0" fontId="5" fillId="0" borderId="33" xfId="0" applyFont="1" applyBorder="1" applyAlignment="1">
      <alignment horizontal="left"/>
    </xf>
    <xf numFmtId="170" fontId="5" fillId="0" borderId="33" xfId="0" applyNumberFormat="1" applyFont="1" applyBorder="1" applyAlignment="1">
      <alignment horizontal="center"/>
    </xf>
    <xf numFmtId="0" fontId="26" fillId="0" borderId="0" xfId="0" applyFont="1" applyAlignment="1">
      <alignment horizontal="right"/>
    </xf>
    <xf numFmtId="170" fontId="26" fillId="9" borderId="12" xfId="0" applyNumberFormat="1" applyFont="1" applyFill="1" applyBorder="1"/>
    <xf numFmtId="0" fontId="5" fillId="0" borderId="0" xfId="0" applyFont="1" applyAlignment="1">
      <alignment horizontal="left"/>
    </xf>
    <xf numFmtId="3" fontId="16" fillId="0" borderId="0" xfId="0" applyNumberFormat="1" applyFont="1" applyAlignment="1">
      <alignment horizontal="center"/>
    </xf>
    <xf numFmtId="170" fontId="5" fillId="0" borderId="0" xfId="0" applyNumberFormat="1" applyFont="1"/>
    <xf numFmtId="0" fontId="16" fillId="2" borderId="12" xfId="0" applyFont="1" applyFill="1" applyBorder="1"/>
    <xf numFmtId="0" fontId="27" fillId="0" borderId="12" xfId="0" applyFont="1" applyBorder="1"/>
    <xf numFmtId="170" fontId="5" fillId="0" borderId="84" xfId="0" applyNumberFormat="1" applyFont="1" applyBorder="1" applyAlignment="1">
      <alignment horizontal="center"/>
    </xf>
    <xf numFmtId="170" fontId="5" fillId="0" borderId="12" xfId="0" applyNumberFormat="1" applyFont="1" applyBorder="1" applyAlignment="1">
      <alignment horizontal="center"/>
    </xf>
    <xf numFmtId="0" fontId="28" fillId="0" borderId="0" xfId="0" applyFont="1" applyAlignment="1">
      <alignment horizontal="right"/>
    </xf>
    <xf numFmtId="170" fontId="16" fillId="0" borderId="34" xfId="0" applyNumberFormat="1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74" xfId="0" applyFont="1" applyBorder="1" applyAlignment="1">
      <alignment horizontal="center"/>
    </xf>
    <xf numFmtId="0" fontId="12" fillId="0" borderId="84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0" borderId="75" xfId="0" applyFont="1" applyBorder="1" applyAlignment="1">
      <alignment horizontal="center"/>
    </xf>
    <xf numFmtId="0" fontId="12" fillId="0" borderId="8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170" fontId="12" fillId="0" borderId="28" xfId="0" applyNumberFormat="1" applyFont="1" applyBorder="1" applyAlignment="1">
      <alignment horizontal="center"/>
    </xf>
    <xf numFmtId="170" fontId="12" fillId="0" borderId="74" xfId="0" applyNumberFormat="1" applyFont="1" applyBorder="1" applyAlignment="1">
      <alignment horizontal="center"/>
    </xf>
    <xf numFmtId="170" fontId="12" fillId="0" borderId="84" xfId="0" applyNumberFormat="1" applyFont="1" applyBorder="1" applyAlignment="1">
      <alignment horizontal="center"/>
    </xf>
    <xf numFmtId="170" fontId="12" fillId="0" borderId="2" xfId="0" applyNumberFormat="1" applyFont="1" applyBorder="1" applyAlignment="1">
      <alignment horizontal="center"/>
    </xf>
    <xf numFmtId="170" fontId="12" fillId="0" borderId="33" xfId="0" applyNumberFormat="1" applyFont="1" applyBorder="1" applyAlignment="1">
      <alignment horizontal="center"/>
    </xf>
    <xf numFmtId="170" fontId="12" fillId="0" borderId="34" xfId="0" applyNumberFormat="1" applyFont="1" applyBorder="1" applyAlignment="1">
      <alignment horizontal="center"/>
    </xf>
    <xf numFmtId="170" fontId="12" fillId="0" borderId="86" xfId="0" applyNumberFormat="1" applyFont="1" applyBorder="1" applyAlignment="1">
      <alignment horizontal="center"/>
    </xf>
    <xf numFmtId="165" fontId="29" fillId="0" borderId="38" xfId="0" applyNumberFormat="1" applyFont="1" applyBorder="1" applyAlignment="1">
      <alignment horizontal="center"/>
    </xf>
    <xf numFmtId="165" fontId="29" fillId="0" borderId="39" xfId="0" applyNumberFormat="1" applyFont="1" applyBorder="1" applyAlignment="1">
      <alignment horizontal="center"/>
    </xf>
    <xf numFmtId="165" fontId="29" fillId="0" borderId="67" xfId="0" applyNumberFormat="1" applyFont="1" applyBorder="1" applyAlignment="1">
      <alignment horizontal="center"/>
    </xf>
    <xf numFmtId="165" fontId="29" fillId="0" borderId="22" xfId="0" applyNumberFormat="1" applyFont="1" applyBorder="1" applyAlignment="1">
      <alignment horizontal="center"/>
    </xf>
    <xf numFmtId="165" fontId="29" fillId="0" borderId="16" xfId="0" applyNumberFormat="1" applyFont="1" applyBorder="1" applyAlignment="1">
      <alignment horizontal="center"/>
    </xf>
    <xf numFmtId="165" fontId="29" fillId="0" borderId="2" xfId="0" applyNumberFormat="1" applyFont="1" applyBorder="1" applyAlignment="1">
      <alignment horizontal="center"/>
    </xf>
    <xf numFmtId="165" fontId="29" fillId="0" borderId="51" xfId="0" applyNumberFormat="1" applyFont="1" applyBorder="1" applyAlignment="1">
      <alignment horizontal="center"/>
    </xf>
    <xf numFmtId="165" fontId="29" fillId="0" borderId="52" xfId="0" applyNumberFormat="1" applyFont="1" applyBorder="1" applyAlignment="1">
      <alignment horizontal="center"/>
    </xf>
    <xf numFmtId="165" fontId="29" fillId="0" borderId="68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26" fillId="0" borderId="12" xfId="0" applyNumberFormat="1" applyFont="1" applyBorder="1" applyAlignment="1">
      <alignment horizontal="center"/>
    </xf>
    <xf numFmtId="165" fontId="26" fillId="0" borderId="45" xfId="0" applyNumberFormat="1" applyFont="1" applyBorder="1" applyAlignment="1">
      <alignment horizontal="center"/>
    </xf>
    <xf numFmtId="165" fontId="26" fillId="0" borderId="56" xfId="0" applyNumberFormat="1" applyFont="1" applyBorder="1" applyAlignment="1">
      <alignment horizontal="center"/>
    </xf>
    <xf numFmtId="0" fontId="30" fillId="0" borderId="0" xfId="0" applyFont="1" applyAlignment="1">
      <alignment horizontal="left"/>
    </xf>
    <xf numFmtId="0" fontId="31" fillId="0" borderId="0" xfId="0" applyFont="1"/>
    <xf numFmtId="170" fontId="19" fillId="0" borderId="0" xfId="0" applyNumberFormat="1" applyFont="1" applyAlignment="1">
      <alignment horizontal="center"/>
    </xf>
    <xf numFmtId="1" fontId="12" fillId="0" borderId="0" xfId="0" applyNumberFormat="1" applyFont="1"/>
    <xf numFmtId="0" fontId="1" fillId="0" borderId="0" xfId="0" applyFont="1" applyAlignment="1">
      <alignment horizontal="center" wrapText="1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6" fillId="0" borderId="3" xfId="0" applyFont="1" applyBorder="1" applyAlignment="1">
      <alignment horizontal="left"/>
    </xf>
    <xf numFmtId="0" fontId="4" fillId="0" borderId="4" xfId="0" applyFont="1" applyBorder="1"/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9" fillId="3" borderId="8" xfId="0" applyFont="1" applyFill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10" fillId="6" borderId="45" xfId="0" applyFont="1" applyFill="1" applyBorder="1" applyAlignment="1">
      <alignment horizontal="center"/>
    </xf>
    <xf numFmtId="0" fontId="4" fillId="0" borderId="56" xfId="0" applyFont="1" applyBorder="1"/>
    <xf numFmtId="0" fontId="4" fillId="0" borderId="57" xfId="0" applyFont="1" applyBorder="1"/>
    <xf numFmtId="0" fontId="10" fillId="7" borderId="45" xfId="0" applyFont="1" applyFill="1" applyBorder="1" applyAlignment="1">
      <alignment horizont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9" borderId="45" xfId="0" applyFont="1" applyFill="1" applyBorder="1" applyAlignment="1">
      <alignment horizontal="left"/>
    </xf>
    <xf numFmtId="0" fontId="19" fillId="0" borderId="45" xfId="0" applyFont="1" applyBorder="1" applyAlignment="1">
      <alignment horizontal="center"/>
    </xf>
    <xf numFmtId="0" fontId="16" fillId="0" borderId="56" xfId="0" applyFont="1" applyBorder="1" applyAlignment="1">
      <alignment horizontal="center"/>
    </xf>
    <xf numFmtId="0" fontId="16" fillId="0" borderId="45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23" fillId="0" borderId="45" xfId="0" applyFont="1" applyBorder="1" applyAlignment="1">
      <alignment horizontal="left"/>
    </xf>
    <xf numFmtId="0" fontId="16" fillId="10" borderId="45" xfId="0" applyFont="1" applyFill="1" applyBorder="1" applyAlignment="1">
      <alignment horizontal="center"/>
    </xf>
    <xf numFmtId="0" fontId="10" fillId="0" borderId="45" xfId="0" applyFont="1" applyBorder="1" applyAlignment="1">
      <alignment horizontal="left"/>
    </xf>
    <xf numFmtId="3" fontId="26" fillId="9" borderId="45" xfId="0" applyNumberFormat="1" applyFont="1" applyFill="1" applyBorder="1" applyAlignment="1">
      <alignment horizontal="left"/>
    </xf>
    <xf numFmtId="0" fontId="1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L1"/>
    </sheetView>
  </sheetViews>
  <sheetFormatPr baseColWidth="10" defaultColWidth="14.42578125" defaultRowHeight="15" customHeight="1" x14ac:dyDescent="0.2"/>
  <cols>
    <col min="1" max="1" width="37.5703125" customWidth="1"/>
    <col min="2" max="2" width="10" customWidth="1"/>
    <col min="3" max="3" width="15.42578125" customWidth="1"/>
    <col min="4" max="4" width="15.28515625" customWidth="1"/>
    <col min="5" max="6" width="15.5703125" customWidth="1"/>
    <col min="7" max="12" width="15.28515625" customWidth="1"/>
    <col min="13" max="26" width="10" customWidth="1"/>
  </cols>
  <sheetData>
    <row r="1" spans="1:26" ht="18" customHeight="1" x14ac:dyDescent="0.25">
      <c r="A1" s="455" t="s">
        <v>0</v>
      </c>
      <c r="B1" s="456"/>
      <c r="C1" s="456"/>
      <c r="D1" s="456"/>
      <c r="E1" s="456"/>
      <c r="F1" s="456"/>
      <c r="G1" s="456"/>
      <c r="H1" s="456"/>
      <c r="I1" s="456"/>
      <c r="J1" s="456"/>
      <c r="K1" s="456"/>
      <c r="L1" s="456"/>
    </row>
    <row r="2" spans="1:26" ht="14.25" customHeight="1" x14ac:dyDescent="0.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</row>
    <row r="3" spans="1:26" ht="15" customHeight="1" x14ac:dyDescent="0.2">
      <c r="A3" s="457" t="s">
        <v>1</v>
      </c>
      <c r="B3" s="458"/>
      <c r="C3" s="458"/>
      <c r="D3" s="458"/>
      <c r="E3" s="458"/>
      <c r="F3" s="458"/>
      <c r="G3" s="458"/>
      <c r="H3" s="458"/>
      <c r="I3" s="458"/>
      <c r="J3" s="458"/>
      <c r="K3" s="458"/>
      <c r="L3" s="45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">
      <c r="A4" s="459" t="s">
        <v>2</v>
      </c>
      <c r="B4" s="460"/>
      <c r="C4" s="460"/>
      <c r="D4" s="1"/>
      <c r="E4" s="1"/>
      <c r="F4" s="1"/>
      <c r="G4" s="1"/>
      <c r="H4" s="1"/>
      <c r="I4" s="1"/>
      <c r="J4" s="1"/>
      <c r="K4" s="1"/>
      <c r="L4" s="1"/>
    </row>
    <row r="5" spans="1:26" ht="14.25" customHeight="1" x14ac:dyDescent="0.2">
      <c r="A5" s="461" t="s">
        <v>3</v>
      </c>
      <c r="B5" s="456"/>
      <c r="C5" s="456"/>
      <c r="D5" s="1"/>
      <c r="E5" s="1"/>
      <c r="F5" s="1"/>
      <c r="G5" s="1"/>
      <c r="H5" s="1"/>
      <c r="I5" s="1"/>
      <c r="J5" s="1"/>
      <c r="K5" s="1"/>
      <c r="L5" s="1"/>
    </row>
    <row r="6" spans="1:26" ht="14.25" customHeight="1" x14ac:dyDescent="0.2">
      <c r="A6" s="462" t="s">
        <v>4</v>
      </c>
      <c r="B6" s="456"/>
      <c r="C6" s="1"/>
      <c r="D6" s="1"/>
      <c r="E6" s="1"/>
      <c r="F6" s="1"/>
      <c r="G6" s="1"/>
      <c r="H6" s="1"/>
      <c r="I6" s="1"/>
      <c r="J6" s="1"/>
      <c r="K6" s="1"/>
      <c r="L6" s="1"/>
    </row>
    <row r="7" spans="1:26" ht="15" customHeight="1" x14ac:dyDescent="0.2">
      <c r="A7" s="5"/>
      <c r="B7" s="6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6" ht="15.75" customHeight="1" x14ac:dyDescent="0.2">
      <c r="A8" s="8"/>
      <c r="B8" s="9"/>
      <c r="C8" s="463" t="s">
        <v>5</v>
      </c>
      <c r="D8" s="464"/>
      <c r="E8" s="464"/>
      <c r="F8" s="464"/>
      <c r="G8" s="464"/>
      <c r="H8" s="464"/>
      <c r="I8" s="464"/>
      <c r="J8" s="464"/>
      <c r="K8" s="464"/>
      <c r="L8" s="465"/>
    </row>
    <row r="9" spans="1:26" ht="15.75" customHeight="1" x14ac:dyDescent="0.2">
      <c r="A9" s="10" t="s">
        <v>6</v>
      </c>
      <c r="B9" s="11" t="s">
        <v>7</v>
      </c>
      <c r="C9" s="12">
        <v>1</v>
      </c>
      <c r="D9" s="13">
        <v>2</v>
      </c>
      <c r="E9" s="13">
        <v>3</v>
      </c>
      <c r="F9" s="13">
        <v>4</v>
      </c>
      <c r="G9" s="13">
        <v>5</v>
      </c>
      <c r="H9" s="13">
        <v>6</v>
      </c>
      <c r="I9" s="13">
        <v>7</v>
      </c>
      <c r="J9" s="13">
        <v>8</v>
      </c>
      <c r="K9" s="13">
        <v>9</v>
      </c>
      <c r="L9" s="14">
        <v>10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5" t="s">
        <v>8</v>
      </c>
      <c r="B10" s="16"/>
      <c r="C10" s="17"/>
      <c r="D10" s="18"/>
      <c r="E10" s="18"/>
      <c r="F10" s="18"/>
      <c r="G10" s="18"/>
      <c r="H10" s="18"/>
      <c r="I10" s="18"/>
      <c r="J10" s="18"/>
      <c r="K10" s="18"/>
      <c r="L10" s="19"/>
    </row>
    <row r="11" spans="1:26" ht="14.25" hidden="1" customHeight="1" x14ac:dyDescent="0.2">
      <c r="A11" s="20" t="s">
        <v>9</v>
      </c>
      <c r="B11" s="16" t="s">
        <v>10</v>
      </c>
      <c r="C11" s="21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3">
        <v>0</v>
      </c>
    </row>
    <row r="12" spans="1:26" ht="14.25" hidden="1" customHeight="1" x14ac:dyDescent="0.2">
      <c r="A12" s="24" t="s">
        <v>11</v>
      </c>
      <c r="B12" s="16" t="s">
        <v>10</v>
      </c>
      <c r="C12" s="25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3">
        <v>0</v>
      </c>
    </row>
    <row r="13" spans="1:26" ht="14.25" hidden="1" customHeight="1" x14ac:dyDescent="0.2">
      <c r="A13" s="24" t="s">
        <v>12</v>
      </c>
      <c r="B13" s="16" t="s">
        <v>10</v>
      </c>
      <c r="C13" s="25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3">
        <v>0</v>
      </c>
    </row>
    <row r="14" spans="1:26" ht="14.25" hidden="1" customHeight="1" x14ac:dyDescent="0.2">
      <c r="A14" s="24" t="s">
        <v>13</v>
      </c>
      <c r="B14" s="16" t="s">
        <v>10</v>
      </c>
      <c r="C14" s="25">
        <v>0</v>
      </c>
      <c r="D14" s="22">
        <v>0</v>
      </c>
      <c r="E14" s="22">
        <v>0</v>
      </c>
      <c r="F14" s="22">
        <v>0</v>
      </c>
      <c r="G14" s="22"/>
      <c r="H14" s="22"/>
      <c r="I14" s="22"/>
      <c r="J14" s="22"/>
      <c r="K14" s="22"/>
      <c r="L14" s="23">
        <v>0</v>
      </c>
    </row>
    <row r="15" spans="1:26" ht="14.25" hidden="1" customHeight="1" x14ac:dyDescent="0.2">
      <c r="A15" s="24" t="s">
        <v>14</v>
      </c>
      <c r="B15" s="16" t="s">
        <v>10</v>
      </c>
      <c r="C15" s="25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3">
        <v>0</v>
      </c>
    </row>
    <row r="16" spans="1:26" ht="14.25" hidden="1" customHeight="1" x14ac:dyDescent="0.2">
      <c r="A16" s="24" t="s">
        <v>15</v>
      </c>
      <c r="B16" s="16" t="s">
        <v>10</v>
      </c>
      <c r="C16" s="25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3">
        <v>0</v>
      </c>
    </row>
    <row r="17" spans="1:12" ht="14.25" hidden="1" customHeight="1" x14ac:dyDescent="0.2">
      <c r="A17" s="24" t="s">
        <v>16</v>
      </c>
      <c r="B17" s="16" t="s">
        <v>10</v>
      </c>
      <c r="C17" s="25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3">
        <v>0</v>
      </c>
    </row>
    <row r="18" spans="1:12" ht="14.25" hidden="1" customHeight="1" x14ac:dyDescent="0.2">
      <c r="A18" s="24" t="s">
        <v>17</v>
      </c>
      <c r="B18" s="16" t="s">
        <v>10</v>
      </c>
      <c r="C18" s="25">
        <v>0</v>
      </c>
      <c r="D18" s="22">
        <v>0</v>
      </c>
      <c r="E18" s="22">
        <v>0</v>
      </c>
      <c r="F18" s="22">
        <v>0</v>
      </c>
      <c r="G18" s="22"/>
      <c r="H18" s="22"/>
      <c r="I18" s="22"/>
      <c r="J18" s="22"/>
      <c r="K18" s="22"/>
      <c r="L18" s="23">
        <v>0</v>
      </c>
    </row>
    <row r="19" spans="1:12" ht="14.25" hidden="1" customHeight="1" x14ac:dyDescent="0.2">
      <c r="A19" s="24" t="s">
        <v>18</v>
      </c>
      <c r="B19" s="16" t="s">
        <v>10</v>
      </c>
      <c r="C19" s="25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3">
        <v>0</v>
      </c>
    </row>
    <row r="20" spans="1:12" ht="14.25" hidden="1" customHeight="1" x14ac:dyDescent="0.2">
      <c r="A20" s="24" t="s">
        <v>19</v>
      </c>
      <c r="B20" s="16" t="s">
        <v>10</v>
      </c>
      <c r="C20" s="25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3">
        <v>0</v>
      </c>
    </row>
    <row r="21" spans="1:12" ht="14.25" hidden="1" customHeight="1" x14ac:dyDescent="0.2">
      <c r="A21" s="26" t="s">
        <v>20</v>
      </c>
      <c r="B21" s="16" t="s">
        <v>10</v>
      </c>
      <c r="C21" s="27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3">
        <v>0</v>
      </c>
    </row>
    <row r="22" spans="1:12" ht="14.25" customHeight="1" x14ac:dyDescent="0.2">
      <c r="A22" s="24" t="s">
        <v>21</v>
      </c>
      <c r="B22" s="16" t="s">
        <v>10</v>
      </c>
      <c r="C22" s="25">
        <v>18</v>
      </c>
      <c r="D22" s="22">
        <v>14</v>
      </c>
      <c r="E22" s="22">
        <v>10</v>
      </c>
      <c r="F22" s="22">
        <v>10</v>
      </c>
      <c r="G22" s="22">
        <v>5</v>
      </c>
      <c r="H22" s="22">
        <v>5</v>
      </c>
      <c r="I22" s="22">
        <v>5</v>
      </c>
      <c r="J22" s="22">
        <v>5</v>
      </c>
      <c r="K22" s="22">
        <v>5</v>
      </c>
      <c r="L22" s="23">
        <v>5</v>
      </c>
    </row>
    <row r="23" spans="1:12" ht="14.25" customHeight="1" x14ac:dyDescent="0.2">
      <c r="A23" s="24" t="s">
        <v>22</v>
      </c>
      <c r="B23" s="16" t="s">
        <v>10</v>
      </c>
      <c r="C23" s="25">
        <v>15</v>
      </c>
      <c r="D23" s="22">
        <v>7</v>
      </c>
      <c r="E23" s="22">
        <v>10</v>
      </c>
      <c r="F23" s="22">
        <v>5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3">
        <v>0</v>
      </c>
    </row>
    <row r="24" spans="1:12" ht="14.25" customHeight="1" x14ac:dyDescent="0.2">
      <c r="A24" s="24" t="s">
        <v>23</v>
      </c>
      <c r="B24" s="16" t="s">
        <v>10</v>
      </c>
      <c r="C24" s="25">
        <v>4</v>
      </c>
      <c r="D24" s="22">
        <v>8</v>
      </c>
      <c r="E24" s="22">
        <v>10</v>
      </c>
      <c r="F24" s="22">
        <v>10</v>
      </c>
      <c r="G24" s="22">
        <v>10</v>
      </c>
      <c r="H24" s="22">
        <v>10</v>
      </c>
      <c r="I24" s="22">
        <v>10</v>
      </c>
      <c r="J24" s="22">
        <v>10</v>
      </c>
      <c r="K24" s="22">
        <v>10</v>
      </c>
      <c r="L24" s="23">
        <v>10</v>
      </c>
    </row>
    <row r="25" spans="1:12" ht="14.25" customHeight="1" x14ac:dyDescent="0.2">
      <c r="A25" s="24" t="s">
        <v>24</v>
      </c>
      <c r="B25" s="16" t="s">
        <v>10</v>
      </c>
      <c r="C25" s="25">
        <v>8</v>
      </c>
      <c r="D25" s="22">
        <v>4</v>
      </c>
      <c r="E25" s="22">
        <v>4</v>
      </c>
      <c r="F25" s="22">
        <v>4</v>
      </c>
      <c r="G25" s="22">
        <v>2</v>
      </c>
      <c r="H25" s="22">
        <v>2</v>
      </c>
      <c r="I25" s="22">
        <v>2</v>
      </c>
      <c r="J25" s="22">
        <v>2</v>
      </c>
      <c r="K25" s="22">
        <v>2</v>
      </c>
      <c r="L25" s="23">
        <v>2</v>
      </c>
    </row>
    <row r="26" spans="1:12" ht="14.25" customHeight="1" x14ac:dyDescent="0.2">
      <c r="A26" s="24" t="s">
        <v>25</v>
      </c>
      <c r="B26" s="16" t="s">
        <v>10</v>
      </c>
      <c r="C26" s="25">
        <v>2</v>
      </c>
      <c r="D26" s="22">
        <v>2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3">
        <v>0</v>
      </c>
    </row>
    <row r="27" spans="1:12" ht="14.25" customHeight="1" x14ac:dyDescent="0.2">
      <c r="A27" s="24" t="s">
        <v>26</v>
      </c>
      <c r="B27" s="16" t="s">
        <v>10</v>
      </c>
      <c r="C27" s="25">
        <v>15</v>
      </c>
      <c r="D27" s="22">
        <v>4</v>
      </c>
      <c r="E27" s="22">
        <v>3</v>
      </c>
      <c r="F27" s="22">
        <v>2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3">
        <v>0</v>
      </c>
    </row>
    <row r="28" spans="1:12" ht="14.25" customHeight="1" x14ac:dyDescent="0.2">
      <c r="A28" s="24" t="s">
        <v>27</v>
      </c>
      <c r="B28" s="16" t="s">
        <v>10</v>
      </c>
      <c r="C28" s="25">
        <v>2</v>
      </c>
      <c r="D28" s="22">
        <v>1</v>
      </c>
      <c r="E28" s="22">
        <v>1</v>
      </c>
      <c r="F28" s="22">
        <v>1</v>
      </c>
      <c r="G28" s="22">
        <v>1</v>
      </c>
      <c r="H28" s="22">
        <v>1</v>
      </c>
      <c r="I28" s="22">
        <v>1</v>
      </c>
      <c r="J28" s="22">
        <v>1</v>
      </c>
      <c r="K28" s="22">
        <v>1</v>
      </c>
      <c r="L28" s="23">
        <v>1</v>
      </c>
    </row>
    <row r="29" spans="1:12" ht="14.25" customHeight="1" x14ac:dyDescent="0.2">
      <c r="A29" s="26" t="s">
        <v>28</v>
      </c>
      <c r="B29" s="16" t="s">
        <v>10</v>
      </c>
      <c r="C29" s="27">
        <v>4</v>
      </c>
      <c r="D29" s="22">
        <v>8</v>
      </c>
      <c r="E29" s="22">
        <v>8</v>
      </c>
      <c r="F29" s="22">
        <v>8</v>
      </c>
      <c r="G29" s="22">
        <v>8</v>
      </c>
      <c r="H29" s="22">
        <v>8</v>
      </c>
      <c r="I29" s="22">
        <v>8</v>
      </c>
      <c r="J29" s="22">
        <v>8</v>
      </c>
      <c r="K29" s="22">
        <v>8</v>
      </c>
      <c r="L29" s="23">
        <v>8</v>
      </c>
    </row>
    <row r="30" spans="1:12" ht="28.5" customHeight="1" x14ac:dyDescent="0.2">
      <c r="A30" s="26" t="s">
        <v>29</v>
      </c>
      <c r="B30" s="16" t="s">
        <v>10</v>
      </c>
      <c r="C30" s="28">
        <v>3</v>
      </c>
      <c r="D30" s="29">
        <v>2</v>
      </c>
      <c r="E30" s="29">
        <v>2</v>
      </c>
      <c r="F30" s="29">
        <v>2</v>
      </c>
      <c r="G30" s="29">
        <v>2</v>
      </c>
      <c r="H30" s="29">
        <v>2</v>
      </c>
      <c r="I30" s="29">
        <v>2</v>
      </c>
      <c r="J30" s="29">
        <v>2</v>
      </c>
      <c r="K30" s="29">
        <v>2</v>
      </c>
      <c r="L30" s="30">
        <v>2</v>
      </c>
    </row>
    <row r="31" spans="1:12" ht="14.25" customHeight="1" x14ac:dyDescent="0.2">
      <c r="A31" s="26" t="s">
        <v>30</v>
      </c>
      <c r="B31" s="16" t="s">
        <v>10</v>
      </c>
      <c r="C31" s="27">
        <v>0</v>
      </c>
      <c r="D31" s="22">
        <v>20</v>
      </c>
      <c r="E31" s="22">
        <v>11</v>
      </c>
      <c r="F31" s="22">
        <v>5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3">
        <v>0</v>
      </c>
    </row>
    <row r="32" spans="1:12" ht="15" customHeight="1" x14ac:dyDescent="0.2">
      <c r="A32" s="26" t="s">
        <v>31</v>
      </c>
      <c r="B32" s="31" t="s">
        <v>10</v>
      </c>
      <c r="C32" s="27">
        <v>0</v>
      </c>
      <c r="D32" s="32">
        <v>15</v>
      </c>
      <c r="E32" s="32">
        <v>28</v>
      </c>
      <c r="F32" s="32">
        <v>44</v>
      </c>
      <c r="G32" s="32">
        <v>48</v>
      </c>
      <c r="H32" s="32">
        <v>60</v>
      </c>
      <c r="I32" s="32">
        <v>60</v>
      </c>
      <c r="J32" s="32">
        <v>60</v>
      </c>
      <c r="K32" s="32">
        <v>60</v>
      </c>
      <c r="L32" s="33">
        <v>60</v>
      </c>
    </row>
    <row r="33" spans="1:12" ht="15" customHeight="1" x14ac:dyDescent="0.25">
      <c r="A33" s="34" t="s">
        <v>32</v>
      </c>
      <c r="B33" s="35" t="s">
        <v>10</v>
      </c>
      <c r="C33" s="36">
        <f t="shared" ref="C33:L33" si="0">SUM(C11:C32)</f>
        <v>71</v>
      </c>
      <c r="D33" s="37">
        <f t="shared" si="0"/>
        <v>85</v>
      </c>
      <c r="E33" s="37">
        <f t="shared" si="0"/>
        <v>87</v>
      </c>
      <c r="F33" s="37">
        <f t="shared" si="0"/>
        <v>91</v>
      </c>
      <c r="G33" s="37">
        <f t="shared" si="0"/>
        <v>76</v>
      </c>
      <c r="H33" s="37">
        <f t="shared" si="0"/>
        <v>88</v>
      </c>
      <c r="I33" s="37">
        <f t="shared" si="0"/>
        <v>88</v>
      </c>
      <c r="J33" s="37">
        <f t="shared" si="0"/>
        <v>88</v>
      </c>
      <c r="K33" s="37">
        <f t="shared" si="0"/>
        <v>88</v>
      </c>
      <c r="L33" s="38">
        <f t="shared" si="0"/>
        <v>88</v>
      </c>
    </row>
    <row r="34" spans="1:12" ht="14.25" customHeight="1" x14ac:dyDescent="0.2">
      <c r="A34" s="39" t="s">
        <v>33</v>
      </c>
      <c r="B34" s="16" t="s">
        <v>34</v>
      </c>
      <c r="C34" s="40">
        <f t="shared" ref="C34:L34" si="1">C33/180</f>
        <v>0.39444444444444443</v>
      </c>
      <c r="D34" s="41">
        <f t="shared" si="1"/>
        <v>0.47222222222222221</v>
      </c>
      <c r="E34" s="41">
        <f t="shared" si="1"/>
        <v>0.48333333333333334</v>
      </c>
      <c r="F34" s="41">
        <f t="shared" si="1"/>
        <v>0.50555555555555554</v>
      </c>
      <c r="G34" s="41">
        <f t="shared" si="1"/>
        <v>0.42222222222222222</v>
      </c>
      <c r="H34" s="41">
        <f t="shared" si="1"/>
        <v>0.48888888888888887</v>
      </c>
      <c r="I34" s="41">
        <f t="shared" si="1"/>
        <v>0.48888888888888887</v>
      </c>
      <c r="J34" s="41">
        <f t="shared" si="1"/>
        <v>0.48888888888888887</v>
      </c>
      <c r="K34" s="41">
        <f t="shared" si="1"/>
        <v>0.48888888888888887</v>
      </c>
      <c r="L34" s="41">
        <f t="shared" si="1"/>
        <v>0.48888888888888887</v>
      </c>
    </row>
    <row r="35" spans="1:12" ht="15.75" customHeight="1" x14ac:dyDescent="0.25">
      <c r="A35" s="42" t="s">
        <v>35</v>
      </c>
      <c r="B35" s="43" t="s">
        <v>36</v>
      </c>
      <c r="C35" s="44">
        <v>1</v>
      </c>
      <c r="D35" s="45">
        <v>0</v>
      </c>
      <c r="E35" s="45">
        <v>0</v>
      </c>
      <c r="F35" s="45">
        <v>0</v>
      </c>
      <c r="G35" s="45">
        <v>1</v>
      </c>
      <c r="H35" s="45">
        <v>0</v>
      </c>
      <c r="I35" s="45">
        <v>0</v>
      </c>
      <c r="J35" s="45">
        <v>0</v>
      </c>
      <c r="K35" s="45">
        <v>0</v>
      </c>
      <c r="L35" s="46">
        <v>0</v>
      </c>
    </row>
    <row r="36" spans="1:12" ht="15" hidden="1" customHeight="1" x14ac:dyDescent="0.25">
      <c r="A36" s="47" t="s">
        <v>37</v>
      </c>
      <c r="B36" s="48"/>
      <c r="C36" s="49"/>
      <c r="D36" s="50"/>
      <c r="E36" s="50"/>
      <c r="F36" s="50"/>
      <c r="G36" s="50"/>
      <c r="H36" s="50"/>
      <c r="I36" s="50"/>
      <c r="J36" s="50"/>
      <c r="K36" s="50"/>
      <c r="L36" s="51"/>
    </row>
    <row r="37" spans="1:12" ht="14.25" hidden="1" customHeight="1" x14ac:dyDescent="0.2">
      <c r="A37" s="52" t="s">
        <v>38</v>
      </c>
      <c r="B37" s="16" t="s">
        <v>36</v>
      </c>
      <c r="C37" s="53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3">
        <v>0</v>
      </c>
    </row>
    <row r="38" spans="1:12" ht="14.25" hidden="1" customHeight="1" x14ac:dyDescent="0.2">
      <c r="A38" s="54" t="s">
        <v>39</v>
      </c>
      <c r="B38" s="16" t="s">
        <v>36</v>
      </c>
      <c r="C38" s="53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3">
        <v>0</v>
      </c>
    </row>
    <row r="39" spans="1:12" ht="14.25" hidden="1" customHeight="1" x14ac:dyDescent="0.2">
      <c r="A39" s="55" t="s">
        <v>40</v>
      </c>
      <c r="B39" s="31" t="s">
        <v>36</v>
      </c>
      <c r="C39" s="56">
        <v>0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3">
        <v>0</v>
      </c>
    </row>
    <row r="40" spans="1:12" ht="14.25" hidden="1" customHeight="1" x14ac:dyDescent="0.2">
      <c r="A40" s="57" t="s">
        <v>41</v>
      </c>
      <c r="B40" s="31" t="s">
        <v>36</v>
      </c>
      <c r="C40" s="56">
        <v>0</v>
      </c>
      <c r="D40" s="32"/>
      <c r="E40" s="32"/>
      <c r="F40" s="32"/>
      <c r="G40" s="32"/>
      <c r="H40" s="32"/>
      <c r="I40" s="32"/>
      <c r="J40" s="32"/>
      <c r="K40" s="32"/>
      <c r="L40" s="33"/>
    </row>
    <row r="41" spans="1:12" ht="15" hidden="1" customHeight="1" x14ac:dyDescent="0.2">
      <c r="A41" s="55" t="s">
        <v>42</v>
      </c>
      <c r="B41" s="31" t="s">
        <v>36</v>
      </c>
      <c r="C41" s="56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3">
        <v>0</v>
      </c>
    </row>
    <row r="42" spans="1:12" ht="15.75" customHeight="1" x14ac:dyDescent="0.25">
      <c r="A42" s="58" t="s">
        <v>43</v>
      </c>
      <c r="B42" s="59"/>
      <c r="C42" s="60"/>
      <c r="D42" s="61"/>
      <c r="E42" s="61"/>
      <c r="F42" s="61"/>
      <c r="G42" s="61"/>
      <c r="H42" s="61"/>
      <c r="I42" s="61"/>
      <c r="J42" s="61"/>
      <c r="K42" s="61"/>
      <c r="L42" s="62"/>
    </row>
    <row r="43" spans="1:12" ht="14.25" customHeight="1" x14ac:dyDescent="0.2">
      <c r="A43" s="63" t="s">
        <v>44</v>
      </c>
      <c r="B43" s="64" t="s">
        <v>45</v>
      </c>
      <c r="C43" s="65">
        <v>40</v>
      </c>
      <c r="D43" s="66">
        <v>20</v>
      </c>
      <c r="E43" s="66">
        <v>0</v>
      </c>
      <c r="F43" s="66">
        <v>0</v>
      </c>
      <c r="G43" s="66">
        <v>0</v>
      </c>
      <c r="H43" s="66">
        <f>+G43*1.1</f>
        <v>0</v>
      </c>
      <c r="I43" s="66">
        <v>10</v>
      </c>
      <c r="J43" s="66">
        <v>10</v>
      </c>
      <c r="K43" s="66">
        <v>10</v>
      </c>
      <c r="L43" s="66">
        <v>10</v>
      </c>
    </row>
    <row r="44" spans="1:12" ht="14.25" customHeight="1" x14ac:dyDescent="0.2">
      <c r="A44" s="52" t="s">
        <v>46</v>
      </c>
      <c r="B44" s="16" t="s">
        <v>47</v>
      </c>
      <c r="C44" s="67">
        <v>668</v>
      </c>
      <c r="D44" s="22">
        <v>668</v>
      </c>
      <c r="E44" s="22">
        <v>680</v>
      </c>
      <c r="F44" s="22">
        <v>360</v>
      </c>
      <c r="G44" s="22">
        <v>360</v>
      </c>
      <c r="H44" s="22">
        <v>360</v>
      </c>
      <c r="I44" s="22">
        <v>360</v>
      </c>
      <c r="J44" s="22">
        <v>360</v>
      </c>
      <c r="K44" s="22">
        <v>360</v>
      </c>
      <c r="L44" s="22">
        <v>360</v>
      </c>
    </row>
    <row r="45" spans="1:12" ht="14.25" customHeight="1" x14ac:dyDescent="0.2">
      <c r="A45" s="54" t="s">
        <v>48</v>
      </c>
      <c r="B45" s="16" t="s">
        <v>47</v>
      </c>
      <c r="C45" s="67">
        <v>1</v>
      </c>
      <c r="D45" s="22">
        <v>1</v>
      </c>
      <c r="E45" s="22">
        <v>1</v>
      </c>
      <c r="F45" s="22">
        <v>1</v>
      </c>
      <c r="G45" s="22">
        <v>1</v>
      </c>
      <c r="H45" s="22">
        <v>1</v>
      </c>
      <c r="I45" s="22">
        <v>1</v>
      </c>
      <c r="J45" s="22">
        <v>1</v>
      </c>
      <c r="K45" s="22">
        <v>1</v>
      </c>
      <c r="L45" s="23">
        <v>1</v>
      </c>
    </row>
    <row r="46" spans="1:12" ht="14.25" customHeight="1" x14ac:dyDescent="0.2">
      <c r="A46" s="52" t="s">
        <v>49</v>
      </c>
      <c r="B46" s="16" t="s">
        <v>47</v>
      </c>
      <c r="C46" s="67">
        <v>350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3">
        <v>0</v>
      </c>
    </row>
    <row r="47" spans="1:12" ht="14.25" customHeight="1" x14ac:dyDescent="0.2">
      <c r="A47" s="52" t="s">
        <v>50</v>
      </c>
      <c r="B47" s="16" t="s">
        <v>47</v>
      </c>
      <c r="C47" s="67">
        <v>100</v>
      </c>
      <c r="D47" s="22">
        <v>150</v>
      </c>
      <c r="E47" s="22">
        <v>200</v>
      </c>
      <c r="F47" s="22">
        <v>200</v>
      </c>
      <c r="G47" s="22">
        <v>200</v>
      </c>
      <c r="H47" s="22">
        <v>200</v>
      </c>
      <c r="I47" s="22">
        <v>200</v>
      </c>
      <c r="J47" s="22">
        <v>200</v>
      </c>
      <c r="K47" s="22">
        <v>200</v>
      </c>
      <c r="L47" s="23">
        <v>200</v>
      </c>
    </row>
    <row r="48" spans="1:12" ht="14.25" customHeight="1" x14ac:dyDescent="0.2">
      <c r="A48" s="52" t="s">
        <v>51</v>
      </c>
      <c r="B48" s="16" t="s">
        <v>47</v>
      </c>
      <c r="C48" s="67">
        <v>8</v>
      </c>
      <c r="D48" s="22">
        <v>8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3">
        <v>0</v>
      </c>
    </row>
    <row r="49" spans="1:26" ht="14.25" customHeight="1" x14ac:dyDescent="0.2">
      <c r="A49" s="52" t="s">
        <v>52</v>
      </c>
      <c r="B49" s="16" t="s">
        <v>53</v>
      </c>
      <c r="C49" s="67">
        <v>5</v>
      </c>
      <c r="D49" s="22">
        <v>5</v>
      </c>
      <c r="E49" s="22">
        <v>5</v>
      </c>
      <c r="F49" s="22">
        <v>7</v>
      </c>
      <c r="G49" s="22">
        <v>7</v>
      </c>
      <c r="H49" s="22">
        <v>7</v>
      </c>
      <c r="I49" s="22">
        <v>10</v>
      </c>
      <c r="J49" s="22">
        <v>10</v>
      </c>
      <c r="K49" s="22">
        <v>10</v>
      </c>
      <c r="L49" s="23">
        <v>10</v>
      </c>
    </row>
    <row r="50" spans="1:26" ht="14.25" customHeight="1" x14ac:dyDescent="0.2">
      <c r="A50" s="52" t="s">
        <v>54</v>
      </c>
      <c r="B50" s="16" t="s">
        <v>53</v>
      </c>
      <c r="C50" s="67">
        <v>5</v>
      </c>
      <c r="D50" s="53">
        <v>5</v>
      </c>
      <c r="E50" s="53">
        <v>5</v>
      </c>
      <c r="F50" s="53">
        <v>7</v>
      </c>
      <c r="G50" s="53">
        <v>7</v>
      </c>
      <c r="H50" s="53">
        <v>7</v>
      </c>
      <c r="I50" s="53">
        <v>10</v>
      </c>
      <c r="J50" s="53">
        <v>10</v>
      </c>
      <c r="K50" s="53">
        <v>10</v>
      </c>
      <c r="L50" s="68">
        <v>10</v>
      </c>
    </row>
    <row r="51" spans="1:26" ht="15" customHeight="1" x14ac:dyDescent="0.2">
      <c r="A51" s="69" t="s">
        <v>55</v>
      </c>
      <c r="B51" s="70" t="s">
        <v>53</v>
      </c>
      <c r="C51" s="71">
        <v>3</v>
      </c>
      <c r="D51" s="72">
        <v>3</v>
      </c>
      <c r="E51" s="72">
        <v>3</v>
      </c>
      <c r="F51" s="72">
        <v>5</v>
      </c>
      <c r="G51" s="72">
        <v>7</v>
      </c>
      <c r="H51" s="72">
        <v>7</v>
      </c>
      <c r="I51" s="72">
        <v>7</v>
      </c>
      <c r="J51" s="72">
        <v>9</v>
      </c>
      <c r="K51" s="72">
        <v>9</v>
      </c>
      <c r="L51" s="73">
        <v>9</v>
      </c>
    </row>
    <row r="52" spans="1:26" ht="12.75" customHeight="1" x14ac:dyDescent="0.2"/>
    <row r="53" spans="1:26" ht="12.75" customHeight="1" x14ac:dyDescent="0.2">
      <c r="E53" s="74"/>
    </row>
    <row r="54" spans="1:26" ht="15" customHeight="1" x14ac:dyDescent="0.2">
      <c r="A54" s="1"/>
      <c r="B54" s="1"/>
      <c r="C54" s="1"/>
      <c r="D54" s="1"/>
      <c r="E54" s="1"/>
      <c r="F54" s="1"/>
      <c r="G54" s="4"/>
      <c r="H54" s="4"/>
      <c r="I54" s="4"/>
      <c r="J54" s="4"/>
      <c r="K54" s="4"/>
      <c r="L54" s="4"/>
    </row>
    <row r="55" spans="1:26" ht="15.75" customHeight="1" x14ac:dyDescent="0.25">
      <c r="A55" s="466" t="s">
        <v>56</v>
      </c>
      <c r="B55" s="467"/>
      <c r="C55" s="467"/>
      <c r="D55" s="467"/>
      <c r="E55" s="467"/>
      <c r="F55" s="467"/>
      <c r="G55" s="467"/>
      <c r="H55" s="467"/>
      <c r="I55" s="467"/>
      <c r="J55" s="467"/>
      <c r="K55" s="467"/>
      <c r="L55" s="468"/>
    </row>
    <row r="56" spans="1:26" ht="15.75" customHeight="1" x14ac:dyDescent="0.25">
      <c r="A56" s="75"/>
      <c r="B56" s="76"/>
      <c r="C56" s="469" t="s">
        <v>5</v>
      </c>
      <c r="D56" s="467"/>
      <c r="E56" s="467"/>
      <c r="F56" s="467"/>
      <c r="G56" s="467"/>
      <c r="H56" s="467"/>
      <c r="I56" s="467"/>
      <c r="J56" s="467"/>
      <c r="K56" s="467"/>
      <c r="L56" s="468"/>
    </row>
    <row r="57" spans="1:26" ht="15.75" customHeight="1" x14ac:dyDescent="0.25">
      <c r="A57" s="15" t="s">
        <v>57</v>
      </c>
      <c r="B57" s="59"/>
      <c r="C57" s="77">
        <v>1</v>
      </c>
      <c r="D57" s="78">
        <v>2</v>
      </c>
      <c r="E57" s="78">
        <v>3</v>
      </c>
      <c r="F57" s="78">
        <v>4</v>
      </c>
      <c r="G57" s="78">
        <v>5</v>
      </c>
      <c r="H57" s="78">
        <v>6</v>
      </c>
      <c r="I57" s="78">
        <v>7</v>
      </c>
      <c r="J57" s="78">
        <v>8</v>
      </c>
      <c r="K57" s="78">
        <v>9</v>
      </c>
      <c r="L57" s="79">
        <v>10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">
      <c r="A58" s="63" t="s">
        <v>58</v>
      </c>
      <c r="B58" s="64" t="s">
        <v>59</v>
      </c>
      <c r="C58" s="80">
        <v>23000</v>
      </c>
      <c r="D58" s="81">
        <f t="shared" ref="D58:L58" si="2">+C58*1.05</f>
        <v>24150</v>
      </c>
      <c r="E58" s="81">
        <f t="shared" si="2"/>
        <v>25357.5</v>
      </c>
      <c r="F58" s="81">
        <f t="shared" si="2"/>
        <v>26625.375</v>
      </c>
      <c r="G58" s="81">
        <f t="shared" si="2"/>
        <v>27956.643750000003</v>
      </c>
      <c r="H58" s="81">
        <f t="shared" si="2"/>
        <v>29354.475937500003</v>
      </c>
      <c r="I58" s="81">
        <f t="shared" si="2"/>
        <v>30822.199734375004</v>
      </c>
      <c r="J58" s="81">
        <f t="shared" si="2"/>
        <v>32363.309721093756</v>
      </c>
      <c r="K58" s="81">
        <f t="shared" si="2"/>
        <v>33981.475207148447</v>
      </c>
      <c r="L58" s="82">
        <f t="shared" si="2"/>
        <v>35680.548967505871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">
      <c r="A59" s="63" t="s">
        <v>60</v>
      </c>
      <c r="B59" s="64" t="s">
        <v>34</v>
      </c>
      <c r="C59" s="80">
        <f>I182</f>
        <v>366000</v>
      </c>
      <c r="D59" s="80">
        <f t="shared" ref="D59:L59" si="3">C59*1.04</f>
        <v>380640</v>
      </c>
      <c r="E59" s="80">
        <f t="shared" si="3"/>
        <v>395865.60000000003</v>
      </c>
      <c r="F59" s="80">
        <f t="shared" si="3"/>
        <v>411700.22400000005</v>
      </c>
      <c r="G59" s="80">
        <f t="shared" si="3"/>
        <v>428168.23296000005</v>
      </c>
      <c r="H59" s="80">
        <f t="shared" si="3"/>
        <v>445294.96227840008</v>
      </c>
      <c r="I59" s="80">
        <f t="shared" si="3"/>
        <v>463106.76076953608</v>
      </c>
      <c r="J59" s="80">
        <f t="shared" si="3"/>
        <v>481631.03120031755</v>
      </c>
      <c r="K59" s="80">
        <f t="shared" si="3"/>
        <v>500896.27244833024</v>
      </c>
      <c r="L59" s="80">
        <f t="shared" si="3"/>
        <v>520932.12334626348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52" t="s">
        <v>61</v>
      </c>
      <c r="B60" s="16" t="s">
        <v>62</v>
      </c>
      <c r="C60" s="83">
        <v>130000</v>
      </c>
      <c r="D60" s="84">
        <f t="shared" ref="D60:L60" si="4">+C60*1.05</f>
        <v>136500</v>
      </c>
      <c r="E60" s="84">
        <f t="shared" si="4"/>
        <v>143325</v>
      </c>
      <c r="F60" s="84">
        <f t="shared" si="4"/>
        <v>150491.25</v>
      </c>
      <c r="G60" s="84">
        <f t="shared" si="4"/>
        <v>158015.8125</v>
      </c>
      <c r="H60" s="84">
        <f t="shared" si="4"/>
        <v>165916.60312499999</v>
      </c>
      <c r="I60" s="84">
        <f t="shared" si="4"/>
        <v>174212.43328125001</v>
      </c>
      <c r="J60" s="84">
        <f t="shared" si="4"/>
        <v>182923.05494531253</v>
      </c>
      <c r="K60" s="84">
        <f t="shared" si="4"/>
        <v>192069.20769257817</v>
      </c>
      <c r="L60" s="85">
        <f t="shared" si="4"/>
        <v>201672.66807720708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hidden="1" customHeight="1" x14ac:dyDescent="0.25">
      <c r="A61" s="86" t="s">
        <v>37</v>
      </c>
      <c r="B61" s="16"/>
      <c r="C61" s="83"/>
      <c r="D61" s="84"/>
      <c r="E61" s="84"/>
      <c r="F61" s="84"/>
      <c r="G61" s="84"/>
      <c r="H61" s="84"/>
      <c r="I61" s="84"/>
      <c r="J61" s="84"/>
      <c r="K61" s="84"/>
      <c r="L61" s="8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hidden="1" customHeight="1" x14ac:dyDescent="0.2">
      <c r="A62" s="52" t="s">
        <v>38</v>
      </c>
      <c r="B62" s="16" t="s">
        <v>62</v>
      </c>
      <c r="C62" s="83">
        <v>600</v>
      </c>
      <c r="D62" s="87">
        <v>0</v>
      </c>
      <c r="E62" s="87"/>
      <c r="F62" s="87"/>
      <c r="G62" s="87"/>
      <c r="H62" s="87"/>
      <c r="I62" s="87"/>
      <c r="J62" s="87"/>
      <c r="K62" s="87"/>
      <c r="L62" s="8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hidden="1" customHeight="1" x14ac:dyDescent="0.2">
      <c r="A63" s="52" t="s">
        <v>39</v>
      </c>
      <c r="B63" s="16" t="s">
        <v>62</v>
      </c>
      <c r="C63" s="83">
        <v>1800</v>
      </c>
      <c r="D63" s="87">
        <v>1800</v>
      </c>
      <c r="E63" s="87"/>
      <c r="F63" s="87"/>
      <c r="G63" s="87"/>
      <c r="H63" s="87"/>
      <c r="I63" s="87"/>
      <c r="J63" s="87"/>
      <c r="K63" s="87"/>
      <c r="L63" s="8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hidden="1" customHeight="1" x14ac:dyDescent="0.2">
      <c r="A64" s="55" t="s">
        <v>40</v>
      </c>
      <c r="B64" s="31" t="s">
        <v>62</v>
      </c>
      <c r="C64" s="89">
        <v>5000</v>
      </c>
      <c r="D64" s="90"/>
      <c r="E64" s="87"/>
      <c r="F64" s="87"/>
      <c r="G64" s="87"/>
      <c r="H64" s="87"/>
      <c r="I64" s="87"/>
      <c r="J64" s="87"/>
      <c r="K64" s="87"/>
      <c r="L64" s="8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hidden="1" customHeight="1" x14ac:dyDescent="0.2">
      <c r="A65" s="57" t="s">
        <v>41</v>
      </c>
      <c r="B65" s="16"/>
      <c r="C65" s="83"/>
      <c r="D65" s="87"/>
      <c r="E65" s="87"/>
      <c r="F65" s="87"/>
      <c r="G65" s="87"/>
      <c r="H65" s="87"/>
      <c r="I65" s="87"/>
      <c r="J65" s="87"/>
      <c r="K65" s="87"/>
      <c r="L65" s="88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58" t="s">
        <v>43</v>
      </c>
      <c r="B66" s="59"/>
      <c r="C66" s="91"/>
      <c r="D66" s="92"/>
      <c r="E66" s="92"/>
      <c r="F66" s="92"/>
      <c r="G66" s="92"/>
      <c r="H66" s="92"/>
      <c r="I66" s="92"/>
      <c r="J66" s="92"/>
      <c r="K66" s="92"/>
      <c r="L66" s="9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">
      <c r="A67" s="63" t="s">
        <v>63</v>
      </c>
      <c r="B67" s="64" t="s">
        <v>64</v>
      </c>
      <c r="C67" s="80">
        <v>22000</v>
      </c>
      <c r="D67" s="81">
        <f t="shared" ref="D67:L67" si="5">+C67*1.05</f>
        <v>23100</v>
      </c>
      <c r="E67" s="81">
        <f t="shared" si="5"/>
        <v>24255</v>
      </c>
      <c r="F67" s="81">
        <f t="shared" si="5"/>
        <v>25467.75</v>
      </c>
      <c r="G67" s="81">
        <f t="shared" si="5"/>
        <v>26741.137500000001</v>
      </c>
      <c r="H67" s="81">
        <f t="shared" si="5"/>
        <v>28078.194375000003</v>
      </c>
      <c r="I67" s="81">
        <f t="shared" si="5"/>
        <v>29482.104093750004</v>
      </c>
      <c r="J67" s="81">
        <f t="shared" si="5"/>
        <v>30956.209298437505</v>
      </c>
      <c r="K67" s="81">
        <f t="shared" si="5"/>
        <v>32504.019763359382</v>
      </c>
      <c r="L67" s="82">
        <f t="shared" si="5"/>
        <v>34129.220751527355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52" t="s">
        <v>46</v>
      </c>
      <c r="B68" s="16" t="s">
        <v>65</v>
      </c>
      <c r="C68" s="83">
        <v>1508</v>
      </c>
      <c r="D68" s="84">
        <f t="shared" ref="D68:L68" si="6">+C68*1.05</f>
        <v>1583.4</v>
      </c>
      <c r="E68" s="84">
        <f t="shared" si="6"/>
        <v>1662.5700000000002</v>
      </c>
      <c r="F68" s="84">
        <f t="shared" si="6"/>
        <v>1745.6985000000002</v>
      </c>
      <c r="G68" s="84">
        <f t="shared" si="6"/>
        <v>1832.9834250000004</v>
      </c>
      <c r="H68" s="84">
        <f t="shared" si="6"/>
        <v>1924.6325962500005</v>
      </c>
      <c r="I68" s="84">
        <f t="shared" si="6"/>
        <v>2020.8642260625006</v>
      </c>
      <c r="J68" s="84">
        <f t="shared" si="6"/>
        <v>2121.9074373656258</v>
      </c>
      <c r="K68" s="84">
        <f t="shared" si="6"/>
        <v>2228.0028092339071</v>
      </c>
      <c r="L68" s="85">
        <f t="shared" si="6"/>
        <v>2339.4029496956027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">
      <c r="A69" s="54" t="s">
        <v>48</v>
      </c>
      <c r="B69" s="16" t="s">
        <v>65</v>
      </c>
      <c r="C69" s="83">
        <v>5000</v>
      </c>
      <c r="D69" s="84">
        <f t="shared" ref="D69:L69" si="7">+C69*1.05</f>
        <v>5250</v>
      </c>
      <c r="E69" s="84">
        <f t="shared" si="7"/>
        <v>5512.5</v>
      </c>
      <c r="F69" s="84">
        <f t="shared" si="7"/>
        <v>5788.125</v>
      </c>
      <c r="G69" s="84">
        <f t="shared" si="7"/>
        <v>6077.53125</v>
      </c>
      <c r="H69" s="84">
        <f t="shared" si="7"/>
        <v>6381.4078125000005</v>
      </c>
      <c r="I69" s="84">
        <f t="shared" si="7"/>
        <v>6700.4782031250006</v>
      </c>
      <c r="J69" s="84">
        <f t="shared" si="7"/>
        <v>7035.5021132812508</v>
      </c>
      <c r="K69" s="84">
        <f t="shared" si="7"/>
        <v>7387.2772189453135</v>
      </c>
      <c r="L69" s="85">
        <f t="shared" si="7"/>
        <v>7756.6410798925799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">
      <c r="A70" s="52" t="s">
        <v>49</v>
      </c>
      <c r="B70" s="16" t="s">
        <v>65</v>
      </c>
      <c r="C70" s="83">
        <v>236</v>
      </c>
      <c r="D70" s="84">
        <f t="shared" ref="D70:L70" si="8">+C70*1.05</f>
        <v>247.8</v>
      </c>
      <c r="E70" s="84">
        <f t="shared" si="8"/>
        <v>260.19</v>
      </c>
      <c r="F70" s="84">
        <f t="shared" si="8"/>
        <v>273.1995</v>
      </c>
      <c r="G70" s="84">
        <f t="shared" si="8"/>
        <v>286.85947500000003</v>
      </c>
      <c r="H70" s="84">
        <f t="shared" si="8"/>
        <v>301.20244875000003</v>
      </c>
      <c r="I70" s="84">
        <f t="shared" si="8"/>
        <v>316.26257118750004</v>
      </c>
      <c r="J70" s="84">
        <f t="shared" si="8"/>
        <v>332.07569974687505</v>
      </c>
      <c r="K70" s="84">
        <f t="shared" si="8"/>
        <v>348.67948473421882</v>
      </c>
      <c r="L70" s="85">
        <f t="shared" si="8"/>
        <v>366.1134589709298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">
      <c r="A71" s="52" t="s">
        <v>50</v>
      </c>
      <c r="B71" s="16" t="s">
        <v>65</v>
      </c>
      <c r="C71" s="83">
        <v>236</v>
      </c>
      <c r="D71" s="84">
        <f t="shared" ref="D71:L71" si="9">+C71*1.05</f>
        <v>247.8</v>
      </c>
      <c r="E71" s="84">
        <f t="shared" si="9"/>
        <v>260.19</v>
      </c>
      <c r="F71" s="84">
        <f t="shared" si="9"/>
        <v>273.1995</v>
      </c>
      <c r="G71" s="84">
        <f t="shared" si="9"/>
        <v>286.85947500000003</v>
      </c>
      <c r="H71" s="84">
        <f t="shared" si="9"/>
        <v>301.20244875000003</v>
      </c>
      <c r="I71" s="84">
        <f t="shared" si="9"/>
        <v>316.26257118750004</v>
      </c>
      <c r="J71" s="84">
        <f t="shared" si="9"/>
        <v>332.07569974687505</v>
      </c>
      <c r="K71" s="84">
        <f t="shared" si="9"/>
        <v>348.67948473421882</v>
      </c>
      <c r="L71" s="85">
        <f t="shared" si="9"/>
        <v>366.1134589709298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">
      <c r="A72" s="52" t="s">
        <v>51</v>
      </c>
      <c r="B72" s="16" t="s">
        <v>65</v>
      </c>
      <c r="C72" s="83">
        <v>700</v>
      </c>
      <c r="D72" s="84">
        <f t="shared" ref="D72:L72" si="10">+C72*1.05</f>
        <v>735</v>
      </c>
      <c r="E72" s="84">
        <f t="shared" si="10"/>
        <v>771.75</v>
      </c>
      <c r="F72" s="84">
        <f t="shared" si="10"/>
        <v>810.33750000000009</v>
      </c>
      <c r="G72" s="84">
        <f t="shared" si="10"/>
        <v>850.85437500000012</v>
      </c>
      <c r="H72" s="84">
        <f t="shared" si="10"/>
        <v>893.39709375000018</v>
      </c>
      <c r="I72" s="84">
        <f t="shared" si="10"/>
        <v>938.06694843750017</v>
      </c>
      <c r="J72" s="84">
        <f t="shared" si="10"/>
        <v>984.97029585937526</v>
      </c>
      <c r="K72" s="84">
        <f t="shared" si="10"/>
        <v>1034.218810652344</v>
      </c>
      <c r="L72" s="85">
        <f t="shared" si="10"/>
        <v>1085.9297511849613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">
      <c r="A73" s="52" t="s">
        <v>52</v>
      </c>
      <c r="B73" s="16" t="s">
        <v>66</v>
      </c>
      <c r="C73" s="83">
        <v>2000</v>
      </c>
      <c r="D73" s="84">
        <f t="shared" ref="D73:L73" si="11">+C73*1.05</f>
        <v>2100</v>
      </c>
      <c r="E73" s="84">
        <f t="shared" si="11"/>
        <v>2205</v>
      </c>
      <c r="F73" s="84">
        <f t="shared" si="11"/>
        <v>2315.25</v>
      </c>
      <c r="G73" s="84">
        <f t="shared" si="11"/>
        <v>2431.0125000000003</v>
      </c>
      <c r="H73" s="84">
        <f t="shared" si="11"/>
        <v>2552.5631250000006</v>
      </c>
      <c r="I73" s="84">
        <f t="shared" si="11"/>
        <v>2680.1912812500009</v>
      </c>
      <c r="J73" s="84">
        <f t="shared" si="11"/>
        <v>2814.2008453125009</v>
      </c>
      <c r="K73" s="84">
        <f t="shared" si="11"/>
        <v>2954.9108875781262</v>
      </c>
      <c r="L73" s="85">
        <f t="shared" si="11"/>
        <v>3102.6564319570325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">
      <c r="A74" s="52" t="s">
        <v>54</v>
      </c>
      <c r="B74" s="16" t="s">
        <v>66</v>
      </c>
      <c r="C74" s="83">
        <v>5000</v>
      </c>
      <c r="D74" s="84">
        <f t="shared" ref="D74:L74" si="12">+C74*1.05</f>
        <v>5250</v>
      </c>
      <c r="E74" s="84">
        <f t="shared" si="12"/>
        <v>5512.5</v>
      </c>
      <c r="F74" s="84">
        <f t="shared" si="12"/>
        <v>5788.125</v>
      </c>
      <c r="G74" s="84">
        <f t="shared" si="12"/>
        <v>6077.53125</v>
      </c>
      <c r="H74" s="84">
        <f t="shared" si="12"/>
        <v>6381.4078125000005</v>
      </c>
      <c r="I74" s="84">
        <f t="shared" si="12"/>
        <v>6700.4782031250006</v>
      </c>
      <c r="J74" s="84">
        <f t="shared" si="12"/>
        <v>7035.5021132812508</v>
      </c>
      <c r="K74" s="84">
        <f t="shared" si="12"/>
        <v>7387.2772189453135</v>
      </c>
      <c r="L74" s="85">
        <f t="shared" si="12"/>
        <v>7756.6410798925799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 x14ac:dyDescent="0.2">
      <c r="A75" s="69" t="s">
        <v>55</v>
      </c>
      <c r="B75" s="70" t="s">
        <v>66</v>
      </c>
      <c r="C75" s="94">
        <v>2000</v>
      </c>
      <c r="D75" s="95">
        <f t="shared" ref="D75:L75" si="13">+C75*1.05</f>
        <v>2100</v>
      </c>
      <c r="E75" s="95">
        <f t="shared" si="13"/>
        <v>2205</v>
      </c>
      <c r="F75" s="95">
        <f t="shared" si="13"/>
        <v>2315.25</v>
      </c>
      <c r="G75" s="95">
        <f t="shared" si="13"/>
        <v>2431.0125000000003</v>
      </c>
      <c r="H75" s="95">
        <f t="shared" si="13"/>
        <v>2552.5631250000006</v>
      </c>
      <c r="I75" s="95">
        <f t="shared" si="13"/>
        <v>2680.1912812500009</v>
      </c>
      <c r="J75" s="95">
        <f t="shared" si="13"/>
        <v>2814.2008453125009</v>
      </c>
      <c r="K75" s="95">
        <f t="shared" si="13"/>
        <v>2954.9108875781262</v>
      </c>
      <c r="L75" s="96">
        <f t="shared" si="13"/>
        <v>3102.6564319570325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">
      <c r="A76" s="1"/>
      <c r="B76" s="2"/>
      <c r="C76" s="97"/>
      <c r="D76" s="97"/>
      <c r="E76" s="97"/>
      <c r="F76" s="97"/>
      <c r="G76" s="97"/>
      <c r="H76" s="97"/>
      <c r="I76" s="97"/>
      <c r="J76" s="97"/>
      <c r="K76" s="97"/>
      <c r="L76" s="97"/>
    </row>
    <row r="77" spans="1:26" ht="15" customHeight="1" x14ac:dyDescent="0.2">
      <c r="A77" s="1"/>
      <c r="B77" s="2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98" t="s">
        <v>67</v>
      </c>
      <c r="B78" s="99"/>
      <c r="C78" s="100">
        <v>1</v>
      </c>
      <c r="D78" s="101">
        <v>2</v>
      </c>
      <c r="E78" s="101">
        <v>3</v>
      </c>
      <c r="F78" s="101">
        <v>4</v>
      </c>
      <c r="G78" s="101">
        <v>5</v>
      </c>
      <c r="H78" s="101">
        <v>6</v>
      </c>
      <c r="I78" s="101">
        <v>7</v>
      </c>
      <c r="J78" s="101">
        <v>8</v>
      </c>
      <c r="K78" s="101">
        <v>9</v>
      </c>
      <c r="L78" s="102">
        <v>10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103" t="s">
        <v>58</v>
      </c>
      <c r="B79" s="104" t="s">
        <v>68</v>
      </c>
      <c r="C79" s="105">
        <f t="shared" ref="C79:L79" si="14">+C33*C58</f>
        <v>1633000</v>
      </c>
      <c r="D79" s="106">
        <f t="shared" si="14"/>
        <v>2052750</v>
      </c>
      <c r="E79" s="106">
        <f t="shared" si="14"/>
        <v>2206102.5</v>
      </c>
      <c r="F79" s="106">
        <f t="shared" si="14"/>
        <v>2422909.125</v>
      </c>
      <c r="G79" s="106">
        <f t="shared" si="14"/>
        <v>2124704.9250000003</v>
      </c>
      <c r="H79" s="106">
        <f t="shared" si="14"/>
        <v>2583193.8825000003</v>
      </c>
      <c r="I79" s="106">
        <f t="shared" si="14"/>
        <v>2712353.5766250002</v>
      </c>
      <c r="J79" s="106">
        <f t="shared" si="14"/>
        <v>2847971.2554562506</v>
      </c>
      <c r="K79" s="106">
        <f t="shared" si="14"/>
        <v>2990369.8182290634</v>
      </c>
      <c r="L79" s="107">
        <f t="shared" si="14"/>
        <v>3139888.3091405164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">
      <c r="A80" s="108" t="s">
        <v>60</v>
      </c>
      <c r="B80" s="109" t="s">
        <v>68</v>
      </c>
      <c r="C80" s="110">
        <f t="shared" ref="C80:L80" si="15">C34*C59</f>
        <v>144366.66666666666</v>
      </c>
      <c r="D80" s="111">
        <f t="shared" si="15"/>
        <v>179746.66666666666</v>
      </c>
      <c r="E80" s="111">
        <f t="shared" si="15"/>
        <v>191335.04000000001</v>
      </c>
      <c r="F80" s="111">
        <f t="shared" si="15"/>
        <v>208137.33546666667</v>
      </c>
      <c r="G80" s="111">
        <f t="shared" si="15"/>
        <v>180782.14280533337</v>
      </c>
      <c r="H80" s="111">
        <f t="shared" si="15"/>
        <v>217699.75933610671</v>
      </c>
      <c r="I80" s="111">
        <f t="shared" si="15"/>
        <v>226407.74970955096</v>
      </c>
      <c r="J80" s="111">
        <f t="shared" si="15"/>
        <v>235464.05969793303</v>
      </c>
      <c r="K80" s="111">
        <f t="shared" si="15"/>
        <v>244882.62208585034</v>
      </c>
      <c r="L80" s="112">
        <f t="shared" si="15"/>
        <v>254677.92696928437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 x14ac:dyDescent="0.2">
      <c r="A81" s="113" t="s">
        <v>69</v>
      </c>
      <c r="B81" s="114" t="s">
        <v>68</v>
      </c>
      <c r="C81" s="115">
        <f t="shared" ref="C81:L81" si="16">+C35*C60</f>
        <v>130000</v>
      </c>
      <c r="D81" s="116">
        <f t="shared" si="16"/>
        <v>0</v>
      </c>
      <c r="E81" s="116">
        <f t="shared" si="16"/>
        <v>0</v>
      </c>
      <c r="F81" s="116">
        <f t="shared" si="16"/>
        <v>0</v>
      </c>
      <c r="G81" s="116">
        <f t="shared" si="16"/>
        <v>158015.8125</v>
      </c>
      <c r="H81" s="116">
        <f t="shared" si="16"/>
        <v>0</v>
      </c>
      <c r="I81" s="116">
        <f t="shared" si="16"/>
        <v>0</v>
      </c>
      <c r="J81" s="116">
        <f t="shared" si="16"/>
        <v>0</v>
      </c>
      <c r="K81" s="116">
        <f t="shared" si="16"/>
        <v>0</v>
      </c>
      <c r="L81" s="117">
        <f t="shared" si="16"/>
        <v>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hidden="1" customHeight="1" x14ac:dyDescent="0.2">
      <c r="A82" s="118" t="s">
        <v>37</v>
      </c>
      <c r="B82" s="119"/>
      <c r="C82" s="120"/>
      <c r="D82" s="121"/>
      <c r="E82" s="121"/>
      <c r="F82" s="121"/>
      <c r="G82" s="121"/>
      <c r="H82" s="121"/>
      <c r="I82" s="121"/>
      <c r="J82" s="121"/>
      <c r="K82" s="121"/>
      <c r="L82" s="12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hidden="1" customHeight="1" x14ac:dyDescent="0.2">
      <c r="A83" s="123" t="s">
        <v>38</v>
      </c>
      <c r="B83" s="124" t="s">
        <v>68</v>
      </c>
      <c r="C83" s="125">
        <f t="shared" ref="C83:L83" si="17">+C37*C62</f>
        <v>0</v>
      </c>
      <c r="D83" s="126">
        <f t="shared" si="17"/>
        <v>0</v>
      </c>
      <c r="E83" s="126">
        <f t="shared" si="17"/>
        <v>0</v>
      </c>
      <c r="F83" s="126">
        <f t="shared" si="17"/>
        <v>0</v>
      </c>
      <c r="G83" s="126">
        <f t="shared" si="17"/>
        <v>0</v>
      </c>
      <c r="H83" s="126">
        <f t="shared" si="17"/>
        <v>0</v>
      </c>
      <c r="I83" s="126">
        <f t="shared" si="17"/>
        <v>0</v>
      </c>
      <c r="J83" s="126">
        <f t="shared" si="17"/>
        <v>0</v>
      </c>
      <c r="K83" s="126">
        <f t="shared" si="17"/>
        <v>0</v>
      </c>
      <c r="L83" s="127">
        <f t="shared" si="17"/>
        <v>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hidden="1" customHeight="1" x14ac:dyDescent="0.2">
      <c r="A84" s="123" t="s">
        <v>39</v>
      </c>
      <c r="B84" s="124" t="s">
        <v>68</v>
      </c>
      <c r="C84" s="125">
        <f t="shared" ref="C84:C85" si="18">+C38*C63</f>
        <v>0</v>
      </c>
      <c r="D84" s="126"/>
      <c r="E84" s="126"/>
      <c r="F84" s="126"/>
      <c r="G84" s="126"/>
      <c r="H84" s="126"/>
      <c r="I84" s="126"/>
      <c r="J84" s="126"/>
      <c r="K84" s="126"/>
      <c r="L84" s="127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hidden="1" customHeight="1" x14ac:dyDescent="0.2">
      <c r="A85" s="55" t="s">
        <v>70</v>
      </c>
      <c r="B85" s="114" t="s">
        <v>68</v>
      </c>
      <c r="C85" s="111">
        <f t="shared" si="18"/>
        <v>0</v>
      </c>
      <c r="D85" s="126"/>
      <c r="E85" s="126"/>
      <c r="F85" s="126"/>
      <c r="G85" s="126"/>
      <c r="H85" s="126"/>
      <c r="I85" s="126"/>
      <c r="J85" s="126"/>
      <c r="K85" s="126"/>
      <c r="L85" s="127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hidden="1" customHeight="1" x14ac:dyDescent="0.2">
      <c r="A86" s="57" t="s">
        <v>41</v>
      </c>
      <c r="B86" s="124" t="s">
        <v>68</v>
      </c>
      <c r="C86" s="125"/>
      <c r="D86" s="126">
        <f t="shared" ref="D86:L86" si="19">+D38*D65</f>
        <v>0</v>
      </c>
      <c r="E86" s="126">
        <f t="shared" si="19"/>
        <v>0</v>
      </c>
      <c r="F86" s="126">
        <f t="shared" si="19"/>
        <v>0</v>
      </c>
      <c r="G86" s="126">
        <f t="shared" si="19"/>
        <v>0</v>
      </c>
      <c r="H86" s="126">
        <f t="shared" si="19"/>
        <v>0</v>
      </c>
      <c r="I86" s="126">
        <f t="shared" si="19"/>
        <v>0</v>
      </c>
      <c r="J86" s="126">
        <f t="shared" si="19"/>
        <v>0</v>
      </c>
      <c r="K86" s="126">
        <f t="shared" si="19"/>
        <v>0</v>
      </c>
      <c r="L86" s="127">
        <f t="shared" si="19"/>
        <v>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 x14ac:dyDescent="0.2">
      <c r="A87" s="128" t="s">
        <v>43</v>
      </c>
      <c r="B87" s="119"/>
      <c r="C87" s="120"/>
      <c r="D87" s="121"/>
      <c r="E87" s="121"/>
      <c r="F87" s="121"/>
      <c r="G87" s="121"/>
      <c r="H87" s="121"/>
      <c r="I87" s="121"/>
      <c r="J87" s="121"/>
      <c r="K87" s="121"/>
      <c r="L87" s="12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">
      <c r="A88" s="63" t="s">
        <v>44</v>
      </c>
      <c r="B88" s="129" t="s">
        <v>68</v>
      </c>
      <c r="C88" s="105">
        <f t="shared" ref="C88:L88" si="20">+C43*C67</f>
        <v>880000</v>
      </c>
      <c r="D88" s="106">
        <f t="shared" si="20"/>
        <v>462000</v>
      </c>
      <c r="E88" s="106">
        <f t="shared" si="20"/>
        <v>0</v>
      </c>
      <c r="F88" s="106">
        <f t="shared" si="20"/>
        <v>0</v>
      </c>
      <c r="G88" s="106">
        <f t="shared" si="20"/>
        <v>0</v>
      </c>
      <c r="H88" s="106">
        <f t="shared" si="20"/>
        <v>0</v>
      </c>
      <c r="I88" s="106">
        <f t="shared" si="20"/>
        <v>294821.04093750002</v>
      </c>
      <c r="J88" s="106">
        <f t="shared" si="20"/>
        <v>309562.09298437508</v>
      </c>
      <c r="K88" s="106">
        <f t="shared" si="20"/>
        <v>325040.19763359381</v>
      </c>
      <c r="L88" s="107">
        <f t="shared" si="20"/>
        <v>341292.20751527353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">
      <c r="A89" s="52" t="s">
        <v>46</v>
      </c>
      <c r="B89" s="124" t="s">
        <v>68</v>
      </c>
      <c r="C89" s="130">
        <f t="shared" ref="C89:L89" si="21">+C44*C68</f>
        <v>1007344</v>
      </c>
      <c r="D89" s="126">
        <f t="shared" si="21"/>
        <v>1057711.2</v>
      </c>
      <c r="E89" s="126">
        <f t="shared" si="21"/>
        <v>1130547.6000000001</v>
      </c>
      <c r="F89" s="126">
        <f t="shared" si="21"/>
        <v>628451.46000000008</v>
      </c>
      <c r="G89" s="126">
        <f t="shared" si="21"/>
        <v>659874.03300000017</v>
      </c>
      <c r="H89" s="126">
        <f t="shared" si="21"/>
        <v>692867.73465000011</v>
      </c>
      <c r="I89" s="126">
        <f t="shared" si="21"/>
        <v>727511.12138250028</v>
      </c>
      <c r="J89" s="126">
        <f t="shared" si="21"/>
        <v>763886.67745162523</v>
      </c>
      <c r="K89" s="126">
        <f t="shared" si="21"/>
        <v>802081.0113242066</v>
      </c>
      <c r="L89" s="127">
        <f t="shared" si="21"/>
        <v>842185.06189041701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">
      <c r="A90" s="54" t="s">
        <v>48</v>
      </c>
      <c r="B90" s="124" t="s">
        <v>68</v>
      </c>
      <c r="C90" s="130">
        <f t="shared" ref="C90:L90" si="22">+C45*C69</f>
        <v>5000</v>
      </c>
      <c r="D90" s="126">
        <f t="shared" si="22"/>
        <v>5250</v>
      </c>
      <c r="E90" s="126">
        <f t="shared" si="22"/>
        <v>5512.5</v>
      </c>
      <c r="F90" s="126">
        <f t="shared" si="22"/>
        <v>5788.125</v>
      </c>
      <c r="G90" s="126">
        <f t="shared" si="22"/>
        <v>6077.53125</v>
      </c>
      <c r="H90" s="126">
        <f t="shared" si="22"/>
        <v>6381.4078125000005</v>
      </c>
      <c r="I90" s="126">
        <f t="shared" si="22"/>
        <v>6700.4782031250006</v>
      </c>
      <c r="J90" s="126">
        <f t="shared" si="22"/>
        <v>7035.5021132812508</v>
      </c>
      <c r="K90" s="126">
        <f t="shared" si="22"/>
        <v>7387.2772189453135</v>
      </c>
      <c r="L90" s="127">
        <f t="shared" si="22"/>
        <v>7756.6410798925799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">
      <c r="A91" s="52" t="s">
        <v>49</v>
      </c>
      <c r="B91" s="124" t="s">
        <v>68</v>
      </c>
      <c r="C91" s="130">
        <f t="shared" ref="C91:L91" si="23">+C46*C70</f>
        <v>82600</v>
      </c>
      <c r="D91" s="126">
        <f t="shared" si="23"/>
        <v>0</v>
      </c>
      <c r="E91" s="126">
        <f t="shared" si="23"/>
        <v>0</v>
      </c>
      <c r="F91" s="126">
        <f t="shared" si="23"/>
        <v>0</v>
      </c>
      <c r="G91" s="126">
        <f t="shared" si="23"/>
        <v>0</v>
      </c>
      <c r="H91" s="126">
        <f t="shared" si="23"/>
        <v>0</v>
      </c>
      <c r="I91" s="126">
        <f t="shared" si="23"/>
        <v>0</v>
      </c>
      <c r="J91" s="126">
        <f t="shared" si="23"/>
        <v>0</v>
      </c>
      <c r="K91" s="126">
        <f t="shared" si="23"/>
        <v>0</v>
      </c>
      <c r="L91" s="127">
        <f t="shared" si="23"/>
        <v>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">
      <c r="A92" s="52" t="s">
        <v>50</v>
      </c>
      <c r="B92" s="124" t="s">
        <v>68</v>
      </c>
      <c r="C92" s="130">
        <f t="shared" ref="C92:L92" si="24">+C47*C71</f>
        <v>23600</v>
      </c>
      <c r="D92" s="126">
        <f t="shared" si="24"/>
        <v>37170</v>
      </c>
      <c r="E92" s="126">
        <f t="shared" si="24"/>
        <v>52038</v>
      </c>
      <c r="F92" s="126">
        <f t="shared" si="24"/>
        <v>54639.9</v>
      </c>
      <c r="G92" s="126">
        <f t="shared" si="24"/>
        <v>57371.895000000004</v>
      </c>
      <c r="H92" s="126">
        <f t="shared" si="24"/>
        <v>60240.489750000008</v>
      </c>
      <c r="I92" s="126">
        <f t="shared" si="24"/>
        <v>63252.514237500007</v>
      </c>
      <c r="J92" s="126">
        <f t="shared" si="24"/>
        <v>66415.139949375007</v>
      </c>
      <c r="K92" s="126">
        <f t="shared" si="24"/>
        <v>69735.896946843757</v>
      </c>
      <c r="L92" s="127">
        <f t="shared" si="24"/>
        <v>73222.691794185957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">
      <c r="A93" s="52" t="s">
        <v>51</v>
      </c>
      <c r="B93" s="124" t="s">
        <v>68</v>
      </c>
      <c r="C93" s="130">
        <f t="shared" ref="C93:L93" si="25">+C48*C72</f>
        <v>5600</v>
      </c>
      <c r="D93" s="126">
        <f t="shared" si="25"/>
        <v>5880</v>
      </c>
      <c r="E93" s="126">
        <f t="shared" si="25"/>
        <v>0</v>
      </c>
      <c r="F93" s="126">
        <f t="shared" si="25"/>
        <v>0</v>
      </c>
      <c r="G93" s="126">
        <f t="shared" si="25"/>
        <v>0</v>
      </c>
      <c r="H93" s="126">
        <f t="shared" si="25"/>
        <v>0</v>
      </c>
      <c r="I93" s="126">
        <f t="shared" si="25"/>
        <v>0</v>
      </c>
      <c r="J93" s="126">
        <f t="shared" si="25"/>
        <v>0</v>
      </c>
      <c r="K93" s="126">
        <f t="shared" si="25"/>
        <v>0</v>
      </c>
      <c r="L93" s="127">
        <f t="shared" si="25"/>
        <v>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">
      <c r="A94" s="52" t="s">
        <v>52</v>
      </c>
      <c r="B94" s="124" t="s">
        <v>68</v>
      </c>
      <c r="C94" s="130">
        <f t="shared" ref="C94:L94" si="26">+C49*C73</f>
        <v>10000</v>
      </c>
      <c r="D94" s="126">
        <f t="shared" si="26"/>
        <v>10500</v>
      </c>
      <c r="E94" s="126">
        <f t="shared" si="26"/>
        <v>11025</v>
      </c>
      <c r="F94" s="126">
        <f t="shared" si="26"/>
        <v>16206.75</v>
      </c>
      <c r="G94" s="126">
        <f t="shared" si="26"/>
        <v>17017.087500000001</v>
      </c>
      <c r="H94" s="126">
        <f t="shared" si="26"/>
        <v>17867.941875000004</v>
      </c>
      <c r="I94" s="126">
        <f t="shared" si="26"/>
        <v>26801.91281250001</v>
      </c>
      <c r="J94" s="126">
        <f t="shared" si="26"/>
        <v>28142.00845312501</v>
      </c>
      <c r="K94" s="126">
        <f t="shared" si="26"/>
        <v>29549.108875781261</v>
      </c>
      <c r="L94" s="127">
        <f t="shared" si="26"/>
        <v>31026.564319570323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">
      <c r="A95" s="52" t="s">
        <v>54</v>
      </c>
      <c r="B95" s="124" t="s">
        <v>68</v>
      </c>
      <c r="C95" s="130">
        <f t="shared" ref="C95:L95" si="27">+C50*C74</f>
        <v>25000</v>
      </c>
      <c r="D95" s="126">
        <f t="shared" si="27"/>
        <v>26250</v>
      </c>
      <c r="E95" s="126">
        <f t="shared" si="27"/>
        <v>27562.5</v>
      </c>
      <c r="F95" s="126">
        <f t="shared" si="27"/>
        <v>40516.875</v>
      </c>
      <c r="G95" s="126">
        <f t="shared" si="27"/>
        <v>42542.71875</v>
      </c>
      <c r="H95" s="126">
        <f t="shared" si="27"/>
        <v>44669.854687500003</v>
      </c>
      <c r="I95" s="126">
        <f t="shared" si="27"/>
        <v>67004.782031250012</v>
      </c>
      <c r="J95" s="126">
        <f t="shared" si="27"/>
        <v>70355.021132812515</v>
      </c>
      <c r="K95" s="126">
        <f t="shared" si="27"/>
        <v>73872.772189453128</v>
      </c>
      <c r="L95" s="127">
        <f t="shared" si="27"/>
        <v>77566.410798925805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 x14ac:dyDescent="0.2">
      <c r="A96" s="55" t="s">
        <v>55</v>
      </c>
      <c r="B96" s="114" t="s">
        <v>68</v>
      </c>
      <c r="C96" s="115">
        <f t="shared" ref="C96:L96" si="28">+C51*C75</f>
        <v>6000</v>
      </c>
      <c r="D96" s="116">
        <f t="shared" si="28"/>
        <v>6300</v>
      </c>
      <c r="E96" s="116">
        <f t="shared" si="28"/>
        <v>6615</v>
      </c>
      <c r="F96" s="116">
        <f t="shared" si="28"/>
        <v>11576.25</v>
      </c>
      <c r="G96" s="116">
        <f t="shared" si="28"/>
        <v>17017.087500000001</v>
      </c>
      <c r="H96" s="116">
        <f t="shared" si="28"/>
        <v>17867.941875000004</v>
      </c>
      <c r="I96" s="116">
        <f t="shared" si="28"/>
        <v>18761.338968750006</v>
      </c>
      <c r="J96" s="116">
        <f t="shared" si="28"/>
        <v>25327.807607812509</v>
      </c>
      <c r="K96" s="116">
        <f t="shared" si="28"/>
        <v>26594.197988203137</v>
      </c>
      <c r="L96" s="117">
        <f t="shared" si="28"/>
        <v>27923.907887613292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31" t="s">
        <v>71</v>
      </c>
      <c r="B97" s="132" t="s">
        <v>68</v>
      </c>
      <c r="C97" s="133">
        <f t="shared" ref="C97:L97" si="29">SUM(C79:C96)</f>
        <v>3952510.666666667</v>
      </c>
      <c r="D97" s="134">
        <f t="shared" si="29"/>
        <v>3843557.8666666662</v>
      </c>
      <c r="E97" s="134">
        <f t="shared" si="29"/>
        <v>3630738.14</v>
      </c>
      <c r="F97" s="134">
        <f t="shared" si="29"/>
        <v>3388225.8204666665</v>
      </c>
      <c r="G97" s="134">
        <f t="shared" si="29"/>
        <v>3263403.2333053336</v>
      </c>
      <c r="H97" s="134">
        <f t="shared" si="29"/>
        <v>3640789.0124861067</v>
      </c>
      <c r="I97" s="134">
        <f t="shared" si="29"/>
        <v>4143614.5149076758</v>
      </c>
      <c r="J97" s="134">
        <f t="shared" si="29"/>
        <v>4354159.5648465911</v>
      </c>
      <c r="K97" s="134">
        <f t="shared" si="29"/>
        <v>4569512.9024919402</v>
      </c>
      <c r="L97" s="135">
        <f t="shared" si="29"/>
        <v>4795539.7213956797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customHeight="1" x14ac:dyDescent="0.2">
      <c r="A98" s="1"/>
      <c r="B98" s="2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31" t="s">
        <v>72</v>
      </c>
      <c r="B99" s="119"/>
      <c r="C99" s="136"/>
      <c r="D99" s="137"/>
      <c r="E99" s="137"/>
      <c r="F99" s="137"/>
      <c r="G99" s="137"/>
      <c r="H99" s="137"/>
      <c r="I99" s="137"/>
      <c r="J99" s="137"/>
      <c r="K99" s="137"/>
      <c r="L99" s="138"/>
    </row>
    <row r="100" spans="1:26" ht="14.25" customHeight="1" x14ac:dyDescent="0.2">
      <c r="A100" s="139" t="s">
        <v>73</v>
      </c>
      <c r="B100" s="104" t="s">
        <v>74</v>
      </c>
      <c r="C100" s="140">
        <f>+C99*0.6</f>
        <v>0</v>
      </c>
      <c r="D100" s="141">
        <v>600</v>
      </c>
      <c r="E100" s="141">
        <v>1200</v>
      </c>
      <c r="F100" s="141">
        <v>2000</v>
      </c>
      <c r="G100" s="141">
        <v>2000</v>
      </c>
      <c r="H100" s="141">
        <v>2000</v>
      </c>
      <c r="I100" s="141">
        <v>2000</v>
      </c>
      <c r="J100" s="141">
        <v>2000</v>
      </c>
      <c r="K100" s="141">
        <v>2000</v>
      </c>
      <c r="L100" s="141">
        <v>2000</v>
      </c>
    </row>
    <row r="101" spans="1:26" ht="14.25" customHeight="1" x14ac:dyDescent="0.2">
      <c r="A101" s="123" t="s">
        <v>75</v>
      </c>
      <c r="B101" s="124" t="s">
        <v>74</v>
      </c>
      <c r="C101" s="142">
        <v>0</v>
      </c>
      <c r="D101" s="143">
        <f>1200*13</f>
        <v>15600</v>
      </c>
      <c r="E101" s="143">
        <f t="shared" ref="E101:F101" si="30">+D101*0.8</f>
        <v>12480</v>
      </c>
      <c r="F101" s="143">
        <f t="shared" si="30"/>
        <v>9984</v>
      </c>
      <c r="G101" s="144">
        <v>0</v>
      </c>
      <c r="H101" s="144">
        <f t="shared" ref="H101:L101" si="31">+G101*0.8</f>
        <v>0</v>
      </c>
      <c r="I101" s="144">
        <f t="shared" si="31"/>
        <v>0</v>
      </c>
      <c r="J101" s="144">
        <f t="shared" si="31"/>
        <v>0</v>
      </c>
      <c r="K101" s="144">
        <f t="shared" si="31"/>
        <v>0</v>
      </c>
      <c r="L101" s="145">
        <f t="shared" si="31"/>
        <v>0</v>
      </c>
    </row>
    <row r="102" spans="1:26" ht="14.25" customHeight="1" x14ac:dyDescent="0.2">
      <c r="A102" s="123" t="s">
        <v>76</v>
      </c>
      <c r="B102" s="124" t="s">
        <v>77</v>
      </c>
      <c r="C102" s="142">
        <v>0</v>
      </c>
      <c r="D102" s="143">
        <v>0</v>
      </c>
      <c r="E102" s="143">
        <v>0</v>
      </c>
      <c r="F102" s="143">
        <v>0</v>
      </c>
      <c r="G102" s="143">
        <v>0</v>
      </c>
      <c r="H102" s="143">
        <v>0</v>
      </c>
      <c r="I102" s="143">
        <v>0</v>
      </c>
      <c r="J102" s="143">
        <v>0</v>
      </c>
      <c r="K102" s="143">
        <v>0</v>
      </c>
      <c r="L102" s="146">
        <f>+K102*1.3</f>
        <v>0</v>
      </c>
    </row>
    <row r="103" spans="1:26" ht="14.25" customHeight="1" x14ac:dyDescent="0.2">
      <c r="A103" s="108"/>
      <c r="B103" s="124"/>
      <c r="C103" s="147"/>
      <c r="D103" s="148"/>
      <c r="E103" s="148"/>
      <c r="F103" s="148"/>
      <c r="G103" s="148"/>
      <c r="H103" s="148"/>
      <c r="I103" s="148"/>
      <c r="J103" s="148"/>
      <c r="K103" s="148"/>
      <c r="L103" s="149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">
      <c r="A104" s="123" t="s">
        <v>78</v>
      </c>
      <c r="B104" s="124" t="s">
        <v>79</v>
      </c>
      <c r="C104" s="110">
        <v>4800</v>
      </c>
      <c r="D104" s="150">
        <f t="shared" ref="D104:L104" si="32">+C104*1.05</f>
        <v>5040</v>
      </c>
      <c r="E104" s="150">
        <f t="shared" si="32"/>
        <v>5292</v>
      </c>
      <c r="F104" s="150">
        <f t="shared" si="32"/>
        <v>5556.6</v>
      </c>
      <c r="G104" s="150">
        <f t="shared" si="32"/>
        <v>5834.43</v>
      </c>
      <c r="H104" s="150">
        <f t="shared" si="32"/>
        <v>6126.1515000000009</v>
      </c>
      <c r="I104" s="150">
        <f t="shared" si="32"/>
        <v>6432.4590750000016</v>
      </c>
      <c r="J104" s="150">
        <f t="shared" si="32"/>
        <v>6754.0820287500019</v>
      </c>
      <c r="K104" s="150">
        <f t="shared" si="32"/>
        <v>7091.7861301875018</v>
      </c>
      <c r="L104" s="151">
        <f t="shared" si="32"/>
        <v>7446.3754366968769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">
      <c r="A105" s="123" t="s">
        <v>80</v>
      </c>
      <c r="B105" s="124" t="s">
        <v>79</v>
      </c>
      <c r="C105" s="110">
        <v>800</v>
      </c>
      <c r="D105" s="150">
        <f t="shared" ref="D105:L105" si="33">+C105*1.05</f>
        <v>840</v>
      </c>
      <c r="E105" s="150">
        <f t="shared" si="33"/>
        <v>882</v>
      </c>
      <c r="F105" s="150">
        <f t="shared" si="33"/>
        <v>926.1</v>
      </c>
      <c r="G105" s="150">
        <f t="shared" si="33"/>
        <v>972.40500000000009</v>
      </c>
      <c r="H105" s="150">
        <f t="shared" si="33"/>
        <v>1021.0252500000001</v>
      </c>
      <c r="I105" s="150">
        <f t="shared" si="33"/>
        <v>1072.0765125000003</v>
      </c>
      <c r="J105" s="150">
        <f t="shared" si="33"/>
        <v>1125.6803381250004</v>
      </c>
      <c r="K105" s="150">
        <f t="shared" si="33"/>
        <v>1181.9643550312505</v>
      </c>
      <c r="L105" s="151">
        <f t="shared" si="33"/>
        <v>1241.062572782813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 x14ac:dyDescent="0.2">
      <c r="A106" s="152" t="s">
        <v>81</v>
      </c>
      <c r="B106" s="153" t="s">
        <v>82</v>
      </c>
      <c r="C106" s="115">
        <v>50000</v>
      </c>
      <c r="D106" s="116">
        <f t="shared" ref="D106:L106" si="34">+C106*1.05</f>
        <v>52500</v>
      </c>
      <c r="E106" s="116">
        <f t="shared" si="34"/>
        <v>55125</v>
      </c>
      <c r="F106" s="116">
        <f t="shared" si="34"/>
        <v>57881.25</v>
      </c>
      <c r="G106" s="116">
        <f t="shared" si="34"/>
        <v>60775.3125</v>
      </c>
      <c r="H106" s="116">
        <f t="shared" si="34"/>
        <v>63814.078125</v>
      </c>
      <c r="I106" s="116">
        <f t="shared" si="34"/>
        <v>67004.782031249997</v>
      </c>
      <c r="J106" s="116">
        <f t="shared" si="34"/>
        <v>70355.021132812501</v>
      </c>
      <c r="K106" s="116">
        <f t="shared" si="34"/>
        <v>73872.772189453128</v>
      </c>
      <c r="L106" s="117">
        <f t="shared" si="34"/>
        <v>77566.41079892579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 x14ac:dyDescent="0.2">
      <c r="A107" s="154"/>
      <c r="B107" s="2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31" t="s">
        <v>83</v>
      </c>
      <c r="B108" s="119"/>
      <c r="C108" s="155"/>
      <c r="D108" s="156"/>
      <c r="E108" s="156"/>
      <c r="F108" s="156"/>
      <c r="G108" s="156"/>
      <c r="H108" s="156"/>
      <c r="I108" s="156"/>
      <c r="J108" s="156"/>
      <c r="K108" s="156"/>
      <c r="L108" s="157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">
      <c r="A109" s="158" t="s">
        <v>84</v>
      </c>
      <c r="B109" s="129" t="s">
        <v>85</v>
      </c>
      <c r="C109" s="159">
        <f t="shared" ref="C109:L109" si="35">+C100*C104</f>
        <v>0</v>
      </c>
      <c r="D109" s="160">
        <f t="shared" si="35"/>
        <v>3024000</v>
      </c>
      <c r="E109" s="160">
        <f t="shared" si="35"/>
        <v>6350400</v>
      </c>
      <c r="F109" s="160">
        <f t="shared" si="35"/>
        <v>11113200</v>
      </c>
      <c r="G109" s="160">
        <f t="shared" si="35"/>
        <v>11668860</v>
      </c>
      <c r="H109" s="160">
        <f t="shared" si="35"/>
        <v>12252303.000000002</v>
      </c>
      <c r="I109" s="160">
        <f t="shared" si="35"/>
        <v>12864918.150000002</v>
      </c>
      <c r="J109" s="160">
        <f t="shared" si="35"/>
        <v>13508164.057500003</v>
      </c>
      <c r="K109" s="160">
        <f t="shared" si="35"/>
        <v>14183572.260375004</v>
      </c>
      <c r="L109" s="161">
        <f t="shared" si="35"/>
        <v>14892750.873393754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">
      <c r="A110" s="162" t="s">
        <v>86</v>
      </c>
      <c r="B110" s="124" t="s">
        <v>85</v>
      </c>
      <c r="C110" s="110">
        <f t="shared" ref="C110:L110" si="36">+C101*C105</f>
        <v>0</v>
      </c>
      <c r="D110" s="150">
        <f t="shared" si="36"/>
        <v>13104000</v>
      </c>
      <c r="E110" s="150">
        <f t="shared" si="36"/>
        <v>11007360</v>
      </c>
      <c r="F110" s="150">
        <f t="shared" si="36"/>
        <v>9246182.4000000004</v>
      </c>
      <c r="G110" s="150">
        <f t="shared" si="36"/>
        <v>0</v>
      </c>
      <c r="H110" s="150">
        <f t="shared" si="36"/>
        <v>0</v>
      </c>
      <c r="I110" s="150">
        <f t="shared" si="36"/>
        <v>0</v>
      </c>
      <c r="J110" s="150">
        <f t="shared" si="36"/>
        <v>0</v>
      </c>
      <c r="K110" s="150">
        <f t="shared" si="36"/>
        <v>0</v>
      </c>
      <c r="L110" s="151">
        <f t="shared" si="36"/>
        <v>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 x14ac:dyDescent="0.2">
      <c r="A111" s="163" t="s">
        <v>81</v>
      </c>
      <c r="B111" s="114" t="s">
        <v>85</v>
      </c>
      <c r="C111" s="115">
        <f t="shared" ref="C111:L111" si="37">+C102*C106</f>
        <v>0</v>
      </c>
      <c r="D111" s="116">
        <f t="shared" si="37"/>
        <v>0</v>
      </c>
      <c r="E111" s="116">
        <f t="shared" si="37"/>
        <v>0</v>
      </c>
      <c r="F111" s="116">
        <f t="shared" si="37"/>
        <v>0</v>
      </c>
      <c r="G111" s="116">
        <f t="shared" si="37"/>
        <v>0</v>
      </c>
      <c r="H111" s="116">
        <f t="shared" si="37"/>
        <v>0</v>
      </c>
      <c r="I111" s="116">
        <f t="shared" si="37"/>
        <v>0</v>
      </c>
      <c r="J111" s="116">
        <f t="shared" si="37"/>
        <v>0</v>
      </c>
      <c r="K111" s="116">
        <f t="shared" si="37"/>
        <v>0</v>
      </c>
      <c r="L111" s="117">
        <f t="shared" si="37"/>
        <v>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31" t="s">
        <v>87</v>
      </c>
      <c r="B112" s="119" t="s">
        <v>85</v>
      </c>
      <c r="C112" s="133">
        <f t="shared" ref="C112:L112" si="38">SUM(C109:C111)</f>
        <v>0</v>
      </c>
      <c r="D112" s="134">
        <f t="shared" si="38"/>
        <v>16128000</v>
      </c>
      <c r="E112" s="134">
        <f t="shared" si="38"/>
        <v>17357760</v>
      </c>
      <c r="F112" s="134">
        <f t="shared" si="38"/>
        <v>20359382.399999999</v>
      </c>
      <c r="G112" s="134">
        <f t="shared" si="38"/>
        <v>11668860</v>
      </c>
      <c r="H112" s="134">
        <f t="shared" si="38"/>
        <v>12252303.000000002</v>
      </c>
      <c r="I112" s="134">
        <f t="shared" si="38"/>
        <v>12864918.150000002</v>
      </c>
      <c r="J112" s="134">
        <f t="shared" si="38"/>
        <v>13508164.057500003</v>
      </c>
      <c r="K112" s="134">
        <f t="shared" si="38"/>
        <v>14183572.260375004</v>
      </c>
      <c r="L112" s="135">
        <f t="shared" si="38"/>
        <v>14892750.873393754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12" ht="12.75" customHeight="1" x14ac:dyDescent="0.2"/>
    <row r="114" spans="1:12" ht="15.75" customHeight="1" x14ac:dyDescent="0.2">
      <c r="A114" s="470" t="s">
        <v>88</v>
      </c>
      <c r="B114" s="456"/>
      <c r="C114" s="456"/>
      <c r="D114" s="456"/>
      <c r="E114" s="456"/>
      <c r="F114" s="456"/>
      <c r="G114" s="456"/>
      <c r="H114" s="456"/>
      <c r="I114" s="3"/>
      <c r="J114" s="3"/>
      <c r="K114" s="3"/>
    </row>
    <row r="115" spans="1:12" ht="15" customHeight="1" x14ac:dyDescent="0.2">
      <c r="A115" s="456"/>
      <c r="B115" s="456"/>
      <c r="C115" s="456"/>
      <c r="D115" s="456"/>
      <c r="E115" s="456"/>
      <c r="F115" s="456"/>
      <c r="G115" s="456"/>
      <c r="H115" s="456"/>
      <c r="I115" s="3"/>
      <c r="J115" s="3"/>
      <c r="K115" s="3"/>
    </row>
    <row r="116" spans="1:12" ht="1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2" ht="16.5" customHeight="1" x14ac:dyDescent="0.25">
      <c r="A117" s="3"/>
      <c r="B117" s="3"/>
      <c r="C117" s="164" t="s">
        <v>89</v>
      </c>
      <c r="D117" s="164" t="s">
        <v>90</v>
      </c>
      <c r="E117" s="164" t="s">
        <v>91</v>
      </c>
      <c r="F117" s="164" t="s">
        <v>92</v>
      </c>
      <c r="G117" s="164" t="s">
        <v>93</v>
      </c>
      <c r="H117" s="164" t="s">
        <v>94</v>
      </c>
      <c r="I117" s="164" t="s">
        <v>95</v>
      </c>
      <c r="J117" s="164" t="s">
        <v>96</v>
      </c>
      <c r="K117" s="164" t="s">
        <v>97</v>
      </c>
      <c r="L117" s="164" t="s">
        <v>98</v>
      </c>
    </row>
    <row r="118" spans="1:12" ht="15.75" customHeight="1" x14ac:dyDescent="0.2">
      <c r="A118" s="131" t="s">
        <v>99</v>
      </c>
      <c r="B118" s="119" t="s">
        <v>85</v>
      </c>
      <c r="C118" s="165">
        <f t="shared" ref="C118:L118" si="39">+C97*5</f>
        <v>19762553.333333336</v>
      </c>
      <c r="D118" s="165">
        <f t="shared" si="39"/>
        <v>19217789.333333332</v>
      </c>
      <c r="E118" s="165">
        <f t="shared" si="39"/>
        <v>18153690.699999999</v>
      </c>
      <c r="F118" s="165">
        <f t="shared" si="39"/>
        <v>16941129.102333333</v>
      </c>
      <c r="G118" s="165">
        <f t="shared" si="39"/>
        <v>16317016.166526668</v>
      </c>
      <c r="H118" s="165">
        <f t="shared" si="39"/>
        <v>18203945.062430535</v>
      </c>
      <c r="I118" s="165">
        <f t="shared" si="39"/>
        <v>20718072.57453838</v>
      </c>
      <c r="J118" s="165">
        <f t="shared" si="39"/>
        <v>21770797.824232955</v>
      </c>
      <c r="K118" s="165">
        <f t="shared" si="39"/>
        <v>22847564.512459703</v>
      </c>
      <c r="L118" s="165">
        <f t="shared" si="39"/>
        <v>23977698.606978398</v>
      </c>
    </row>
    <row r="119" spans="1:12" ht="15.75" customHeight="1" x14ac:dyDescent="0.2">
      <c r="A119" s="166"/>
      <c r="B119" s="2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</row>
    <row r="120" spans="1:12" ht="15.75" customHeight="1" x14ac:dyDescent="0.2">
      <c r="A120" s="168" t="s">
        <v>100</v>
      </c>
      <c r="B120" s="169"/>
      <c r="C120" s="167"/>
      <c r="D120" s="167"/>
      <c r="E120" s="167"/>
      <c r="F120" s="167">
        <f>(11520/12)/4</f>
        <v>240</v>
      </c>
      <c r="G120" s="167"/>
      <c r="H120" s="167"/>
      <c r="I120" s="167"/>
      <c r="J120" s="167"/>
      <c r="K120" s="167"/>
      <c r="L120" s="167"/>
    </row>
    <row r="121" spans="1:12" ht="14.25" customHeight="1" x14ac:dyDescent="0.2">
      <c r="A121" s="170" t="s">
        <v>73</v>
      </c>
      <c r="B121" s="104" t="s">
        <v>74</v>
      </c>
      <c r="C121" s="171">
        <f t="shared" ref="C121:C123" si="40">+C100*1.5</f>
        <v>0</v>
      </c>
      <c r="D121" s="172">
        <f t="shared" ref="D121:L121" si="41">+D100*5</f>
        <v>3000</v>
      </c>
      <c r="E121" s="172">
        <f t="shared" si="41"/>
        <v>6000</v>
      </c>
      <c r="F121" s="172">
        <f t="shared" si="41"/>
        <v>10000</v>
      </c>
      <c r="G121" s="172">
        <f t="shared" si="41"/>
        <v>10000</v>
      </c>
      <c r="H121" s="104">
        <f t="shared" si="41"/>
        <v>10000</v>
      </c>
      <c r="I121" s="104">
        <f t="shared" si="41"/>
        <v>10000</v>
      </c>
      <c r="J121" s="104">
        <f t="shared" si="41"/>
        <v>10000</v>
      </c>
      <c r="K121" s="104">
        <f t="shared" si="41"/>
        <v>10000</v>
      </c>
      <c r="L121" s="104">
        <f t="shared" si="41"/>
        <v>10000</v>
      </c>
    </row>
    <row r="122" spans="1:12" ht="14.25" customHeight="1" x14ac:dyDescent="0.2">
      <c r="A122" s="173" t="s">
        <v>101</v>
      </c>
      <c r="B122" s="124" t="s">
        <v>74</v>
      </c>
      <c r="C122" s="174">
        <f t="shared" si="40"/>
        <v>0</v>
      </c>
      <c r="D122" s="175">
        <f t="shared" ref="D122:L122" si="42">+D101*5</f>
        <v>78000</v>
      </c>
      <c r="E122" s="175">
        <f t="shared" si="42"/>
        <v>62400</v>
      </c>
      <c r="F122" s="175">
        <f t="shared" si="42"/>
        <v>49920</v>
      </c>
      <c r="G122" s="175">
        <f t="shared" si="42"/>
        <v>0</v>
      </c>
      <c r="H122" s="124">
        <f t="shared" si="42"/>
        <v>0</v>
      </c>
      <c r="I122" s="124">
        <f t="shared" si="42"/>
        <v>0</v>
      </c>
      <c r="J122" s="124">
        <f t="shared" si="42"/>
        <v>0</v>
      </c>
      <c r="K122" s="124">
        <f t="shared" si="42"/>
        <v>0</v>
      </c>
      <c r="L122" s="124">
        <f t="shared" si="42"/>
        <v>0</v>
      </c>
    </row>
    <row r="123" spans="1:12" ht="15" customHeight="1" x14ac:dyDescent="0.2">
      <c r="A123" s="176" t="s">
        <v>76</v>
      </c>
      <c r="B123" s="153" t="s">
        <v>77</v>
      </c>
      <c r="C123" s="177">
        <f t="shared" si="40"/>
        <v>0</v>
      </c>
      <c r="D123" s="153">
        <f t="shared" ref="D123:L123" si="43">+D102*2</f>
        <v>0</v>
      </c>
      <c r="E123" s="153">
        <f t="shared" si="43"/>
        <v>0</v>
      </c>
      <c r="F123" s="153">
        <f t="shared" si="43"/>
        <v>0</v>
      </c>
      <c r="G123" s="153">
        <f t="shared" si="43"/>
        <v>0</v>
      </c>
      <c r="H123" s="153">
        <f t="shared" si="43"/>
        <v>0</v>
      </c>
      <c r="I123" s="153">
        <f t="shared" si="43"/>
        <v>0</v>
      </c>
      <c r="J123" s="153">
        <f t="shared" si="43"/>
        <v>0</v>
      </c>
      <c r="K123" s="153">
        <f t="shared" si="43"/>
        <v>0</v>
      </c>
      <c r="L123" s="153">
        <f t="shared" si="43"/>
        <v>0</v>
      </c>
    </row>
    <row r="124" spans="1:12" ht="15" customHeight="1" x14ac:dyDescent="0.2">
      <c r="A124" s="1"/>
      <c r="B124" s="178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</row>
    <row r="125" spans="1:12" ht="14.25" customHeight="1" x14ac:dyDescent="0.2">
      <c r="A125" s="170" t="s">
        <v>78</v>
      </c>
      <c r="B125" s="104" t="s">
        <v>79</v>
      </c>
      <c r="C125" s="179">
        <f t="shared" ref="C125:C126" si="44">C104</f>
        <v>4800</v>
      </c>
      <c r="D125" s="180">
        <f t="shared" ref="D125:L125" si="45">+C125*1.05</f>
        <v>5040</v>
      </c>
      <c r="E125" s="181">
        <f t="shared" si="45"/>
        <v>5292</v>
      </c>
      <c r="F125" s="180">
        <f t="shared" si="45"/>
        <v>5556.6</v>
      </c>
      <c r="G125" s="181">
        <f t="shared" si="45"/>
        <v>5834.43</v>
      </c>
      <c r="H125" s="182">
        <f t="shared" si="45"/>
        <v>6126.1515000000009</v>
      </c>
      <c r="I125" s="179">
        <f t="shared" si="45"/>
        <v>6432.4590750000016</v>
      </c>
      <c r="J125" s="182">
        <f t="shared" si="45"/>
        <v>6754.0820287500019</v>
      </c>
      <c r="K125" s="179">
        <f t="shared" si="45"/>
        <v>7091.7861301875018</v>
      </c>
      <c r="L125" s="183">
        <f t="shared" si="45"/>
        <v>7446.3754366968769</v>
      </c>
    </row>
    <row r="126" spans="1:12" ht="14.25" customHeight="1" x14ac:dyDescent="0.2">
      <c r="A126" s="173" t="s">
        <v>80</v>
      </c>
      <c r="B126" s="124" t="s">
        <v>79</v>
      </c>
      <c r="C126" s="184">
        <f t="shared" si="44"/>
        <v>800</v>
      </c>
      <c r="D126" s="185">
        <f t="shared" ref="D126:L126" si="46">+C126*1.05</f>
        <v>840</v>
      </c>
      <c r="E126" s="186">
        <f t="shared" si="46"/>
        <v>882</v>
      </c>
      <c r="F126" s="185">
        <f t="shared" si="46"/>
        <v>926.1</v>
      </c>
      <c r="G126" s="186">
        <f t="shared" si="46"/>
        <v>972.40500000000009</v>
      </c>
      <c r="H126" s="187">
        <f t="shared" si="46"/>
        <v>1021.0252500000001</v>
      </c>
      <c r="I126" s="184">
        <f t="shared" si="46"/>
        <v>1072.0765125000003</v>
      </c>
      <c r="J126" s="187">
        <f t="shared" si="46"/>
        <v>1125.6803381250004</v>
      </c>
      <c r="K126" s="184">
        <f t="shared" si="46"/>
        <v>1181.9643550312505</v>
      </c>
      <c r="L126" s="188">
        <f t="shared" si="46"/>
        <v>1241.062572782813</v>
      </c>
    </row>
    <row r="127" spans="1:12" ht="15" customHeight="1" x14ac:dyDescent="0.2">
      <c r="A127" s="176" t="s">
        <v>81</v>
      </c>
      <c r="B127" s="153" t="s">
        <v>82</v>
      </c>
      <c r="C127" s="189">
        <v>50000</v>
      </c>
      <c r="D127" s="190">
        <f t="shared" ref="D127:L127" si="47">+C127*1.05</f>
        <v>52500</v>
      </c>
      <c r="E127" s="189">
        <f t="shared" si="47"/>
        <v>55125</v>
      </c>
      <c r="F127" s="190">
        <f t="shared" si="47"/>
        <v>57881.25</v>
      </c>
      <c r="G127" s="189">
        <f t="shared" si="47"/>
        <v>60775.3125</v>
      </c>
      <c r="H127" s="190">
        <f t="shared" si="47"/>
        <v>63814.078125</v>
      </c>
      <c r="I127" s="189">
        <f t="shared" si="47"/>
        <v>67004.782031249997</v>
      </c>
      <c r="J127" s="190">
        <f t="shared" si="47"/>
        <v>70355.021132812501</v>
      </c>
      <c r="K127" s="189">
        <f t="shared" si="47"/>
        <v>73872.772189453128</v>
      </c>
      <c r="L127" s="191">
        <f t="shared" si="47"/>
        <v>77566.41079892579</v>
      </c>
    </row>
    <row r="128" spans="1:12" ht="14.25" customHeight="1" x14ac:dyDescent="0.2">
      <c r="A128" s="154"/>
      <c r="B128" s="2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</row>
    <row r="129" spans="1:12" ht="15.75" customHeight="1" x14ac:dyDescent="0.2">
      <c r="A129" s="192" t="s">
        <v>102</v>
      </c>
      <c r="B129" s="2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</row>
    <row r="130" spans="1:12" ht="14.25" customHeight="1" x14ac:dyDescent="0.2">
      <c r="A130" s="139" t="s">
        <v>84</v>
      </c>
      <c r="B130" s="193" t="s">
        <v>85</v>
      </c>
      <c r="C130" s="194">
        <f t="shared" ref="C130:L130" si="48">+C121*C125</f>
        <v>0</v>
      </c>
      <c r="D130" s="195">
        <f t="shared" si="48"/>
        <v>15120000</v>
      </c>
      <c r="E130" s="196">
        <f t="shared" si="48"/>
        <v>31752000</v>
      </c>
      <c r="F130" s="195">
        <f t="shared" si="48"/>
        <v>55566000</v>
      </c>
      <c r="G130" s="196">
        <f t="shared" si="48"/>
        <v>58344300</v>
      </c>
      <c r="H130" s="195">
        <f t="shared" si="48"/>
        <v>61261515.000000007</v>
      </c>
      <c r="I130" s="196">
        <f t="shared" si="48"/>
        <v>64324590.750000015</v>
      </c>
      <c r="J130" s="195">
        <f t="shared" si="48"/>
        <v>67540820.287500024</v>
      </c>
      <c r="K130" s="196">
        <f t="shared" si="48"/>
        <v>70917861.301875025</v>
      </c>
      <c r="L130" s="195">
        <f t="shared" si="48"/>
        <v>74463754.366968766</v>
      </c>
    </row>
    <row r="131" spans="1:12" ht="14.25" customHeight="1" x14ac:dyDescent="0.2">
      <c r="A131" s="123" t="s">
        <v>86</v>
      </c>
      <c r="B131" s="197" t="s">
        <v>85</v>
      </c>
      <c r="C131" s="198">
        <f t="shared" ref="C131:L131" si="49">+C122*C126</f>
        <v>0</v>
      </c>
      <c r="D131" s="199">
        <f t="shared" si="49"/>
        <v>65520000</v>
      </c>
      <c r="E131" s="200">
        <f t="shared" si="49"/>
        <v>55036800</v>
      </c>
      <c r="F131" s="199">
        <f t="shared" si="49"/>
        <v>46230912</v>
      </c>
      <c r="G131" s="200">
        <f t="shared" si="49"/>
        <v>0</v>
      </c>
      <c r="H131" s="199">
        <f t="shared" si="49"/>
        <v>0</v>
      </c>
      <c r="I131" s="200">
        <f t="shared" si="49"/>
        <v>0</v>
      </c>
      <c r="J131" s="199">
        <f t="shared" si="49"/>
        <v>0</v>
      </c>
      <c r="K131" s="200">
        <f t="shared" si="49"/>
        <v>0</v>
      </c>
      <c r="L131" s="199">
        <f t="shared" si="49"/>
        <v>0</v>
      </c>
    </row>
    <row r="132" spans="1:12" ht="15" customHeight="1" x14ac:dyDescent="0.2">
      <c r="A132" s="152" t="s">
        <v>81</v>
      </c>
      <c r="B132" s="201" t="s">
        <v>85</v>
      </c>
      <c r="C132" s="202">
        <f t="shared" ref="C132:L132" si="50">+C123*C127</f>
        <v>0</v>
      </c>
      <c r="D132" s="203">
        <f t="shared" si="50"/>
        <v>0</v>
      </c>
      <c r="E132" s="204">
        <f t="shared" si="50"/>
        <v>0</v>
      </c>
      <c r="F132" s="203">
        <f t="shared" si="50"/>
        <v>0</v>
      </c>
      <c r="G132" s="204">
        <f t="shared" si="50"/>
        <v>0</v>
      </c>
      <c r="H132" s="203">
        <f t="shared" si="50"/>
        <v>0</v>
      </c>
      <c r="I132" s="204">
        <f t="shared" si="50"/>
        <v>0</v>
      </c>
      <c r="J132" s="203">
        <f t="shared" si="50"/>
        <v>0</v>
      </c>
      <c r="K132" s="204">
        <f t="shared" si="50"/>
        <v>0</v>
      </c>
      <c r="L132" s="203">
        <f t="shared" si="50"/>
        <v>0</v>
      </c>
    </row>
    <row r="133" spans="1:12" ht="15.75" customHeight="1" x14ac:dyDescent="0.2">
      <c r="A133" s="166"/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</row>
    <row r="134" spans="1:12" ht="15.75" customHeight="1" x14ac:dyDescent="0.2">
      <c r="A134" s="168" t="s">
        <v>103</v>
      </c>
      <c r="B134" s="119" t="s">
        <v>85</v>
      </c>
      <c r="C134" s="205">
        <f t="shared" ref="C134:L134" si="51">SUM(C130:C133)</f>
        <v>0</v>
      </c>
      <c r="D134" s="206">
        <f t="shared" si="51"/>
        <v>80640000</v>
      </c>
      <c r="E134" s="206">
        <f t="shared" si="51"/>
        <v>86788800</v>
      </c>
      <c r="F134" s="206">
        <f t="shared" si="51"/>
        <v>101796912</v>
      </c>
      <c r="G134" s="206">
        <f t="shared" si="51"/>
        <v>58344300</v>
      </c>
      <c r="H134" s="206">
        <f t="shared" si="51"/>
        <v>61261515.000000007</v>
      </c>
      <c r="I134" s="206">
        <f t="shared" si="51"/>
        <v>64324590.750000015</v>
      </c>
      <c r="J134" s="206">
        <f t="shared" si="51"/>
        <v>67540820.287500024</v>
      </c>
      <c r="K134" s="206">
        <f t="shared" si="51"/>
        <v>70917861.301875025</v>
      </c>
      <c r="L134" s="206">
        <f t="shared" si="51"/>
        <v>74463754.366968766</v>
      </c>
    </row>
    <row r="135" spans="1:12" ht="15" customHeight="1" x14ac:dyDescent="0.2">
      <c r="A135" s="166"/>
      <c r="B135" s="3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</row>
    <row r="136" spans="1:12" ht="15" customHeight="1" x14ac:dyDescent="0.2">
      <c r="A136" s="3" t="s">
        <v>104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2" ht="15" customHeight="1" x14ac:dyDescent="0.2">
      <c r="A137" s="3" t="s">
        <v>105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2" ht="1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2" ht="15" customHeight="1" x14ac:dyDescent="0.2">
      <c r="A139" s="3" t="s">
        <v>106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2" ht="15.75" customHeight="1" x14ac:dyDescent="0.25">
      <c r="A140" s="3"/>
      <c r="B140" s="3"/>
      <c r="C140" s="471" t="s">
        <v>107</v>
      </c>
      <c r="D140" s="456"/>
      <c r="E140" s="456"/>
      <c r="F140" s="456"/>
      <c r="G140" s="456"/>
      <c r="H140" s="3"/>
      <c r="I140" s="3"/>
      <c r="J140" s="3"/>
      <c r="K140" s="3"/>
    </row>
    <row r="141" spans="1:12" ht="17.25" customHeight="1" x14ac:dyDescent="0.25">
      <c r="D141" s="164" t="s">
        <v>90</v>
      </c>
      <c r="E141" s="164" t="s">
        <v>91</v>
      </c>
      <c r="F141" s="164" t="s">
        <v>92</v>
      </c>
      <c r="G141" s="164" t="s">
        <v>93</v>
      </c>
      <c r="H141" s="207"/>
    </row>
    <row r="142" spans="1:12" ht="12.75" customHeight="1" x14ac:dyDescent="0.2">
      <c r="C142" s="208" t="s">
        <v>108</v>
      </c>
      <c r="D142" s="209">
        <f t="shared" ref="D142:G142" si="52">+D109/D$112</f>
        <v>0.1875</v>
      </c>
      <c r="E142" s="209">
        <f t="shared" si="52"/>
        <v>0.36585365853658536</v>
      </c>
      <c r="F142" s="210">
        <f t="shared" si="52"/>
        <v>0.54585152838427953</v>
      </c>
      <c r="G142" s="209">
        <f t="shared" si="52"/>
        <v>1</v>
      </c>
      <c r="H142" s="207"/>
    </row>
    <row r="143" spans="1:12" ht="13.5" customHeight="1" x14ac:dyDescent="0.2">
      <c r="C143" s="211" t="s">
        <v>109</v>
      </c>
      <c r="D143" s="212">
        <f t="shared" ref="D143:G143" si="53">+D110/D$112</f>
        <v>0.8125</v>
      </c>
      <c r="E143" s="212">
        <f t="shared" si="53"/>
        <v>0.63414634146341464</v>
      </c>
      <c r="F143" s="213">
        <f t="shared" si="53"/>
        <v>0.45414847161572058</v>
      </c>
      <c r="G143" s="212">
        <f t="shared" si="53"/>
        <v>0</v>
      </c>
    </row>
    <row r="144" spans="1:12" ht="12.75" customHeight="1" x14ac:dyDescent="0.2">
      <c r="C144" s="154"/>
    </row>
    <row r="145" spans="1:26" ht="15.75" customHeight="1" x14ac:dyDescent="0.25">
      <c r="A145" s="214" t="s">
        <v>110</v>
      </c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  <c r="M145" s="214"/>
      <c r="N145" s="214"/>
      <c r="O145" s="214"/>
      <c r="P145" s="214"/>
      <c r="Q145" s="214"/>
      <c r="R145" s="214"/>
      <c r="S145" s="214"/>
      <c r="T145" s="214"/>
      <c r="U145" s="214"/>
      <c r="V145" s="214"/>
      <c r="W145" s="214"/>
      <c r="X145" s="214"/>
      <c r="Y145" s="214"/>
      <c r="Z145" s="214"/>
    </row>
    <row r="146" spans="1:26" ht="15.75" customHeight="1" x14ac:dyDescent="0.25">
      <c r="C146" s="471" t="s">
        <v>111</v>
      </c>
      <c r="D146" s="456"/>
      <c r="E146" s="456"/>
      <c r="F146" s="456"/>
      <c r="G146" s="456"/>
    </row>
    <row r="147" spans="1:26" ht="16.5" customHeight="1" x14ac:dyDescent="0.25">
      <c r="D147" s="164" t="s">
        <v>112</v>
      </c>
      <c r="E147" s="164" t="s">
        <v>91</v>
      </c>
      <c r="F147" s="164" t="s">
        <v>92</v>
      </c>
      <c r="G147" s="164" t="s">
        <v>93</v>
      </c>
    </row>
    <row r="148" spans="1:26" ht="15" customHeight="1" x14ac:dyDescent="0.2">
      <c r="C148" s="215" t="s">
        <v>113</v>
      </c>
      <c r="D148" s="216">
        <f>+(C97+D97)*5</f>
        <v>38980342.666666664</v>
      </c>
      <c r="E148" s="217">
        <f t="shared" ref="E148:G148" si="54">+E118</f>
        <v>18153690.699999999</v>
      </c>
      <c r="F148" s="216">
        <f t="shared" si="54"/>
        <v>16941129.102333333</v>
      </c>
      <c r="G148" s="217">
        <f t="shared" si="54"/>
        <v>16317016.166526668</v>
      </c>
    </row>
    <row r="149" spans="1:26" ht="12.75" customHeight="1" x14ac:dyDescent="0.2"/>
    <row r="150" spans="1:26" ht="12.75" customHeight="1" x14ac:dyDescent="0.2">
      <c r="A150" s="218" t="s">
        <v>114</v>
      </c>
      <c r="D150" s="218">
        <f>D151/24</f>
        <v>835388.19444444438</v>
      </c>
    </row>
    <row r="151" spans="1:26" ht="15.75" customHeight="1" x14ac:dyDescent="0.25">
      <c r="B151" s="472" t="s">
        <v>115</v>
      </c>
      <c r="C151" s="456"/>
      <c r="D151" s="219">
        <f>+(SUM(C79:C80)+SUM(D79:D80))*5</f>
        <v>20049316.666666664</v>
      </c>
      <c r="E151" s="219">
        <f t="shared" ref="E151:G151" si="55">+(E79+E80)*5</f>
        <v>11987187.699999999</v>
      </c>
      <c r="F151" s="219">
        <f t="shared" si="55"/>
        <v>13155232.302333333</v>
      </c>
      <c r="G151" s="219">
        <f t="shared" si="55"/>
        <v>11527435.339026667</v>
      </c>
    </row>
    <row r="152" spans="1:26" ht="13.5" customHeight="1" x14ac:dyDescent="0.2">
      <c r="B152" s="473" t="s">
        <v>116</v>
      </c>
      <c r="C152" s="456"/>
      <c r="D152" s="220">
        <f t="shared" ref="D152:G152" si="56">+D151*D142</f>
        <v>3759246.8749999995</v>
      </c>
      <c r="E152" s="220">
        <f t="shared" si="56"/>
        <v>4385556.4756097561</v>
      </c>
      <c r="F152" s="220">
        <f t="shared" si="56"/>
        <v>7180803.6584788943</v>
      </c>
      <c r="G152" s="220">
        <f t="shared" si="56"/>
        <v>11527435.339026667</v>
      </c>
      <c r="H152" s="220">
        <f>D152/24</f>
        <v>156635.28645833331</v>
      </c>
    </row>
    <row r="153" spans="1:26" ht="13.5" customHeight="1" x14ac:dyDescent="0.2">
      <c r="B153" s="474" t="s">
        <v>117</v>
      </c>
      <c r="C153" s="468"/>
      <c r="D153" s="221">
        <f t="shared" ref="D153:G153" si="57">+D152/D121</f>
        <v>1253.0822916666666</v>
      </c>
      <c r="E153" s="222">
        <f t="shared" si="57"/>
        <v>730.92607926829271</v>
      </c>
      <c r="F153" s="221">
        <f t="shared" si="57"/>
        <v>718.08036584788942</v>
      </c>
      <c r="G153" s="223">
        <f t="shared" si="57"/>
        <v>1152.7435339026667</v>
      </c>
    </row>
    <row r="154" spans="1:26" ht="13.5" customHeight="1" x14ac:dyDescent="0.2">
      <c r="B154" s="473" t="s">
        <v>118</v>
      </c>
      <c r="C154" s="456"/>
      <c r="D154" s="220">
        <f t="shared" ref="D154:G154" si="58">+D151*D143</f>
        <v>16290069.791666664</v>
      </c>
      <c r="E154" s="220">
        <f t="shared" si="58"/>
        <v>7601631.2243902432</v>
      </c>
      <c r="F154" s="220">
        <f t="shared" si="58"/>
        <v>5974428.6438544402</v>
      </c>
      <c r="G154" s="220">
        <f t="shared" si="58"/>
        <v>0</v>
      </c>
      <c r="H154" s="220">
        <f>D154/24</f>
        <v>678752.90798611101</v>
      </c>
    </row>
    <row r="155" spans="1:26" ht="13.5" customHeight="1" x14ac:dyDescent="0.2">
      <c r="B155" s="474" t="s">
        <v>119</v>
      </c>
      <c r="C155" s="468"/>
      <c r="D155" s="221">
        <f t="shared" ref="D155:F155" si="59">+D154/D122</f>
        <v>208.84704861111109</v>
      </c>
      <c r="E155" s="222">
        <f t="shared" si="59"/>
        <v>121.82101321138211</v>
      </c>
      <c r="F155" s="221">
        <f t="shared" si="59"/>
        <v>119.68006097464824</v>
      </c>
      <c r="G155" s="223">
        <v>0</v>
      </c>
    </row>
    <row r="156" spans="1:26" ht="12.75" customHeight="1" x14ac:dyDescent="0.2"/>
    <row r="157" spans="1:26" ht="15.75" customHeight="1" x14ac:dyDescent="0.25">
      <c r="B157" s="472" t="s">
        <v>120</v>
      </c>
      <c r="C157" s="456"/>
      <c r="D157" s="219">
        <f>+(SUM(C81:C96)+SUM(D81:D96))*5</f>
        <v>18931026</v>
      </c>
      <c r="E157" s="219">
        <f t="shared" ref="E157:G157" si="60">+(SUM(E81:E96))*5</f>
        <v>6166503</v>
      </c>
      <c r="F157" s="219">
        <f t="shared" si="60"/>
        <v>3785896.8000000007</v>
      </c>
      <c r="G157" s="219">
        <f t="shared" si="60"/>
        <v>4789580.8275000015</v>
      </c>
    </row>
    <row r="158" spans="1:26" ht="13.5" customHeight="1" x14ac:dyDescent="0.2">
      <c r="B158" s="473" t="s">
        <v>121</v>
      </c>
      <c r="C158" s="456"/>
      <c r="D158" s="220">
        <f t="shared" ref="D158:G158" si="61">+D157*D142</f>
        <v>3549567.375</v>
      </c>
      <c r="E158" s="220">
        <f t="shared" si="61"/>
        <v>2256037.6829268294</v>
      </c>
      <c r="F158" s="220">
        <f t="shared" si="61"/>
        <v>2066537.5545851535</v>
      </c>
      <c r="G158" s="220">
        <f t="shared" si="61"/>
        <v>4789580.8275000015</v>
      </c>
      <c r="I158" s="220"/>
    </row>
    <row r="159" spans="1:26" ht="13.5" customHeight="1" x14ac:dyDescent="0.2">
      <c r="B159" s="474" t="s">
        <v>122</v>
      </c>
      <c r="C159" s="468"/>
      <c r="D159" s="221">
        <f t="shared" ref="D159:G159" si="62">+D158/D121</f>
        <v>1183.1891250000001</v>
      </c>
      <c r="E159" s="222">
        <f t="shared" si="62"/>
        <v>376.00628048780493</v>
      </c>
      <c r="F159" s="221">
        <f t="shared" si="62"/>
        <v>206.65375545851535</v>
      </c>
      <c r="G159" s="223">
        <f t="shared" si="62"/>
        <v>478.95808275000013</v>
      </c>
    </row>
    <row r="160" spans="1:26" ht="13.5" customHeight="1" x14ac:dyDescent="0.2">
      <c r="B160" s="473" t="s">
        <v>123</v>
      </c>
      <c r="C160" s="456"/>
      <c r="D160" s="220">
        <f t="shared" ref="D160:G160" si="63">+D157*D143</f>
        <v>15381458.625</v>
      </c>
      <c r="E160" s="220">
        <f t="shared" si="63"/>
        <v>3910465.3170731706</v>
      </c>
      <c r="F160" s="220">
        <f t="shared" si="63"/>
        <v>1719359.2454148477</v>
      </c>
      <c r="G160" s="220">
        <f t="shared" si="63"/>
        <v>0</v>
      </c>
    </row>
    <row r="161" spans="1:12" ht="13.5" customHeight="1" x14ac:dyDescent="0.2">
      <c r="B161" s="474" t="s">
        <v>124</v>
      </c>
      <c r="C161" s="468"/>
      <c r="D161" s="221">
        <f t="shared" ref="D161:F161" si="64">+D160/D122</f>
        <v>197.19818749999999</v>
      </c>
      <c r="E161" s="222">
        <f t="shared" si="64"/>
        <v>62.667713414634143</v>
      </c>
      <c r="F161" s="221">
        <f t="shared" si="64"/>
        <v>34.442292576419227</v>
      </c>
      <c r="G161" s="223">
        <v>0</v>
      </c>
    </row>
    <row r="162" spans="1:12" ht="12.75" customHeight="1" x14ac:dyDescent="0.2"/>
    <row r="163" spans="1:12" ht="15.75" customHeight="1" x14ac:dyDescent="0.25">
      <c r="C163" s="471" t="s">
        <v>125</v>
      </c>
      <c r="D163" s="456"/>
      <c r="E163" s="456"/>
      <c r="F163" s="456"/>
      <c r="G163" s="456"/>
    </row>
    <row r="164" spans="1:12" ht="16.5" customHeight="1" x14ac:dyDescent="0.25">
      <c r="D164" s="164" t="s">
        <v>90</v>
      </c>
      <c r="E164" s="164" t="s">
        <v>91</v>
      </c>
      <c r="F164" s="164" t="s">
        <v>92</v>
      </c>
      <c r="G164" s="164" t="s">
        <v>93</v>
      </c>
    </row>
    <row r="165" spans="1:12" ht="12.75" customHeight="1" x14ac:dyDescent="0.2">
      <c r="C165" s="224" t="s">
        <v>108</v>
      </c>
      <c r="D165" s="225">
        <f t="shared" ref="D165:G165" si="65">+D142*D148</f>
        <v>7308814.25</v>
      </c>
      <c r="E165" s="226">
        <f t="shared" si="65"/>
        <v>6641594.158536585</v>
      </c>
      <c r="F165" s="225">
        <f t="shared" si="65"/>
        <v>9247341.2130640466</v>
      </c>
      <c r="G165" s="227">
        <f t="shared" si="65"/>
        <v>16317016.166526668</v>
      </c>
    </row>
    <row r="166" spans="1:12" ht="13.5" customHeight="1" x14ac:dyDescent="0.2">
      <c r="C166" s="228" t="s">
        <v>126</v>
      </c>
      <c r="D166" s="229">
        <f t="shared" ref="D166:G166" si="66">+D143*D148</f>
        <v>31671528.416666664</v>
      </c>
      <c r="E166" s="230">
        <f t="shared" si="66"/>
        <v>11512096.541463414</v>
      </c>
      <c r="F166" s="229">
        <f t="shared" si="66"/>
        <v>7693787.8892692877</v>
      </c>
      <c r="G166" s="231">
        <f t="shared" si="66"/>
        <v>0</v>
      </c>
    </row>
    <row r="167" spans="1:12" ht="12.75" customHeight="1" x14ac:dyDescent="0.2">
      <c r="C167" s="154"/>
      <c r="D167" s="232"/>
      <c r="E167" s="232"/>
      <c r="F167" s="232"/>
      <c r="G167" s="232"/>
    </row>
    <row r="168" spans="1:12" ht="15.75" customHeight="1" x14ac:dyDescent="0.25">
      <c r="C168" s="471" t="s">
        <v>127</v>
      </c>
      <c r="D168" s="456"/>
      <c r="E168" s="456"/>
      <c r="F168" s="456"/>
      <c r="G168" s="456"/>
    </row>
    <row r="169" spans="1:12" ht="16.5" customHeight="1" x14ac:dyDescent="0.25">
      <c r="C169" s="154"/>
      <c r="D169" s="164" t="s">
        <v>90</v>
      </c>
      <c r="E169" s="164" t="s">
        <v>91</v>
      </c>
      <c r="F169" s="164" t="s">
        <v>92</v>
      </c>
      <c r="G169" s="164" t="s">
        <v>93</v>
      </c>
    </row>
    <row r="170" spans="1:12" ht="12.75" customHeight="1" x14ac:dyDescent="0.2">
      <c r="C170" s="224" t="s">
        <v>128</v>
      </c>
      <c r="D170" s="225">
        <f t="shared" ref="D170:G170" si="67">+D165/D121</f>
        <v>2436.2714166666665</v>
      </c>
      <c r="E170" s="225">
        <f t="shared" si="67"/>
        <v>1106.9323597560974</v>
      </c>
      <c r="F170" s="225">
        <f t="shared" si="67"/>
        <v>924.73412130640463</v>
      </c>
      <c r="G170" s="225">
        <f t="shared" si="67"/>
        <v>1631.7016166526669</v>
      </c>
      <c r="I170" s="233"/>
      <c r="J170" s="233"/>
      <c r="K170" s="233"/>
      <c r="L170" s="233"/>
    </row>
    <row r="171" spans="1:12" ht="13.5" customHeight="1" x14ac:dyDescent="0.2">
      <c r="C171" s="228" t="s">
        <v>129</v>
      </c>
      <c r="D171" s="229">
        <f t="shared" ref="D171:F171" si="68">+D166/D122</f>
        <v>406.04523611111108</v>
      </c>
      <c r="E171" s="229">
        <f t="shared" si="68"/>
        <v>184.48872662601624</v>
      </c>
      <c r="F171" s="229">
        <f t="shared" si="68"/>
        <v>154.12235355106745</v>
      </c>
      <c r="G171" s="229">
        <v>0</v>
      </c>
      <c r="I171" s="233"/>
      <c r="J171" s="233"/>
      <c r="K171" s="233"/>
      <c r="L171" s="233"/>
    </row>
    <row r="172" spans="1:12" ht="12.75" customHeight="1" x14ac:dyDescent="0.2">
      <c r="C172" s="154"/>
      <c r="D172" s="232"/>
      <c r="E172" s="232"/>
      <c r="F172" s="232"/>
      <c r="G172" s="232"/>
    </row>
    <row r="173" spans="1:12" ht="15" customHeight="1" x14ac:dyDescent="0.2">
      <c r="A173" s="3"/>
      <c r="I173" s="233"/>
      <c r="J173" s="233"/>
      <c r="K173" s="233"/>
      <c r="L173" s="233"/>
    </row>
    <row r="174" spans="1:12" ht="12.75" customHeight="1" x14ac:dyDescent="0.2">
      <c r="I174" s="233"/>
      <c r="J174" s="233"/>
      <c r="K174" s="233"/>
      <c r="L174" s="233"/>
    </row>
    <row r="175" spans="1:12" ht="12.75" customHeight="1" x14ac:dyDescent="0.2">
      <c r="B175" s="234" t="s">
        <v>60</v>
      </c>
    </row>
    <row r="176" spans="1:12" ht="12.75" customHeight="1" x14ac:dyDescent="0.2">
      <c r="B176" s="235" t="s">
        <v>130</v>
      </c>
    </row>
    <row r="177" spans="2:9" ht="12.75" customHeight="1" x14ac:dyDescent="0.2">
      <c r="C177" s="236" t="s">
        <v>131</v>
      </c>
      <c r="D177" s="236" t="s">
        <v>132</v>
      </c>
      <c r="E177" s="236" t="s">
        <v>133</v>
      </c>
      <c r="F177" s="236" t="s">
        <v>134</v>
      </c>
      <c r="G177" s="236" t="s">
        <v>135</v>
      </c>
      <c r="I177" s="236" t="s">
        <v>136</v>
      </c>
    </row>
    <row r="178" spans="2:9" ht="12.75" customHeight="1" x14ac:dyDescent="0.2">
      <c r="B178" s="218" t="s">
        <v>137</v>
      </c>
      <c r="C178" s="237">
        <v>2</v>
      </c>
      <c r="D178" s="237">
        <v>4</v>
      </c>
      <c r="E178" s="237">
        <f t="shared" ref="E178:E181" si="69">+C178*D178</f>
        <v>8</v>
      </c>
      <c r="F178" s="238">
        <v>17000</v>
      </c>
      <c r="G178" s="238">
        <f t="shared" ref="G178:G181" si="70">+E178*F178</f>
        <v>136000</v>
      </c>
      <c r="H178" s="218">
        <f t="shared" ref="H178:H181" si="71">F178*1</f>
        <v>17000</v>
      </c>
      <c r="I178" s="239">
        <f t="shared" ref="I178:I181" si="72">F178*C178</f>
        <v>34000</v>
      </c>
    </row>
    <row r="179" spans="2:9" ht="12.75" customHeight="1" x14ac:dyDescent="0.2">
      <c r="B179" s="218" t="s">
        <v>138</v>
      </c>
      <c r="C179" s="237">
        <v>3</v>
      </c>
      <c r="D179" s="237">
        <v>4</v>
      </c>
      <c r="E179" s="237">
        <f t="shared" si="69"/>
        <v>12</v>
      </c>
      <c r="F179" s="238">
        <v>80000</v>
      </c>
      <c r="G179" s="238">
        <f t="shared" si="70"/>
        <v>960000</v>
      </c>
      <c r="H179" s="218">
        <f t="shared" si="71"/>
        <v>80000</v>
      </c>
      <c r="I179" s="239">
        <f t="shared" si="72"/>
        <v>240000</v>
      </c>
    </row>
    <row r="180" spans="2:9" ht="12.75" customHeight="1" x14ac:dyDescent="0.2">
      <c r="B180" s="218" t="s">
        <v>139</v>
      </c>
      <c r="C180" s="237">
        <v>1</v>
      </c>
      <c r="D180" s="237">
        <v>4</v>
      </c>
      <c r="E180" s="237">
        <f t="shared" si="69"/>
        <v>4</v>
      </c>
      <c r="F180" s="238">
        <v>20000</v>
      </c>
      <c r="G180" s="238">
        <f t="shared" si="70"/>
        <v>80000</v>
      </c>
      <c r="H180" s="218">
        <f t="shared" si="71"/>
        <v>20000</v>
      </c>
      <c r="I180" s="239">
        <f t="shared" si="72"/>
        <v>20000</v>
      </c>
    </row>
    <row r="181" spans="2:9" ht="12.75" customHeight="1" x14ac:dyDescent="0.2">
      <c r="B181" s="218" t="s">
        <v>140</v>
      </c>
      <c r="C181" s="237">
        <v>12</v>
      </c>
      <c r="D181" s="237">
        <v>4</v>
      </c>
      <c r="E181" s="237">
        <f t="shared" si="69"/>
        <v>48</v>
      </c>
      <c r="F181" s="238">
        <v>6000</v>
      </c>
      <c r="G181" s="238">
        <f t="shared" si="70"/>
        <v>288000</v>
      </c>
      <c r="H181" s="218">
        <f t="shared" si="71"/>
        <v>6000</v>
      </c>
      <c r="I181" s="239">
        <f t="shared" si="72"/>
        <v>72000</v>
      </c>
    </row>
    <row r="182" spans="2:9" ht="12.75" customHeight="1" x14ac:dyDescent="0.2">
      <c r="F182" s="236" t="s">
        <v>141</v>
      </c>
      <c r="G182" s="239">
        <f t="shared" ref="G182:I182" si="73">SUM(G178:G181)</f>
        <v>1464000</v>
      </c>
      <c r="H182" s="240">
        <f t="shared" si="73"/>
        <v>123000</v>
      </c>
      <c r="I182" s="239">
        <f t="shared" si="73"/>
        <v>366000</v>
      </c>
    </row>
    <row r="183" spans="2:9" ht="12.75" customHeight="1" x14ac:dyDescent="0.2">
      <c r="F183" s="236" t="s">
        <v>142</v>
      </c>
      <c r="G183" s="238">
        <f>+G182/12</f>
        <v>122000</v>
      </c>
    </row>
    <row r="184" spans="2:9" ht="12.75" customHeight="1" x14ac:dyDescent="0.2"/>
    <row r="185" spans="2:9" ht="12.75" customHeight="1" x14ac:dyDescent="0.2"/>
    <row r="186" spans="2:9" ht="12.75" customHeight="1" x14ac:dyDescent="0.2"/>
    <row r="187" spans="2:9" ht="12.75" customHeight="1" x14ac:dyDescent="0.2"/>
    <row r="188" spans="2:9" ht="12.75" customHeight="1" x14ac:dyDescent="0.2"/>
    <row r="189" spans="2:9" ht="12.75" customHeight="1" x14ac:dyDescent="0.2"/>
    <row r="190" spans="2:9" ht="12.75" customHeight="1" x14ac:dyDescent="0.2"/>
    <row r="191" spans="2:9" ht="12.75" customHeight="1" x14ac:dyDescent="0.2"/>
    <row r="192" spans="2:9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3">
    <mergeCell ref="C168:G168"/>
    <mergeCell ref="B154:C154"/>
    <mergeCell ref="B155:C155"/>
    <mergeCell ref="B157:C157"/>
    <mergeCell ref="B158:C158"/>
    <mergeCell ref="B159:C159"/>
    <mergeCell ref="B160:C160"/>
    <mergeCell ref="B161:C161"/>
    <mergeCell ref="C146:G146"/>
    <mergeCell ref="B151:C151"/>
    <mergeCell ref="B152:C152"/>
    <mergeCell ref="B153:C153"/>
    <mergeCell ref="C163:G163"/>
    <mergeCell ref="C8:L8"/>
    <mergeCell ref="A55:L55"/>
    <mergeCell ref="C56:L56"/>
    <mergeCell ref="A114:H115"/>
    <mergeCell ref="C140:G140"/>
    <mergeCell ref="A1:L1"/>
    <mergeCell ref="A3:L3"/>
    <mergeCell ref="A4:C4"/>
    <mergeCell ref="A5:C5"/>
    <mergeCell ref="A6:B6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baseColWidth="10" defaultColWidth="14.42578125" defaultRowHeight="15" customHeight="1" x14ac:dyDescent="0.2"/>
  <cols>
    <col min="1" max="1" width="22" customWidth="1"/>
    <col min="2" max="11" width="10" customWidth="1"/>
  </cols>
  <sheetData>
    <row r="1" spans="1:11" ht="12.75" customHeight="1" x14ac:dyDescent="0.2"/>
    <row r="2" spans="1:11" ht="12.75" customHeight="1" x14ac:dyDescent="0.2">
      <c r="A2" s="234" t="s">
        <v>143</v>
      </c>
    </row>
    <row r="3" spans="1:11" ht="13.5" customHeight="1" x14ac:dyDescent="0.2"/>
    <row r="4" spans="1:11" ht="13.5" customHeight="1" x14ac:dyDescent="0.2">
      <c r="A4" s="241"/>
      <c r="B4" s="242" t="s">
        <v>144</v>
      </c>
      <c r="C4" s="243" t="s">
        <v>145</v>
      </c>
      <c r="D4" s="236" t="s">
        <v>146</v>
      </c>
    </row>
    <row r="5" spans="1:11" ht="12.75" customHeight="1" x14ac:dyDescent="0.2">
      <c r="A5" s="244" t="s">
        <v>147</v>
      </c>
      <c r="B5" s="245">
        <v>20000</v>
      </c>
      <c r="C5" s="246">
        <f t="shared" ref="C5:C7" si="0">+B5*12</f>
        <v>240000</v>
      </c>
      <c r="D5" s="247">
        <f t="shared" ref="D5:D7" si="1">+C5*1.05</f>
        <v>252000</v>
      </c>
    </row>
    <row r="6" spans="1:11" ht="13.5" customHeight="1" x14ac:dyDescent="0.2">
      <c r="A6" s="248" t="s">
        <v>148</v>
      </c>
      <c r="B6" s="249">
        <v>100000</v>
      </c>
      <c r="C6" s="250">
        <f t="shared" si="0"/>
        <v>1200000</v>
      </c>
      <c r="D6" s="247">
        <f t="shared" si="1"/>
        <v>1260000</v>
      </c>
    </row>
    <row r="7" spans="1:11" ht="13.5" customHeight="1" x14ac:dyDescent="0.2">
      <c r="A7" s="251" t="s">
        <v>149</v>
      </c>
      <c r="B7" s="252">
        <v>30000</v>
      </c>
      <c r="C7" s="253">
        <f t="shared" si="0"/>
        <v>360000</v>
      </c>
      <c r="D7" s="247">
        <f t="shared" si="1"/>
        <v>378000</v>
      </c>
      <c r="F7" s="475" t="s">
        <v>150</v>
      </c>
      <c r="G7" s="467"/>
      <c r="H7" s="467"/>
      <c r="I7" s="467"/>
      <c r="J7" s="468"/>
    </row>
    <row r="8" spans="1:11" ht="13.5" customHeight="1" x14ac:dyDescent="0.2">
      <c r="B8" s="247"/>
      <c r="C8" s="247"/>
      <c r="D8" s="247"/>
      <c r="F8" s="255" t="s">
        <v>89</v>
      </c>
      <c r="G8" s="255" t="s">
        <v>90</v>
      </c>
      <c r="H8" s="255" t="s">
        <v>91</v>
      </c>
      <c r="I8" s="255" t="s">
        <v>92</v>
      </c>
      <c r="J8" s="255" t="s">
        <v>93</v>
      </c>
      <c r="K8" s="74"/>
    </row>
    <row r="9" spans="1:11" ht="13.5" customHeight="1" x14ac:dyDescent="0.2">
      <c r="C9" s="256">
        <f t="shared" ref="C9:D9" si="2">SUM(C5:C8)</f>
        <v>1800000</v>
      </c>
      <c r="D9" s="256">
        <f t="shared" si="2"/>
        <v>1890000</v>
      </c>
      <c r="F9" s="257">
        <f>+C9-SUM('Capital de Trabajo'!B11:B12)</f>
        <v>1170000</v>
      </c>
      <c r="G9" s="257">
        <f>+D9</f>
        <v>1890000</v>
      </c>
      <c r="H9" s="257">
        <f>+D9*1.05</f>
        <v>1984500</v>
      </c>
      <c r="I9" s="257">
        <f t="shared" ref="I9:J9" si="3">+H9*1.05</f>
        <v>2083725</v>
      </c>
      <c r="J9" s="257">
        <f t="shared" si="3"/>
        <v>2187911.25</v>
      </c>
    </row>
    <row r="10" spans="1:11" ht="12.75" customHeight="1" x14ac:dyDescent="0.2"/>
    <row r="11" spans="1:11" ht="12.75" customHeight="1" x14ac:dyDescent="0.2"/>
    <row r="12" spans="1:11" ht="12.75" customHeight="1" x14ac:dyDescent="0.2"/>
    <row r="13" spans="1:11" ht="12.75" customHeight="1" x14ac:dyDescent="0.2"/>
    <row r="14" spans="1:11" ht="12.75" customHeight="1" x14ac:dyDescent="0.2"/>
    <row r="15" spans="1:11" ht="12.75" customHeight="1" x14ac:dyDescent="0.2"/>
    <row r="16" spans="1:1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F7:J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/>
  </sheetViews>
  <sheetFormatPr baseColWidth="10" defaultColWidth="14.42578125" defaultRowHeight="15" customHeight="1" x14ac:dyDescent="0.2"/>
  <cols>
    <col min="1" max="1" width="22.42578125" customWidth="1"/>
    <col min="2" max="2" width="22.5703125" customWidth="1"/>
    <col min="3" max="3" width="15.42578125" customWidth="1"/>
    <col min="4" max="4" width="11.7109375" customWidth="1"/>
    <col min="5" max="5" width="17.85546875" customWidth="1"/>
    <col min="6" max="6" width="10" customWidth="1"/>
    <col min="7" max="8" width="11.7109375" customWidth="1"/>
    <col min="9" max="10" width="10" customWidth="1"/>
    <col min="11" max="11" width="7.85546875" customWidth="1"/>
  </cols>
  <sheetData>
    <row r="1" spans="1:10" ht="12.75" customHeight="1" x14ac:dyDescent="0.2"/>
    <row r="2" spans="1:10" ht="13.5" customHeight="1" x14ac:dyDescent="0.2">
      <c r="A2" s="234" t="s">
        <v>151</v>
      </c>
      <c r="B2" s="74"/>
      <c r="C2" s="74"/>
    </row>
    <row r="3" spans="1:10" ht="13.5" customHeight="1" x14ac:dyDescent="0.2">
      <c r="A3" s="241"/>
      <c r="B3" s="258" t="s">
        <v>152</v>
      </c>
      <c r="C3" s="259" t="s">
        <v>153</v>
      </c>
      <c r="D3" s="259" t="s">
        <v>142</v>
      </c>
      <c r="E3" s="243" t="s">
        <v>154</v>
      </c>
    </row>
    <row r="4" spans="1:10" ht="13.5" customHeight="1" x14ac:dyDescent="0.2">
      <c r="A4" s="260" t="s">
        <v>155</v>
      </c>
      <c r="B4" s="261">
        <v>589500</v>
      </c>
      <c r="C4" s="262">
        <f>B4*0.5731</f>
        <v>337842.45</v>
      </c>
      <c r="D4" s="263">
        <f t="shared" ref="D4:D6" si="0">+B4+C4</f>
        <v>927342.45</v>
      </c>
      <c r="E4" s="264">
        <f t="shared" ref="E4:E6" si="1">+D4*12</f>
        <v>11128109.399999999</v>
      </c>
    </row>
    <row r="5" spans="1:10" ht="16.5" customHeight="1" x14ac:dyDescent="0.25">
      <c r="A5" s="248" t="s">
        <v>156</v>
      </c>
      <c r="B5" s="249">
        <v>200000</v>
      </c>
      <c r="C5" s="265"/>
      <c r="D5" s="266">
        <f t="shared" si="0"/>
        <v>200000</v>
      </c>
      <c r="E5" s="250">
        <f t="shared" si="1"/>
        <v>2400000</v>
      </c>
      <c r="F5" s="476" t="s">
        <v>157</v>
      </c>
      <c r="G5" s="467"/>
      <c r="H5" s="467"/>
      <c r="I5" s="467"/>
      <c r="J5" s="468"/>
    </row>
    <row r="6" spans="1:10" ht="16.5" customHeight="1" x14ac:dyDescent="0.25">
      <c r="A6" s="251" t="s">
        <v>158</v>
      </c>
      <c r="B6" s="252">
        <v>300000</v>
      </c>
      <c r="C6" s="267"/>
      <c r="D6" s="268">
        <f t="shared" si="0"/>
        <v>300000</v>
      </c>
      <c r="E6" s="253">
        <f t="shared" si="1"/>
        <v>3600000</v>
      </c>
      <c r="F6" s="269" t="s">
        <v>89</v>
      </c>
      <c r="G6" s="270" t="s">
        <v>90</v>
      </c>
      <c r="H6" s="270" t="s">
        <v>91</v>
      </c>
      <c r="I6" s="270" t="s">
        <v>92</v>
      </c>
      <c r="J6" s="270" t="s">
        <v>93</v>
      </c>
    </row>
    <row r="7" spans="1:10" ht="16.5" customHeight="1" x14ac:dyDescent="0.25">
      <c r="A7" s="271"/>
      <c r="B7" s="272"/>
      <c r="C7" s="273"/>
      <c r="D7" s="274" t="s">
        <v>159</v>
      </c>
      <c r="E7" s="275">
        <f>SUM(E4:E6)</f>
        <v>17128109.399999999</v>
      </c>
      <c r="F7" s="276">
        <f>E7-SUM('Capital de Trabajo'!B7:B9)</f>
        <v>9273424.4999999981</v>
      </c>
      <c r="G7" s="257">
        <f>+(E7*1.05)</f>
        <v>17984514.870000001</v>
      </c>
      <c r="H7" s="257">
        <f>+E7*1.05*1.05</f>
        <v>18883740.613500003</v>
      </c>
      <c r="I7" s="257">
        <f t="shared" ref="I7:J7" si="2">+H7*1.05</f>
        <v>19827927.644175004</v>
      </c>
      <c r="J7" s="257">
        <f t="shared" si="2"/>
        <v>20819324.026383754</v>
      </c>
    </row>
    <row r="8" spans="1:10" ht="12.75" customHeight="1" x14ac:dyDescent="0.2">
      <c r="A8" s="277" t="s">
        <v>160</v>
      </c>
    </row>
    <row r="9" spans="1:10" ht="12.75" customHeight="1" x14ac:dyDescent="0.2">
      <c r="C9" s="236" t="s">
        <v>89</v>
      </c>
      <c r="D9" s="236" t="s">
        <v>90</v>
      </c>
      <c r="E9" s="236" t="s">
        <v>91</v>
      </c>
      <c r="F9" s="236" t="s">
        <v>92</v>
      </c>
      <c r="G9" s="236" t="s">
        <v>93</v>
      </c>
    </row>
    <row r="10" spans="1:10" ht="12.75" customHeight="1" x14ac:dyDescent="0.2">
      <c r="A10" s="74" t="s">
        <v>161</v>
      </c>
      <c r="C10" s="247">
        <f>300000/3000</f>
        <v>100</v>
      </c>
      <c r="D10" s="247">
        <f t="shared" ref="D10:G10" si="3">+C10*1.05</f>
        <v>105</v>
      </c>
      <c r="E10" s="247">
        <f t="shared" si="3"/>
        <v>110.25</v>
      </c>
      <c r="F10" s="247">
        <f t="shared" si="3"/>
        <v>115.7625</v>
      </c>
      <c r="G10" s="247">
        <f t="shared" si="3"/>
        <v>121.55062500000001</v>
      </c>
    </row>
    <row r="11" spans="1:10" ht="12.75" customHeight="1" x14ac:dyDescent="0.2">
      <c r="A11" s="74" t="s">
        <v>162</v>
      </c>
      <c r="C11" s="247">
        <f>150000/1500</f>
        <v>100</v>
      </c>
      <c r="D11" s="247">
        <f t="shared" ref="D11:G11" si="4">+C11*1.05</f>
        <v>105</v>
      </c>
      <c r="E11" s="247">
        <f t="shared" si="4"/>
        <v>110.25</v>
      </c>
      <c r="F11" s="247">
        <f t="shared" si="4"/>
        <v>115.7625</v>
      </c>
      <c r="G11" s="247">
        <f t="shared" si="4"/>
        <v>121.55062500000001</v>
      </c>
    </row>
    <row r="12" spans="1:10" ht="13.5" customHeight="1" x14ac:dyDescent="0.2"/>
    <row r="13" spans="1:10" ht="13.5" customHeight="1" x14ac:dyDescent="0.2">
      <c r="A13" s="278" t="s">
        <v>163</v>
      </c>
    </row>
    <row r="14" spans="1:10" ht="13.5" customHeight="1" x14ac:dyDescent="0.2">
      <c r="A14" s="279" t="s">
        <v>164</v>
      </c>
      <c r="B14" s="242" t="s">
        <v>165</v>
      </c>
      <c r="C14" s="259" t="s">
        <v>166</v>
      </c>
      <c r="D14" s="259" t="s">
        <v>167</v>
      </c>
      <c r="E14" s="259" t="s">
        <v>166</v>
      </c>
      <c r="F14" s="259" t="s">
        <v>90</v>
      </c>
      <c r="G14" s="259" t="s">
        <v>91</v>
      </c>
      <c r="H14" s="259" t="s">
        <v>92</v>
      </c>
      <c r="I14" s="243" t="s">
        <v>93</v>
      </c>
    </row>
    <row r="15" spans="1:10" ht="12.75" customHeight="1" x14ac:dyDescent="0.2">
      <c r="A15" s="280" t="s">
        <v>108</v>
      </c>
      <c r="B15" s="281" t="s">
        <v>168</v>
      </c>
      <c r="C15" s="282">
        <v>2000</v>
      </c>
      <c r="D15" s="283">
        <v>50</v>
      </c>
      <c r="E15" s="282">
        <f t="shared" ref="E15:E16" si="5">+C15/D15</f>
        <v>40</v>
      </c>
      <c r="F15" s="284">
        <f t="shared" ref="F15:I15" si="6">+E15*1.05</f>
        <v>42</v>
      </c>
      <c r="G15" s="284">
        <f t="shared" si="6"/>
        <v>44.1</v>
      </c>
      <c r="H15" s="284">
        <f t="shared" si="6"/>
        <v>46.305000000000007</v>
      </c>
      <c r="I15" s="285">
        <f t="shared" si="6"/>
        <v>48.620250000000006</v>
      </c>
    </row>
    <row r="16" spans="1:10" ht="26.25" customHeight="1" x14ac:dyDescent="0.2">
      <c r="A16" s="286" t="s">
        <v>169</v>
      </c>
      <c r="B16" s="287" t="s">
        <v>170</v>
      </c>
      <c r="C16" s="288">
        <v>200</v>
      </c>
      <c r="D16" s="289">
        <v>20</v>
      </c>
      <c r="E16" s="288">
        <f t="shared" si="5"/>
        <v>10</v>
      </c>
      <c r="F16" s="290">
        <f t="shared" ref="F16:I16" si="7">+E16*1.05</f>
        <v>10.5</v>
      </c>
      <c r="G16" s="290">
        <f t="shared" si="7"/>
        <v>11.025</v>
      </c>
      <c r="H16" s="290">
        <f t="shared" si="7"/>
        <v>11.576250000000002</v>
      </c>
      <c r="I16" s="291">
        <f t="shared" si="7"/>
        <v>12.155062500000001</v>
      </c>
    </row>
    <row r="17" spans="1:9" ht="12.75" customHeight="1" x14ac:dyDescent="0.2">
      <c r="A17" s="292"/>
      <c r="B17" s="293"/>
      <c r="C17" s="247"/>
      <c r="D17" s="294"/>
      <c r="E17" s="247"/>
      <c r="F17" s="295"/>
      <c r="G17" s="295"/>
      <c r="H17" s="295"/>
      <c r="I17" s="295"/>
    </row>
    <row r="18" spans="1:9" ht="15" customHeight="1" x14ac:dyDescent="0.2">
      <c r="A18" s="296" t="s">
        <v>171</v>
      </c>
    </row>
    <row r="19" spans="1:9" ht="15.75" customHeight="1" x14ac:dyDescent="0.2">
      <c r="A19" s="296"/>
    </row>
    <row r="20" spans="1:9" ht="15.75" customHeight="1" x14ac:dyDescent="0.2">
      <c r="A20" s="297" t="s">
        <v>164</v>
      </c>
      <c r="B20" s="298" t="s">
        <v>172</v>
      </c>
      <c r="C20" s="279" t="s">
        <v>91</v>
      </c>
      <c r="D20" s="298" t="s">
        <v>92</v>
      </c>
      <c r="E20" s="279" t="s">
        <v>93</v>
      </c>
    </row>
    <row r="21" spans="1:9" ht="12.75" customHeight="1" x14ac:dyDescent="0.2">
      <c r="A21" s="299" t="s">
        <v>108</v>
      </c>
      <c r="B21" s="300">
        <f>+(D10+F15)*'Flujo de Caja'!D4</f>
        <v>441000</v>
      </c>
      <c r="C21" s="301">
        <f>+(E10+G15)*'Flujo de Caja'!E4</f>
        <v>926100</v>
      </c>
      <c r="D21" s="300">
        <f>+(F10+H15)*'Flujo de Caja'!F4</f>
        <v>1620675</v>
      </c>
      <c r="E21" s="301">
        <f>+(G10+I15)*'Flujo de Caja'!G4</f>
        <v>1701708.7500000002</v>
      </c>
    </row>
    <row r="22" spans="1:9" ht="13.5" customHeight="1" x14ac:dyDescent="0.2">
      <c r="A22" s="302" t="s">
        <v>173</v>
      </c>
      <c r="B22" s="303">
        <f>+(D11+F16)*'Flujo de Caja'!D5</f>
        <v>9009000</v>
      </c>
      <c r="C22" s="304">
        <f>+(E11+G16)*'Flujo de Caja'!E5</f>
        <v>7567560</v>
      </c>
      <c r="D22" s="303">
        <f>+(F11+H16)*'Flujo de Caja'!F5</f>
        <v>6356750.4000000004</v>
      </c>
      <c r="E22" s="304">
        <f>+(G11)*'Flujo de Caja'!G5</f>
        <v>0</v>
      </c>
    </row>
    <row r="23" spans="1:9" ht="13.5" customHeight="1" x14ac:dyDescent="0.2">
      <c r="B23" s="305">
        <f t="shared" ref="B23:E23" si="8">SUM(B21:B22)</f>
        <v>9450000</v>
      </c>
      <c r="C23" s="306">
        <f t="shared" si="8"/>
        <v>8493660</v>
      </c>
      <c r="D23" s="307">
        <f t="shared" si="8"/>
        <v>7977425.4000000004</v>
      </c>
      <c r="E23" s="306">
        <f t="shared" si="8"/>
        <v>1701708.7500000002</v>
      </c>
    </row>
    <row r="24" spans="1:9" ht="16.5" customHeight="1" x14ac:dyDescent="0.25">
      <c r="B24" s="477" t="s">
        <v>174</v>
      </c>
      <c r="C24" s="467"/>
      <c r="D24" s="467"/>
      <c r="E24" s="468"/>
    </row>
    <row r="25" spans="1:9" ht="12.75" customHeight="1" x14ac:dyDescent="0.2"/>
    <row r="26" spans="1:9" ht="12.75" customHeight="1" x14ac:dyDescent="0.2"/>
    <row r="27" spans="1:9" ht="12.75" customHeight="1" x14ac:dyDescent="0.2"/>
    <row r="28" spans="1:9" ht="12.75" customHeight="1" x14ac:dyDescent="0.2"/>
    <row r="29" spans="1:9" ht="12.75" customHeight="1" x14ac:dyDescent="0.2"/>
    <row r="30" spans="1:9" ht="12.75" customHeight="1" x14ac:dyDescent="0.2"/>
    <row r="31" spans="1:9" ht="12.75" customHeight="1" x14ac:dyDescent="0.2"/>
    <row r="32" spans="1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F5:J5"/>
    <mergeCell ref="B24:E2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baseColWidth="10" defaultColWidth="14.42578125" defaultRowHeight="15" customHeight="1" x14ac:dyDescent="0.2"/>
  <cols>
    <col min="1" max="1" width="32" customWidth="1"/>
    <col min="2" max="2" width="17.7109375" customWidth="1"/>
    <col min="3" max="3" width="18.140625" customWidth="1"/>
    <col min="4" max="4" width="14.85546875" customWidth="1"/>
    <col min="5" max="5" width="22" customWidth="1"/>
    <col min="6" max="6" width="10" customWidth="1"/>
    <col min="7" max="7" width="11.7109375" customWidth="1"/>
    <col min="8" max="8" width="10" customWidth="1"/>
  </cols>
  <sheetData>
    <row r="1" spans="1:8" ht="12.75" customHeight="1" x14ac:dyDescent="0.2"/>
    <row r="2" spans="1:8" ht="15.75" customHeight="1" x14ac:dyDescent="0.25">
      <c r="A2" s="478" t="s">
        <v>175</v>
      </c>
      <c r="B2" s="456"/>
      <c r="C2" s="456"/>
      <c r="D2" s="456"/>
      <c r="E2" s="456"/>
      <c r="F2" s="456"/>
      <c r="G2" s="214"/>
      <c r="H2" s="214"/>
    </row>
    <row r="3" spans="1:8" ht="15.75" customHeight="1" x14ac:dyDescent="0.25">
      <c r="A3" s="309"/>
      <c r="B3" s="309"/>
      <c r="C3" s="309"/>
      <c r="D3" s="309"/>
      <c r="E3" s="309"/>
      <c r="F3" s="309"/>
      <c r="G3" s="214"/>
      <c r="H3" s="214"/>
    </row>
    <row r="4" spans="1:8" ht="13.5" customHeight="1" x14ac:dyDescent="0.2">
      <c r="A4" s="310" t="s">
        <v>176</v>
      </c>
    </row>
    <row r="5" spans="1:8" ht="16.5" customHeight="1" x14ac:dyDescent="0.25">
      <c r="A5" s="311" t="s">
        <v>177</v>
      </c>
      <c r="B5" s="312" t="s">
        <v>178</v>
      </c>
      <c r="C5" s="312" t="s">
        <v>133</v>
      </c>
      <c r="D5" s="312" t="s">
        <v>179</v>
      </c>
    </row>
    <row r="6" spans="1:8" ht="12.75" customHeight="1" x14ac:dyDescent="0.2">
      <c r="A6" s="313" t="s">
        <v>180</v>
      </c>
      <c r="B6" s="301">
        <v>60000</v>
      </c>
      <c r="C6" s="314">
        <v>10</v>
      </c>
      <c r="D6" s="301">
        <f t="shared" ref="D6:D13" si="0">+B6*C6</f>
        <v>600000</v>
      </c>
    </row>
    <row r="7" spans="1:8" ht="12.75" customHeight="1" x14ac:dyDescent="0.2">
      <c r="A7" s="315" t="s">
        <v>181</v>
      </c>
      <c r="B7" s="316">
        <v>12000</v>
      </c>
      <c r="C7" s="317">
        <v>8</v>
      </c>
      <c r="D7" s="316">
        <f t="shared" si="0"/>
        <v>96000</v>
      </c>
    </row>
    <row r="8" spans="1:8" ht="12.75" customHeight="1" x14ac:dyDescent="0.2">
      <c r="A8" s="315" t="s">
        <v>182</v>
      </c>
      <c r="B8" s="316">
        <v>132200</v>
      </c>
      <c r="C8" s="317">
        <v>2</v>
      </c>
      <c r="D8" s="316">
        <f t="shared" si="0"/>
        <v>264400</v>
      </c>
    </row>
    <row r="9" spans="1:8" ht="12.75" customHeight="1" x14ac:dyDescent="0.2">
      <c r="A9" s="315" t="s">
        <v>183</v>
      </c>
      <c r="B9" s="316">
        <v>45000</v>
      </c>
      <c r="C9" s="317">
        <v>5</v>
      </c>
      <c r="D9" s="316">
        <f t="shared" si="0"/>
        <v>225000</v>
      </c>
    </row>
    <row r="10" spans="1:8" ht="12.75" customHeight="1" x14ac:dyDescent="0.2">
      <c r="A10" s="315" t="s">
        <v>184</v>
      </c>
      <c r="B10" s="316">
        <v>11000</v>
      </c>
      <c r="C10" s="317">
        <v>5</v>
      </c>
      <c r="D10" s="316">
        <f t="shared" si="0"/>
        <v>55000</v>
      </c>
    </row>
    <row r="11" spans="1:8" ht="12.75" customHeight="1" x14ac:dyDescent="0.2">
      <c r="A11" s="315" t="s">
        <v>185</v>
      </c>
      <c r="B11" s="316">
        <v>11000</v>
      </c>
      <c r="C11" s="317">
        <v>5</v>
      </c>
      <c r="D11" s="316">
        <f t="shared" si="0"/>
        <v>55000</v>
      </c>
    </row>
    <row r="12" spans="1:8" ht="12.75" customHeight="1" x14ac:dyDescent="0.2">
      <c r="A12" s="315" t="s">
        <v>186</v>
      </c>
      <c r="B12" s="316">
        <v>150000</v>
      </c>
      <c r="C12" s="317">
        <v>1</v>
      </c>
      <c r="D12" s="316">
        <f t="shared" si="0"/>
        <v>150000</v>
      </c>
    </row>
    <row r="13" spans="1:8" ht="13.5" customHeight="1" x14ac:dyDescent="0.2">
      <c r="A13" s="302" t="s">
        <v>187</v>
      </c>
      <c r="B13" s="304">
        <v>11500</v>
      </c>
      <c r="C13" s="318">
        <v>5</v>
      </c>
      <c r="D13" s="304">
        <f t="shared" si="0"/>
        <v>57500</v>
      </c>
    </row>
    <row r="14" spans="1:8" ht="16.5" customHeight="1" x14ac:dyDescent="0.25">
      <c r="A14" s="74"/>
      <c r="B14" s="247"/>
      <c r="C14" s="236" t="s">
        <v>188</v>
      </c>
      <c r="D14" s="319">
        <f>SUM(D6:D13)</f>
        <v>1502900</v>
      </c>
      <c r="E14" s="240">
        <f>D14/12</f>
        <v>125241.66666666667</v>
      </c>
    </row>
    <row r="15" spans="1:8" ht="15.75" customHeight="1" x14ac:dyDescent="0.25">
      <c r="A15" s="74"/>
      <c r="B15" s="247"/>
      <c r="C15" s="320"/>
      <c r="D15" s="321"/>
    </row>
    <row r="16" spans="1:8" ht="16.5" customHeight="1" x14ac:dyDescent="0.25">
      <c r="A16" s="310" t="s">
        <v>189</v>
      </c>
      <c r="B16" s="247"/>
      <c r="C16" s="320"/>
      <c r="D16" s="321"/>
    </row>
    <row r="17" spans="1:7" ht="16.5" customHeight="1" x14ac:dyDescent="0.25">
      <c r="A17" s="311" t="s">
        <v>177</v>
      </c>
      <c r="B17" s="312" t="s">
        <v>178</v>
      </c>
      <c r="C17" s="312" t="s">
        <v>133</v>
      </c>
      <c r="D17" s="312" t="s">
        <v>179</v>
      </c>
    </row>
    <row r="18" spans="1:7" ht="13.5" customHeight="1" x14ac:dyDescent="0.2">
      <c r="A18" s="241" t="s">
        <v>190</v>
      </c>
      <c r="B18" s="322">
        <v>1500000</v>
      </c>
      <c r="C18" s="323">
        <v>1</v>
      </c>
      <c r="D18" s="324">
        <f>+B18*C18</f>
        <v>1500000</v>
      </c>
    </row>
    <row r="19" spans="1:7" ht="16.5" customHeight="1" x14ac:dyDescent="0.25">
      <c r="A19" s="74"/>
      <c r="B19" s="247"/>
      <c r="C19" s="236" t="s">
        <v>188</v>
      </c>
      <c r="D19" s="319">
        <f>SUM(D18)</f>
        <v>1500000</v>
      </c>
      <c r="E19" s="235"/>
    </row>
    <row r="20" spans="1:7" ht="16.5" customHeight="1" x14ac:dyDescent="0.25">
      <c r="A20" s="74"/>
      <c r="B20" s="247"/>
      <c r="C20" s="74"/>
      <c r="D20" s="321"/>
    </row>
    <row r="21" spans="1:7" ht="16.5" customHeight="1" x14ac:dyDescent="0.25">
      <c r="A21" s="479" t="s">
        <v>191</v>
      </c>
      <c r="B21" s="468"/>
      <c r="C21" s="74"/>
      <c r="D21" s="321"/>
      <c r="G21" s="240"/>
    </row>
    <row r="22" spans="1:7" ht="16.5" customHeight="1" x14ac:dyDescent="0.25">
      <c r="A22" s="308" t="s">
        <v>177</v>
      </c>
      <c r="B22" s="325" t="s">
        <v>178</v>
      </c>
      <c r="C22" s="326" t="s">
        <v>133</v>
      </c>
      <c r="D22" s="325" t="s">
        <v>179</v>
      </c>
      <c r="E22" s="312" t="s">
        <v>192</v>
      </c>
    </row>
    <row r="23" spans="1:7" ht="26.25" customHeight="1" x14ac:dyDescent="0.25">
      <c r="A23" s="327" t="s">
        <v>193</v>
      </c>
      <c r="B23" s="301" t="s">
        <v>194</v>
      </c>
      <c r="C23" s="328">
        <v>1</v>
      </c>
      <c r="D23" s="329">
        <f>D52</f>
        <v>6089500</v>
      </c>
      <c r="E23" s="330" t="s">
        <v>195</v>
      </c>
      <c r="F23" s="240">
        <f>D23/3</f>
        <v>2029833.3333333333</v>
      </c>
    </row>
    <row r="24" spans="1:7" ht="27" customHeight="1" x14ac:dyDescent="0.25">
      <c r="A24" s="331" t="s">
        <v>196</v>
      </c>
      <c r="B24" s="304" t="s">
        <v>194</v>
      </c>
      <c r="C24" s="332">
        <v>1</v>
      </c>
      <c r="D24" s="333">
        <f>D63</f>
        <v>4570000</v>
      </c>
      <c r="E24" s="286" t="s">
        <v>195</v>
      </c>
    </row>
    <row r="25" spans="1:7" ht="16.5" customHeight="1" x14ac:dyDescent="0.25">
      <c r="A25" s="74"/>
      <c r="B25" s="247"/>
      <c r="C25" s="236" t="s">
        <v>188</v>
      </c>
      <c r="D25" s="319">
        <f>SUM(D23:D24)</f>
        <v>10659500</v>
      </c>
      <c r="E25" s="292"/>
    </row>
    <row r="26" spans="1:7" ht="16.5" customHeight="1" x14ac:dyDescent="0.25">
      <c r="A26" s="74"/>
      <c r="B26" s="247"/>
      <c r="C26" s="237"/>
      <c r="D26" s="321"/>
      <c r="E26" s="292"/>
      <c r="F26" s="74"/>
    </row>
    <row r="27" spans="1:7" ht="16.5" customHeight="1" x14ac:dyDescent="0.25">
      <c r="A27" s="278" t="s">
        <v>197</v>
      </c>
      <c r="B27" s="247"/>
      <c r="C27" s="237"/>
      <c r="D27" s="321"/>
      <c r="E27" s="292"/>
      <c r="F27" s="74"/>
    </row>
    <row r="28" spans="1:7" ht="16.5" customHeight="1" x14ac:dyDescent="0.25">
      <c r="A28" s="308" t="s">
        <v>177</v>
      </c>
      <c r="B28" s="325" t="s">
        <v>178</v>
      </c>
      <c r="C28" s="326" t="s">
        <v>133</v>
      </c>
      <c r="D28" s="325" t="s">
        <v>179</v>
      </c>
      <c r="E28" s="312" t="s">
        <v>192</v>
      </c>
      <c r="F28" s="74"/>
    </row>
    <row r="29" spans="1:7" ht="26.25" customHeight="1" x14ac:dyDescent="0.25">
      <c r="A29" s="327" t="s">
        <v>198</v>
      </c>
      <c r="B29" s="301">
        <v>23000</v>
      </c>
      <c r="C29" s="328">
        <f>C81</f>
        <v>86</v>
      </c>
      <c r="D29" s="334">
        <f>B29*C29</f>
        <v>1978000</v>
      </c>
      <c r="E29" s="335" t="s">
        <v>195</v>
      </c>
      <c r="F29" s="336">
        <f>D29/3</f>
        <v>659333.33333333337</v>
      </c>
    </row>
    <row r="30" spans="1:7" ht="27" customHeight="1" x14ac:dyDescent="0.25">
      <c r="A30" s="331" t="s">
        <v>199</v>
      </c>
      <c r="B30" s="304" t="s">
        <v>194</v>
      </c>
      <c r="C30" s="332">
        <v>1</v>
      </c>
      <c r="D30" s="337">
        <f>E88</f>
        <v>3898000</v>
      </c>
      <c r="E30" s="338" t="s">
        <v>195</v>
      </c>
      <c r="F30" s="240"/>
    </row>
    <row r="31" spans="1:7" ht="16.5" customHeight="1" x14ac:dyDescent="0.25">
      <c r="A31" s="339"/>
      <c r="B31" s="340"/>
      <c r="C31" s="341" t="s">
        <v>188</v>
      </c>
      <c r="D31" s="319">
        <f>SUM(D29:D30)</f>
        <v>5876000</v>
      </c>
      <c r="E31" s="292"/>
    </row>
    <row r="32" spans="1:7" ht="13.5" customHeight="1" x14ac:dyDescent="0.2">
      <c r="A32" s="339"/>
      <c r="B32" s="340"/>
      <c r="E32" s="292"/>
    </row>
    <row r="33" spans="1:7" ht="16.5" customHeight="1" x14ac:dyDescent="0.25">
      <c r="A33" s="339"/>
      <c r="B33" s="480" t="s">
        <v>200</v>
      </c>
      <c r="C33" s="468"/>
      <c r="D33" s="342">
        <f>D14+D19+D25+D31</f>
        <v>19538400</v>
      </c>
      <c r="E33" s="292"/>
    </row>
    <row r="34" spans="1:7" ht="15.75" customHeight="1" x14ac:dyDescent="0.25">
      <c r="A34" s="339"/>
      <c r="B34" s="340"/>
      <c r="C34" s="343"/>
      <c r="D34" s="344"/>
      <c r="E34" s="292"/>
    </row>
    <row r="35" spans="1:7" ht="12.75" customHeight="1" x14ac:dyDescent="0.2">
      <c r="A35" s="74"/>
      <c r="B35" s="74"/>
      <c r="C35" s="74"/>
      <c r="E35" s="292"/>
      <c r="F35" s="74"/>
      <c r="G35" s="74"/>
    </row>
    <row r="36" spans="1:7" ht="13.5" customHeight="1" x14ac:dyDescent="0.2">
      <c r="A36" s="74"/>
      <c r="B36" s="247"/>
      <c r="F36" s="74"/>
      <c r="G36" s="74"/>
    </row>
    <row r="37" spans="1:7" ht="16.5" customHeight="1" x14ac:dyDescent="0.25">
      <c r="A37" s="345" t="s">
        <v>201</v>
      </c>
      <c r="B37" s="346" t="s">
        <v>202</v>
      </c>
      <c r="C37" s="347" t="s">
        <v>133</v>
      </c>
      <c r="D37" s="346" t="s">
        <v>179</v>
      </c>
      <c r="F37" s="74"/>
      <c r="G37" s="74"/>
    </row>
    <row r="38" spans="1:7" ht="12.75" customHeight="1" x14ac:dyDescent="0.2">
      <c r="A38" s="313" t="s">
        <v>203</v>
      </c>
      <c r="B38" s="348">
        <v>1000</v>
      </c>
      <c r="C38" s="314">
        <v>500</v>
      </c>
      <c r="D38" s="324">
        <f t="shared" ref="D38:D51" si="1">+B38*C38</f>
        <v>500000</v>
      </c>
      <c r="F38" s="74"/>
      <c r="G38" s="74"/>
    </row>
    <row r="39" spans="1:7" ht="13.5" customHeight="1" x14ac:dyDescent="0.2">
      <c r="A39" s="349" t="s">
        <v>204</v>
      </c>
      <c r="B39" s="350">
        <v>15000</v>
      </c>
      <c r="C39" s="351">
        <v>12</v>
      </c>
      <c r="D39" s="352">
        <f t="shared" si="1"/>
        <v>180000</v>
      </c>
    </row>
    <row r="40" spans="1:7" ht="13.5" customHeight="1" x14ac:dyDescent="0.2">
      <c r="A40" s="315" t="s">
        <v>205</v>
      </c>
      <c r="B40" s="353">
        <v>3000</v>
      </c>
      <c r="C40" s="317">
        <v>12.5</v>
      </c>
      <c r="D40" s="352">
        <f t="shared" si="1"/>
        <v>37500</v>
      </c>
    </row>
    <row r="41" spans="1:7" ht="12.75" customHeight="1" x14ac:dyDescent="0.2">
      <c r="A41" s="299" t="s">
        <v>206</v>
      </c>
      <c r="B41" s="354">
        <v>23000</v>
      </c>
      <c r="C41" s="355">
        <v>30</v>
      </c>
      <c r="D41" s="352">
        <f t="shared" si="1"/>
        <v>690000</v>
      </c>
    </row>
    <row r="42" spans="1:7" ht="12.75" customHeight="1" x14ac:dyDescent="0.2">
      <c r="A42" s="315" t="s">
        <v>207</v>
      </c>
      <c r="B42" s="354">
        <v>40000</v>
      </c>
      <c r="C42" s="317">
        <v>4</v>
      </c>
      <c r="D42" s="352">
        <f t="shared" si="1"/>
        <v>160000</v>
      </c>
    </row>
    <row r="43" spans="1:7" ht="12.75" customHeight="1" x14ac:dyDescent="0.2">
      <c r="A43" s="315" t="s">
        <v>208</v>
      </c>
      <c r="B43" s="354">
        <v>28000</v>
      </c>
      <c r="C43" s="317">
        <v>7</v>
      </c>
      <c r="D43" s="352">
        <f t="shared" si="1"/>
        <v>196000</v>
      </c>
    </row>
    <row r="44" spans="1:7" ht="12.75" customHeight="1" x14ac:dyDescent="0.2">
      <c r="A44" s="349" t="s">
        <v>209</v>
      </c>
      <c r="B44" s="354">
        <v>28000</v>
      </c>
      <c r="C44" s="351">
        <v>7</v>
      </c>
      <c r="D44" s="352">
        <f t="shared" si="1"/>
        <v>196000</v>
      </c>
    </row>
    <row r="45" spans="1:7" ht="12.75" customHeight="1" x14ac:dyDescent="0.2">
      <c r="A45" s="315" t="s">
        <v>210</v>
      </c>
      <c r="B45" s="354">
        <v>20000</v>
      </c>
      <c r="C45" s="317">
        <v>2</v>
      </c>
      <c r="D45" s="352">
        <f t="shared" si="1"/>
        <v>40000</v>
      </c>
    </row>
    <row r="46" spans="1:7" ht="12.75" customHeight="1" x14ac:dyDescent="0.2">
      <c r="A46" s="315" t="s">
        <v>211</v>
      </c>
      <c r="B46" s="354">
        <v>20000</v>
      </c>
      <c r="C46" s="317">
        <v>2</v>
      </c>
      <c r="D46" s="352">
        <f t="shared" si="1"/>
        <v>40000</v>
      </c>
    </row>
    <row r="47" spans="1:7" ht="12.75" customHeight="1" x14ac:dyDescent="0.2">
      <c r="A47" s="315" t="s">
        <v>212</v>
      </c>
      <c r="B47" s="354">
        <v>25000</v>
      </c>
      <c r="C47" s="317">
        <v>2</v>
      </c>
      <c r="D47" s="352">
        <f t="shared" si="1"/>
        <v>50000</v>
      </c>
    </row>
    <row r="48" spans="1:7" ht="12.75" customHeight="1" x14ac:dyDescent="0.2">
      <c r="A48" s="349" t="s">
        <v>213</v>
      </c>
      <c r="B48" s="350">
        <v>3000000</v>
      </c>
      <c r="C48" s="351">
        <v>1</v>
      </c>
      <c r="D48" s="316">
        <f t="shared" si="1"/>
        <v>3000000</v>
      </c>
    </row>
    <row r="49" spans="1:4" ht="12.75" customHeight="1" x14ac:dyDescent="0.2">
      <c r="A49" s="349" t="s">
        <v>214</v>
      </c>
      <c r="B49" s="356">
        <v>150000</v>
      </c>
      <c r="C49" s="351">
        <v>1</v>
      </c>
      <c r="D49" s="316">
        <f t="shared" si="1"/>
        <v>150000</v>
      </c>
    </row>
    <row r="50" spans="1:4" ht="12.75" customHeight="1" x14ac:dyDescent="0.2">
      <c r="A50" s="349" t="s">
        <v>215</v>
      </c>
      <c r="B50" s="356">
        <v>250000</v>
      </c>
      <c r="C50" s="351">
        <v>1</v>
      </c>
      <c r="D50" s="357">
        <f t="shared" si="1"/>
        <v>250000</v>
      </c>
    </row>
    <row r="51" spans="1:4" ht="13.5" customHeight="1" x14ac:dyDescent="0.2">
      <c r="A51" s="302" t="s">
        <v>216</v>
      </c>
      <c r="B51" s="303">
        <v>150000</v>
      </c>
      <c r="C51" s="318">
        <v>4</v>
      </c>
      <c r="D51" s="358">
        <f t="shared" si="1"/>
        <v>600000</v>
      </c>
    </row>
    <row r="52" spans="1:4" ht="16.5" customHeight="1" x14ac:dyDescent="0.25">
      <c r="D52" s="359">
        <f>SUM(D38:D51)</f>
        <v>6089500</v>
      </c>
    </row>
    <row r="53" spans="1:4" ht="15.75" customHeight="1" x14ac:dyDescent="0.25">
      <c r="A53" s="74"/>
      <c r="B53" s="247"/>
      <c r="C53" s="237"/>
      <c r="D53" s="321"/>
    </row>
    <row r="54" spans="1:4" ht="13.5" customHeight="1" x14ac:dyDescent="0.2">
      <c r="A54" s="74"/>
      <c r="B54" s="247"/>
      <c r="C54" s="237"/>
      <c r="D54" s="247"/>
    </row>
    <row r="55" spans="1:4" ht="16.5" customHeight="1" x14ac:dyDescent="0.25">
      <c r="A55" s="345" t="s">
        <v>217</v>
      </c>
      <c r="B55" s="360"/>
      <c r="C55" s="361"/>
      <c r="D55" s="360"/>
    </row>
    <row r="56" spans="1:4" ht="12.75" customHeight="1" x14ac:dyDescent="0.2">
      <c r="A56" s="362" t="s">
        <v>218</v>
      </c>
      <c r="B56" s="301"/>
      <c r="C56" s="363"/>
      <c r="D56" s="301"/>
    </row>
    <row r="57" spans="1:4" ht="13.5" customHeight="1" x14ac:dyDescent="0.2">
      <c r="A57" s="331" t="s">
        <v>219</v>
      </c>
      <c r="B57" s="304">
        <v>150000</v>
      </c>
      <c r="C57" s="332">
        <v>3</v>
      </c>
      <c r="D57" s="304">
        <f>+B57*C57</f>
        <v>450000</v>
      </c>
    </row>
    <row r="58" spans="1:4" ht="13.5" customHeight="1" x14ac:dyDescent="0.2">
      <c r="A58" s="364" t="s">
        <v>220</v>
      </c>
      <c r="B58" s="358"/>
      <c r="C58" s="237"/>
      <c r="D58" s="358"/>
    </row>
    <row r="59" spans="1:4" ht="12.75" customHeight="1" x14ac:dyDescent="0.2">
      <c r="A59" s="327" t="s">
        <v>221</v>
      </c>
      <c r="B59" s="301">
        <v>28000</v>
      </c>
      <c r="C59" s="328">
        <v>15</v>
      </c>
      <c r="D59" s="301">
        <f>+B59*C59</f>
        <v>420000</v>
      </c>
    </row>
    <row r="60" spans="1:4" ht="12.75" customHeight="1" x14ac:dyDescent="0.2">
      <c r="A60" s="365" t="s">
        <v>222</v>
      </c>
      <c r="B60" s="317" t="s">
        <v>194</v>
      </c>
      <c r="C60" s="366">
        <v>1</v>
      </c>
      <c r="D60" s="316">
        <v>2000000</v>
      </c>
    </row>
    <row r="61" spans="1:4" ht="14.25" customHeight="1" x14ac:dyDescent="0.2">
      <c r="A61" s="365" t="s">
        <v>213</v>
      </c>
      <c r="B61" s="317" t="s">
        <v>194</v>
      </c>
      <c r="C61" s="366">
        <v>1</v>
      </c>
      <c r="D61" s="316">
        <v>1100000</v>
      </c>
    </row>
    <row r="62" spans="1:4" ht="13.5" customHeight="1" x14ac:dyDescent="0.2">
      <c r="A62" s="331" t="s">
        <v>223</v>
      </c>
      <c r="B62" s="304">
        <v>150000</v>
      </c>
      <c r="C62" s="332">
        <v>4</v>
      </c>
      <c r="D62" s="304">
        <f>+B62*C62</f>
        <v>600000</v>
      </c>
    </row>
    <row r="63" spans="1:4" ht="16.5" customHeight="1" x14ac:dyDescent="0.25">
      <c r="D63" s="359">
        <f>SUM(D57:D62)</f>
        <v>4570000</v>
      </c>
    </row>
    <row r="64" spans="1:4" ht="12.75" customHeight="1" x14ac:dyDescent="0.2"/>
    <row r="65" spans="1:6" ht="12.75" customHeight="1" x14ac:dyDescent="0.2"/>
    <row r="66" spans="1:6" ht="15.75" customHeight="1" x14ac:dyDescent="0.25">
      <c r="C66" s="234"/>
      <c r="D66" s="321"/>
    </row>
    <row r="67" spans="1:6" ht="16.5" customHeight="1" x14ac:dyDescent="0.25">
      <c r="C67" s="234"/>
      <c r="D67" s="321"/>
    </row>
    <row r="68" spans="1:6" ht="16.5" customHeight="1" x14ac:dyDescent="0.25">
      <c r="A68" s="475" t="s">
        <v>224</v>
      </c>
      <c r="B68" s="467"/>
      <c r="C68" s="468"/>
      <c r="D68" s="321"/>
    </row>
    <row r="69" spans="1:6" ht="13.5" customHeight="1" x14ac:dyDescent="0.2">
      <c r="A69" s="254" t="s">
        <v>225</v>
      </c>
      <c r="B69" s="279" t="s">
        <v>226</v>
      </c>
      <c r="C69" s="367" t="s">
        <v>133</v>
      </c>
      <c r="D69" s="368" t="s">
        <v>227</v>
      </c>
      <c r="E69" s="369" t="s">
        <v>228</v>
      </c>
    </row>
    <row r="70" spans="1:6" ht="14.25" customHeight="1" x14ac:dyDescent="0.2">
      <c r="A70" s="20" t="s">
        <v>9</v>
      </c>
      <c r="B70" s="64" t="s">
        <v>10</v>
      </c>
      <c r="C70" s="370">
        <v>14</v>
      </c>
      <c r="D70" s="371">
        <v>25000</v>
      </c>
      <c r="E70" s="372">
        <f t="shared" ref="E70:E80" si="2">D70*C70</f>
        <v>350000</v>
      </c>
    </row>
    <row r="71" spans="1:6" ht="14.25" customHeight="1" x14ac:dyDescent="0.2">
      <c r="A71" s="24" t="s">
        <v>11</v>
      </c>
      <c r="B71" s="16" t="s">
        <v>10</v>
      </c>
      <c r="C71" s="373">
        <v>4</v>
      </c>
      <c r="D71" s="374">
        <v>25000</v>
      </c>
      <c r="E71" s="375">
        <f t="shared" si="2"/>
        <v>100000</v>
      </c>
    </row>
    <row r="72" spans="1:6" ht="14.25" customHeight="1" x14ac:dyDescent="0.2">
      <c r="A72" s="24" t="s">
        <v>12</v>
      </c>
      <c r="B72" s="16" t="s">
        <v>10</v>
      </c>
      <c r="C72" s="373">
        <v>2</v>
      </c>
      <c r="D72" s="374">
        <v>25000</v>
      </c>
      <c r="E72" s="375">
        <f t="shared" si="2"/>
        <v>50000</v>
      </c>
    </row>
    <row r="73" spans="1:6" ht="14.25" customHeight="1" x14ac:dyDescent="0.2">
      <c r="A73" s="24" t="s">
        <v>13</v>
      </c>
      <c r="B73" s="16" t="s">
        <v>10</v>
      </c>
      <c r="C73" s="373">
        <v>15</v>
      </c>
      <c r="D73" s="374">
        <v>25000</v>
      </c>
      <c r="E73" s="375">
        <f t="shared" si="2"/>
        <v>375000</v>
      </c>
    </row>
    <row r="74" spans="1:6" ht="14.25" customHeight="1" x14ac:dyDescent="0.2">
      <c r="A74" s="24" t="s">
        <v>14</v>
      </c>
      <c r="B74" s="16" t="s">
        <v>10</v>
      </c>
      <c r="C74" s="373">
        <v>2</v>
      </c>
      <c r="D74" s="374">
        <v>25000</v>
      </c>
      <c r="E74" s="375">
        <f t="shared" si="2"/>
        <v>50000</v>
      </c>
    </row>
    <row r="75" spans="1:6" ht="28.5" customHeight="1" x14ac:dyDescent="0.2">
      <c r="A75" s="24" t="s">
        <v>15</v>
      </c>
      <c r="B75" s="376" t="s">
        <v>10</v>
      </c>
      <c r="C75" s="377">
        <v>2</v>
      </c>
      <c r="D75" s="374">
        <v>25000</v>
      </c>
      <c r="E75" s="375">
        <f t="shared" si="2"/>
        <v>50000</v>
      </c>
    </row>
    <row r="76" spans="1:6" ht="14.25" customHeight="1" x14ac:dyDescent="0.2">
      <c r="A76" s="24" t="s">
        <v>16</v>
      </c>
      <c r="B76" s="16" t="s">
        <v>10</v>
      </c>
      <c r="C76" s="373">
        <v>12</v>
      </c>
      <c r="D76" s="374">
        <v>25000</v>
      </c>
      <c r="E76" s="375">
        <f t="shared" si="2"/>
        <v>300000</v>
      </c>
    </row>
    <row r="77" spans="1:6" ht="14.25" customHeight="1" x14ac:dyDescent="0.2">
      <c r="A77" s="24" t="s">
        <v>17</v>
      </c>
      <c r="B77" s="16" t="s">
        <v>10</v>
      </c>
      <c r="C77" s="373">
        <v>2</v>
      </c>
      <c r="D77" s="374">
        <v>25000</v>
      </c>
      <c r="E77" s="375">
        <f t="shared" si="2"/>
        <v>50000</v>
      </c>
    </row>
    <row r="78" spans="1:6" ht="14.25" customHeight="1" x14ac:dyDescent="0.2">
      <c r="A78" s="24" t="s">
        <v>18</v>
      </c>
      <c r="B78" s="16" t="s">
        <v>10</v>
      </c>
      <c r="C78" s="373">
        <v>15</v>
      </c>
      <c r="D78" s="374">
        <v>25000</v>
      </c>
      <c r="E78" s="375">
        <f t="shared" si="2"/>
        <v>375000</v>
      </c>
    </row>
    <row r="79" spans="1:6" ht="14.25" customHeight="1" x14ac:dyDescent="0.2">
      <c r="A79" s="24" t="s">
        <v>19</v>
      </c>
      <c r="B79" s="16" t="s">
        <v>10</v>
      </c>
      <c r="C79" s="373">
        <v>12</v>
      </c>
      <c r="D79" s="374">
        <v>25000</v>
      </c>
      <c r="E79" s="375">
        <f t="shared" si="2"/>
        <v>300000</v>
      </c>
    </row>
    <row r="80" spans="1:6" ht="15" customHeight="1" x14ac:dyDescent="0.2">
      <c r="A80" s="378" t="s">
        <v>20</v>
      </c>
      <c r="B80" s="70" t="s">
        <v>10</v>
      </c>
      <c r="C80" s="379">
        <v>6</v>
      </c>
      <c r="D80" s="380">
        <v>25000</v>
      </c>
      <c r="E80" s="381">
        <f t="shared" si="2"/>
        <v>150000</v>
      </c>
      <c r="F80" s="234"/>
    </row>
    <row r="81" spans="1:6" ht="16.5" customHeight="1" x14ac:dyDescent="0.25">
      <c r="A81" s="382"/>
      <c r="B81" s="383" t="s">
        <v>229</v>
      </c>
      <c r="C81" s="384">
        <f>SUM(C70:C80)</f>
        <v>86</v>
      </c>
      <c r="D81" s="383" t="s">
        <v>229</v>
      </c>
      <c r="E81" s="385">
        <f>SUM(E70:E80)</f>
        <v>2150000</v>
      </c>
      <c r="F81" s="234"/>
    </row>
    <row r="82" spans="1:6" ht="15" customHeight="1" x14ac:dyDescent="0.2">
      <c r="A82" s="382"/>
      <c r="B82" s="386"/>
      <c r="C82" s="387"/>
      <c r="E82" s="256">
        <f>SUM(E80:E81)</f>
        <v>2300000</v>
      </c>
    </row>
    <row r="83" spans="1:6" ht="15.75" customHeight="1" x14ac:dyDescent="0.25">
      <c r="A83" s="481" t="s">
        <v>37</v>
      </c>
      <c r="B83" s="467"/>
      <c r="C83" s="383" t="s">
        <v>133</v>
      </c>
      <c r="D83" s="298" t="s">
        <v>227</v>
      </c>
      <c r="E83" s="279" t="s">
        <v>228</v>
      </c>
    </row>
    <row r="84" spans="1:6" ht="14.25" customHeight="1" x14ac:dyDescent="0.2">
      <c r="A84" s="388" t="s">
        <v>38</v>
      </c>
      <c r="B84" s="48" t="s">
        <v>36</v>
      </c>
      <c r="C84" s="389">
        <v>1200</v>
      </c>
      <c r="D84" s="301">
        <v>600</v>
      </c>
      <c r="E84" s="390">
        <f t="shared" ref="E84:E87" si="3">D84*C84</f>
        <v>720000</v>
      </c>
    </row>
    <row r="85" spans="1:6" ht="14.25" customHeight="1" x14ac:dyDescent="0.2">
      <c r="A85" s="391" t="s">
        <v>39</v>
      </c>
      <c r="B85" s="16" t="s">
        <v>36</v>
      </c>
      <c r="C85" s="392">
        <v>1200</v>
      </c>
      <c r="D85" s="316">
        <v>1800</v>
      </c>
      <c r="E85" s="393">
        <f t="shared" si="3"/>
        <v>2160000</v>
      </c>
    </row>
    <row r="86" spans="1:6" ht="14.25" customHeight="1" x14ac:dyDescent="0.2">
      <c r="A86" s="52" t="s">
        <v>40</v>
      </c>
      <c r="B86" s="16" t="s">
        <v>36</v>
      </c>
      <c r="C86" s="392">
        <v>158</v>
      </c>
      <c r="D86" s="316">
        <v>5000</v>
      </c>
      <c r="E86" s="393">
        <f t="shared" si="3"/>
        <v>790000</v>
      </c>
    </row>
    <row r="87" spans="1:6" ht="15" customHeight="1" x14ac:dyDescent="0.2">
      <c r="A87" s="394" t="s">
        <v>41</v>
      </c>
      <c r="B87" s="70" t="s">
        <v>36</v>
      </c>
      <c r="C87" s="395">
        <v>1200</v>
      </c>
      <c r="D87" s="304">
        <v>190</v>
      </c>
      <c r="E87" s="396">
        <f t="shared" si="3"/>
        <v>228000</v>
      </c>
    </row>
    <row r="88" spans="1:6" ht="16.5" customHeight="1" x14ac:dyDescent="0.25">
      <c r="A88" s="397"/>
      <c r="B88" s="386"/>
      <c r="C88" s="386"/>
      <c r="D88" s="398" t="s">
        <v>229</v>
      </c>
      <c r="E88" s="346">
        <f>SUM(E84:E87)</f>
        <v>3898000</v>
      </c>
      <c r="F88" s="218" t="s">
        <v>230</v>
      </c>
    </row>
    <row r="89" spans="1:6" ht="14.25" customHeight="1" x14ac:dyDescent="0.2">
      <c r="A89" s="397"/>
      <c r="B89" s="386"/>
      <c r="C89" s="386"/>
      <c r="D89" s="74"/>
    </row>
    <row r="90" spans="1:6" ht="14.25" customHeight="1" x14ac:dyDescent="0.2">
      <c r="A90" s="382"/>
      <c r="B90" s="386"/>
      <c r="C90" s="387"/>
    </row>
    <row r="91" spans="1:6" ht="15.75" customHeight="1" x14ac:dyDescent="0.25">
      <c r="A91" s="214" t="s">
        <v>231</v>
      </c>
    </row>
    <row r="92" spans="1:6" ht="15" customHeight="1" x14ac:dyDescent="0.2">
      <c r="A92" s="3" t="s">
        <v>232</v>
      </c>
      <c r="B92" s="399">
        <f>D33</f>
        <v>19538400</v>
      </c>
    </row>
    <row r="93" spans="1:6" ht="15" customHeight="1" x14ac:dyDescent="0.2">
      <c r="A93" s="3" t="s">
        <v>233</v>
      </c>
      <c r="B93" s="399">
        <f>+'Capital de Trabajo'!B16</f>
        <v>37711093.115999997</v>
      </c>
    </row>
    <row r="94" spans="1:6" ht="18" customHeight="1" x14ac:dyDescent="0.25">
      <c r="A94" s="3" t="s">
        <v>135</v>
      </c>
      <c r="B94" s="400">
        <f>SUM(B92:B93)</f>
        <v>57249493.115999997</v>
      </c>
    </row>
    <row r="95" spans="1:6" ht="15.75" customHeight="1" x14ac:dyDescent="0.2">
      <c r="A95" s="3" t="s">
        <v>234</v>
      </c>
      <c r="B95" s="399">
        <v>566700</v>
      </c>
    </row>
    <row r="96" spans="1:6" ht="18.75" customHeight="1" x14ac:dyDescent="0.25">
      <c r="A96" s="3" t="s">
        <v>235</v>
      </c>
      <c r="B96" s="401">
        <f>+B94/B95</f>
        <v>101.02257475913181</v>
      </c>
    </row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2:F2"/>
    <mergeCell ref="A21:B21"/>
    <mergeCell ref="B33:C33"/>
    <mergeCell ref="A68:C68"/>
    <mergeCell ref="A83:B8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/>
  </sheetViews>
  <sheetFormatPr baseColWidth="10" defaultColWidth="14.42578125" defaultRowHeight="15" customHeight="1" x14ac:dyDescent="0.2"/>
  <cols>
    <col min="1" max="1" width="33.28515625" customWidth="1"/>
    <col min="2" max="2" width="19.140625" customWidth="1"/>
    <col min="3" max="3" width="25.140625" customWidth="1"/>
    <col min="4" max="4" width="15.85546875" customWidth="1"/>
    <col min="5" max="5" width="13.28515625" customWidth="1"/>
    <col min="6" max="6" width="11.7109375" customWidth="1"/>
    <col min="7" max="7" width="14.5703125" customWidth="1"/>
    <col min="8" max="8" width="11.7109375" customWidth="1"/>
  </cols>
  <sheetData>
    <row r="1" spans="1:8" ht="12.75" customHeight="1" x14ac:dyDescent="0.2"/>
    <row r="2" spans="1:8" ht="15.75" customHeight="1" x14ac:dyDescent="0.25">
      <c r="A2" s="471" t="s">
        <v>236</v>
      </c>
      <c r="B2" s="456"/>
      <c r="C2" s="456"/>
      <c r="D2" s="456"/>
      <c r="E2" s="456"/>
      <c r="F2" s="456"/>
      <c r="G2" s="456"/>
      <c r="H2" s="456"/>
    </row>
    <row r="3" spans="1:8" ht="13.5" customHeight="1" x14ac:dyDescent="0.2"/>
    <row r="4" spans="1:8" ht="16.5" customHeight="1" x14ac:dyDescent="0.25">
      <c r="A4" s="308" t="s">
        <v>177</v>
      </c>
      <c r="B4" s="325" t="s">
        <v>179</v>
      </c>
      <c r="C4" s="325" t="s">
        <v>237</v>
      </c>
      <c r="F4" s="240"/>
    </row>
    <row r="5" spans="1:8" ht="15" customHeight="1" x14ac:dyDescent="0.2">
      <c r="A5" s="402" t="s">
        <v>213</v>
      </c>
      <c r="B5" s="403">
        <f>+'Costos Operativos'!D151*0.666</f>
        <v>13352844.899999999</v>
      </c>
      <c r="C5" s="404" t="s">
        <v>238</v>
      </c>
      <c r="D5" s="240"/>
      <c r="E5" s="240">
        <f>B5-26666600</f>
        <v>-13313755.100000001</v>
      </c>
      <c r="F5" s="240"/>
      <c r="G5" s="240"/>
      <c r="H5" s="240"/>
    </row>
    <row r="6" spans="1:8" ht="15" customHeight="1" x14ac:dyDescent="0.2">
      <c r="A6" s="405" t="s">
        <v>239</v>
      </c>
      <c r="B6" s="406">
        <f>+'Costos Operativos'!D157*0.666</f>
        <v>12608063.316000002</v>
      </c>
      <c r="C6" s="407" t="s">
        <v>238</v>
      </c>
      <c r="D6" s="240"/>
      <c r="E6" s="240">
        <f>B6-25178000</f>
        <v>-12569936.683999998</v>
      </c>
      <c r="F6" s="240"/>
      <c r="G6" s="406">
        <f>+'Costos Operativos'!D157*1.333</f>
        <v>25235057.658</v>
      </c>
    </row>
    <row r="7" spans="1:8" ht="15" customHeight="1" x14ac:dyDescent="0.2">
      <c r="A7" s="405" t="s">
        <v>155</v>
      </c>
      <c r="B7" s="406">
        <f>+('Costos Admtivo-Ventas'!D4*2)</f>
        <v>1854684.9</v>
      </c>
      <c r="C7" s="407" t="s">
        <v>240</v>
      </c>
      <c r="D7" s="240"/>
      <c r="E7" s="240">
        <f>SUM(E5:E6)</f>
        <v>-25883691.784000002</v>
      </c>
      <c r="F7" s="240"/>
      <c r="H7" s="240"/>
    </row>
    <row r="8" spans="1:8" ht="15" customHeight="1" x14ac:dyDescent="0.2">
      <c r="A8" s="405" t="s">
        <v>156</v>
      </c>
      <c r="B8" s="406">
        <f>+'Costos Admtivo-Ventas'!E5</f>
        <v>2400000</v>
      </c>
      <c r="C8" s="407" t="s">
        <v>241</v>
      </c>
      <c r="F8" s="240"/>
    </row>
    <row r="9" spans="1:8" ht="15" customHeight="1" x14ac:dyDescent="0.2">
      <c r="A9" s="405" t="s">
        <v>242</v>
      </c>
      <c r="B9" s="406">
        <f>+'Costos Admtivo-Ventas'!E6</f>
        <v>3600000</v>
      </c>
      <c r="C9" s="407" t="s">
        <v>241</v>
      </c>
    </row>
    <row r="10" spans="1:8" ht="15" customHeight="1" x14ac:dyDescent="0.2">
      <c r="A10" s="405" t="s">
        <v>147</v>
      </c>
      <c r="B10" s="406">
        <f>'Costos Indirectos'!B5*6</f>
        <v>120000</v>
      </c>
      <c r="C10" s="407" t="s">
        <v>243</v>
      </c>
      <c r="D10" s="240"/>
    </row>
    <row r="11" spans="1:8" ht="15" customHeight="1" x14ac:dyDescent="0.2">
      <c r="A11" s="405" t="s">
        <v>148</v>
      </c>
      <c r="B11" s="406">
        <f>+'Costos Indirectos'!B6*6</f>
        <v>600000</v>
      </c>
      <c r="C11" s="407" t="s">
        <v>243</v>
      </c>
      <c r="D11" s="240"/>
      <c r="E11" s="240"/>
      <c r="G11" s="240"/>
    </row>
    <row r="12" spans="1:8" ht="15" customHeight="1" x14ac:dyDescent="0.2">
      <c r="A12" s="405" t="s">
        <v>149</v>
      </c>
      <c r="B12" s="406">
        <f>+'Costos Indirectos'!B7</f>
        <v>30000</v>
      </c>
      <c r="C12" s="407" t="s">
        <v>244</v>
      </c>
    </row>
    <row r="13" spans="1:8" ht="15" customHeight="1" x14ac:dyDescent="0.2">
      <c r="A13" s="405" t="s">
        <v>60</v>
      </c>
      <c r="B13" s="406">
        <f>+'Costos Operativos'!G182</f>
        <v>1464000</v>
      </c>
      <c r="C13" s="407" t="s">
        <v>241</v>
      </c>
      <c r="D13" s="240"/>
      <c r="E13" s="240"/>
      <c r="F13" s="240"/>
    </row>
    <row r="14" spans="1:8" ht="15" customHeight="1" x14ac:dyDescent="0.2">
      <c r="A14" s="405" t="s">
        <v>245</v>
      </c>
      <c r="B14" s="406">
        <f>+('Flujo de Caja'!D5/6)*('Costos Admtivo-Ventas'!D11+'Costos Admtivo-Ventas'!F16)</f>
        <v>1501500</v>
      </c>
      <c r="C14" s="407" t="s">
        <v>246</v>
      </c>
    </row>
    <row r="15" spans="1:8" ht="15.75" customHeight="1" x14ac:dyDescent="0.2">
      <c r="A15" s="408" t="s">
        <v>247</v>
      </c>
      <c r="B15" s="409">
        <f>+B24</f>
        <v>180000</v>
      </c>
      <c r="C15" s="407" t="s">
        <v>248</v>
      </c>
    </row>
    <row r="16" spans="1:8" ht="18.75" customHeight="1" x14ac:dyDescent="0.25">
      <c r="A16" s="410" t="s">
        <v>249</v>
      </c>
      <c r="B16" s="411">
        <f>SUM(B5:B15)</f>
        <v>37711093.115999997</v>
      </c>
      <c r="C16" s="482" t="s">
        <v>250</v>
      </c>
      <c r="D16" s="468"/>
    </row>
    <row r="17" spans="1:3" ht="15.75" customHeight="1" x14ac:dyDescent="0.25">
      <c r="A17" s="412"/>
      <c r="B17" s="413"/>
      <c r="C17" s="413"/>
    </row>
    <row r="18" spans="1:3" ht="15.75" customHeight="1" x14ac:dyDescent="0.25">
      <c r="A18" s="412"/>
      <c r="B18" s="413"/>
      <c r="C18" s="413"/>
    </row>
    <row r="19" spans="1:3" ht="14.25" customHeight="1" x14ac:dyDescent="0.2">
      <c r="A19" s="1"/>
    </row>
    <row r="20" spans="1:3" ht="15.75" customHeight="1" x14ac:dyDescent="0.2">
      <c r="B20" s="414"/>
    </row>
    <row r="21" spans="1:3" ht="16.5" customHeight="1" x14ac:dyDescent="0.25">
      <c r="A21" s="415" t="s">
        <v>247</v>
      </c>
      <c r="B21" s="414"/>
    </row>
    <row r="22" spans="1:3" ht="15.75" customHeight="1" x14ac:dyDescent="0.2">
      <c r="A22" s="416" t="s">
        <v>251</v>
      </c>
      <c r="B22" s="417">
        <v>60000</v>
      </c>
    </row>
    <row r="23" spans="1:3" ht="15.75" customHeight="1" x14ac:dyDescent="0.2">
      <c r="A23" s="416" t="s">
        <v>252</v>
      </c>
      <c r="B23" s="418">
        <v>120000</v>
      </c>
    </row>
    <row r="24" spans="1:3" ht="16.5" customHeight="1" x14ac:dyDescent="0.25">
      <c r="A24" s="419" t="s">
        <v>188</v>
      </c>
      <c r="B24" s="420">
        <f>SUM(B22:B23)</f>
        <v>180000</v>
      </c>
    </row>
    <row r="25" spans="1:3" ht="15" customHeight="1" x14ac:dyDescent="0.2">
      <c r="A25" s="3"/>
      <c r="B25" s="399"/>
    </row>
    <row r="26" spans="1:3" ht="15" customHeight="1" x14ac:dyDescent="0.2">
      <c r="A26" s="3"/>
      <c r="B26" s="399"/>
    </row>
    <row r="27" spans="1:3" ht="15" customHeight="1" x14ac:dyDescent="0.2">
      <c r="A27" s="3"/>
      <c r="B27" s="399"/>
    </row>
    <row r="28" spans="1:3" ht="15" customHeight="1" x14ac:dyDescent="0.2">
      <c r="A28" s="3"/>
      <c r="B28" s="399"/>
    </row>
    <row r="29" spans="1:3" ht="15" customHeight="1" x14ac:dyDescent="0.2">
      <c r="A29" s="3"/>
      <c r="B29" s="399"/>
    </row>
    <row r="30" spans="1:3" ht="15.75" customHeight="1" x14ac:dyDescent="0.25">
      <c r="B30" s="321"/>
    </row>
    <row r="31" spans="1:3" ht="12.75" customHeight="1" x14ac:dyDescent="0.2"/>
    <row r="32" spans="1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2:H2"/>
    <mergeCell ref="C16:D1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0"/>
  <sheetViews>
    <sheetView workbookViewId="0"/>
  </sheetViews>
  <sheetFormatPr baseColWidth="10" defaultColWidth="14.42578125" defaultRowHeight="15" customHeight="1" x14ac:dyDescent="0.2"/>
  <cols>
    <col min="1" max="1" width="39.85546875" customWidth="1"/>
    <col min="2" max="2" width="11.28515625" customWidth="1"/>
    <col min="3" max="3" width="11.5703125" customWidth="1"/>
    <col min="4" max="6" width="18.5703125" customWidth="1"/>
    <col min="7" max="7" width="17" customWidth="1"/>
    <col min="8" max="8" width="10" customWidth="1"/>
    <col min="9" max="9" width="11.5703125" customWidth="1"/>
    <col min="10" max="12" width="10" customWidth="1"/>
  </cols>
  <sheetData>
    <row r="1" spans="1:12" ht="12.75" customHeight="1" x14ac:dyDescent="0.2"/>
    <row r="2" spans="1:12" ht="12.75" customHeight="1" x14ac:dyDescent="0.2"/>
    <row r="3" spans="1:12" ht="16.5" customHeight="1" x14ac:dyDescent="0.25">
      <c r="A3" s="166" t="s">
        <v>253</v>
      </c>
      <c r="C3" s="164" t="s">
        <v>89</v>
      </c>
      <c r="D3" s="164" t="s">
        <v>90</v>
      </c>
      <c r="E3" s="164" t="s">
        <v>91</v>
      </c>
      <c r="F3" s="164" t="s">
        <v>92</v>
      </c>
      <c r="G3" s="164" t="s">
        <v>93</v>
      </c>
    </row>
    <row r="4" spans="1:12" ht="14.25" customHeight="1" x14ac:dyDescent="0.2">
      <c r="A4" s="170" t="s">
        <v>73</v>
      </c>
      <c r="B4" s="104" t="s">
        <v>74</v>
      </c>
      <c r="C4" s="421">
        <f>+'Costos Operativos'!C121</f>
        <v>0</v>
      </c>
      <c r="D4" s="404">
        <f>+'Costos Operativos'!D121</f>
        <v>3000</v>
      </c>
      <c r="E4" s="422">
        <f>+'Costos Operativos'!E121</f>
        <v>6000</v>
      </c>
      <c r="F4" s="404">
        <f>+'Costos Operativos'!F121</f>
        <v>10000</v>
      </c>
      <c r="G4" s="423">
        <f>+'Costos Operativos'!G121</f>
        <v>10000</v>
      </c>
      <c r="I4" s="218">
        <f t="shared" ref="I4:L4" si="0">+D4/2</f>
        <v>1500</v>
      </c>
      <c r="J4" s="218">
        <f t="shared" si="0"/>
        <v>3000</v>
      </c>
      <c r="K4" s="218">
        <f t="shared" si="0"/>
        <v>5000</v>
      </c>
      <c r="L4" s="218">
        <f t="shared" si="0"/>
        <v>5000</v>
      </c>
    </row>
    <row r="5" spans="1:12" ht="14.25" customHeight="1" x14ac:dyDescent="0.2">
      <c r="A5" s="173" t="s">
        <v>254</v>
      </c>
      <c r="B5" s="124" t="s">
        <v>74</v>
      </c>
      <c r="C5" s="424">
        <f>+'Costos Operativos'!C122</f>
        <v>0</v>
      </c>
      <c r="D5" s="317">
        <f>+'Costos Operativos'!D122</f>
        <v>78000</v>
      </c>
      <c r="E5" s="366">
        <f>+'Costos Operativos'!E122</f>
        <v>62400</v>
      </c>
      <c r="F5" s="317">
        <f>+'Costos Operativos'!F122</f>
        <v>49920</v>
      </c>
      <c r="G5" s="425">
        <f>+'Costos Operativos'!G122</f>
        <v>0</v>
      </c>
      <c r="I5" s="218">
        <f t="shared" ref="I5:L5" si="1">+D5/2</f>
        <v>39000</v>
      </c>
      <c r="J5" s="218">
        <f t="shared" si="1"/>
        <v>31200</v>
      </c>
      <c r="K5" s="218">
        <f t="shared" si="1"/>
        <v>24960</v>
      </c>
      <c r="L5" s="218">
        <f t="shared" si="1"/>
        <v>0</v>
      </c>
    </row>
    <row r="6" spans="1:12" ht="15" customHeight="1" x14ac:dyDescent="0.2">
      <c r="A6" s="176" t="s">
        <v>255</v>
      </c>
      <c r="B6" s="153" t="s">
        <v>77</v>
      </c>
      <c r="C6" s="426">
        <f>+'Costos Operativos'!C123</f>
        <v>0</v>
      </c>
      <c r="D6" s="427">
        <f>+'Costos Operativos'!D123</f>
        <v>0</v>
      </c>
      <c r="E6" s="428">
        <f>+'Costos Operativos'!E123</f>
        <v>0</v>
      </c>
      <c r="F6" s="427">
        <f>+'Costos Operativos'!F123</f>
        <v>0</v>
      </c>
      <c r="G6" s="429">
        <f>+'Costos Operativos'!G123</f>
        <v>0</v>
      </c>
    </row>
    <row r="7" spans="1:12" ht="15" customHeight="1" x14ac:dyDescent="0.2">
      <c r="A7" s="1"/>
    </row>
    <row r="8" spans="1:12" ht="14.25" customHeight="1" x14ac:dyDescent="0.2">
      <c r="A8" s="170" t="s">
        <v>78</v>
      </c>
      <c r="B8" s="430" t="s">
        <v>65</v>
      </c>
      <c r="C8" s="431">
        <f>+'Costos Operativos'!C125</f>
        <v>4800</v>
      </c>
      <c r="D8" s="324">
        <f>+'Costos Operativos'!D125</f>
        <v>5040</v>
      </c>
      <c r="E8" s="432">
        <f>+'Costos Operativos'!E125</f>
        <v>5292</v>
      </c>
      <c r="F8" s="324">
        <f>+'Costos Operativos'!F125</f>
        <v>5556.6</v>
      </c>
      <c r="G8" s="433">
        <f>+'Costos Operativos'!G125</f>
        <v>5834.43</v>
      </c>
    </row>
    <row r="9" spans="1:12" ht="14.25" customHeight="1" x14ac:dyDescent="0.2">
      <c r="A9" s="173" t="s">
        <v>80</v>
      </c>
      <c r="B9" s="124" t="s">
        <v>65</v>
      </c>
      <c r="C9" s="353">
        <f>+'Costos Operativos'!C126</f>
        <v>800</v>
      </c>
      <c r="D9" s="316">
        <f>+'Costos Operativos'!D126</f>
        <v>840</v>
      </c>
      <c r="E9" s="434">
        <f>+'Costos Operativos'!E126</f>
        <v>882</v>
      </c>
      <c r="F9" s="316">
        <f>+'Costos Operativos'!F126</f>
        <v>926.1</v>
      </c>
      <c r="G9" s="393">
        <f>+'Costos Operativos'!G126</f>
        <v>972.40500000000009</v>
      </c>
    </row>
    <row r="10" spans="1:12" ht="15" customHeight="1" x14ac:dyDescent="0.2">
      <c r="A10" s="176" t="s">
        <v>256</v>
      </c>
      <c r="B10" s="153" t="s">
        <v>82</v>
      </c>
      <c r="C10" s="435">
        <f>+'Costos Operativos'!C127</f>
        <v>50000</v>
      </c>
      <c r="D10" s="436">
        <f>+'Costos Operativos'!D127</f>
        <v>52500</v>
      </c>
      <c r="E10" s="360">
        <f>+'Costos Operativos'!E127</f>
        <v>55125</v>
      </c>
      <c r="F10" s="436">
        <f>+'Costos Operativos'!F127</f>
        <v>57881.25</v>
      </c>
      <c r="G10" s="437">
        <f>+'Costos Operativos'!G127</f>
        <v>60775.3125</v>
      </c>
    </row>
    <row r="11" spans="1:12" ht="12.75" customHeight="1" x14ac:dyDescent="0.2"/>
    <row r="12" spans="1:12" ht="15.75" customHeight="1" x14ac:dyDescent="0.2">
      <c r="A12" s="192" t="s">
        <v>102</v>
      </c>
      <c r="B12" s="2"/>
      <c r="C12" s="167"/>
      <c r="D12" s="167"/>
      <c r="E12" s="167"/>
      <c r="F12" s="167"/>
      <c r="G12" s="167"/>
    </row>
    <row r="13" spans="1:12" ht="14.25" customHeight="1" x14ac:dyDescent="0.2">
      <c r="A13" s="139" t="s">
        <v>84</v>
      </c>
      <c r="B13" s="193" t="s">
        <v>85</v>
      </c>
      <c r="C13" s="438">
        <f t="shared" ref="C13:G13" si="2">+C4*C8</f>
        <v>0</v>
      </c>
      <c r="D13" s="439">
        <f t="shared" si="2"/>
        <v>15120000</v>
      </c>
      <c r="E13" s="440">
        <f t="shared" si="2"/>
        <v>31752000</v>
      </c>
      <c r="F13" s="439">
        <f t="shared" si="2"/>
        <v>55566000</v>
      </c>
      <c r="G13" s="439">
        <f t="shared" si="2"/>
        <v>58344300</v>
      </c>
    </row>
    <row r="14" spans="1:12" ht="14.25" customHeight="1" x14ac:dyDescent="0.2">
      <c r="A14" s="123" t="s">
        <v>86</v>
      </c>
      <c r="B14" s="197" t="s">
        <v>85</v>
      </c>
      <c r="C14" s="441">
        <f t="shared" ref="C14:G14" si="3">+C5*C9</f>
        <v>0</v>
      </c>
      <c r="D14" s="442">
        <f t="shared" si="3"/>
        <v>65520000</v>
      </c>
      <c r="E14" s="443">
        <f t="shared" si="3"/>
        <v>55036800</v>
      </c>
      <c r="F14" s="442">
        <f t="shared" si="3"/>
        <v>46230912</v>
      </c>
      <c r="G14" s="442">
        <f t="shared" si="3"/>
        <v>0</v>
      </c>
    </row>
    <row r="15" spans="1:12" ht="15" customHeight="1" x14ac:dyDescent="0.2">
      <c r="A15" s="152" t="s">
        <v>256</v>
      </c>
      <c r="B15" s="201" t="s">
        <v>85</v>
      </c>
      <c r="C15" s="444">
        <f t="shared" ref="C15:G15" si="4">+C6*C10</f>
        <v>0</v>
      </c>
      <c r="D15" s="445">
        <f t="shared" si="4"/>
        <v>0</v>
      </c>
      <c r="E15" s="446">
        <f t="shared" si="4"/>
        <v>0</v>
      </c>
      <c r="F15" s="445">
        <f t="shared" si="4"/>
        <v>0</v>
      </c>
      <c r="G15" s="445">
        <f t="shared" si="4"/>
        <v>0</v>
      </c>
    </row>
    <row r="16" spans="1:12" ht="18.75" customHeight="1" x14ac:dyDescent="0.25">
      <c r="B16" s="447" t="s">
        <v>229</v>
      </c>
      <c r="C16" s="448">
        <f t="shared" ref="C16:G16" si="5">SUM(C13:C15)</f>
        <v>0</v>
      </c>
      <c r="D16" s="449">
        <f t="shared" si="5"/>
        <v>80640000</v>
      </c>
      <c r="E16" s="448">
        <f t="shared" si="5"/>
        <v>86788800</v>
      </c>
      <c r="F16" s="450">
        <f t="shared" si="5"/>
        <v>101796912</v>
      </c>
      <c r="G16" s="448">
        <f t="shared" si="5"/>
        <v>58344300</v>
      </c>
    </row>
    <row r="17" spans="1:7" ht="12.75" customHeight="1" x14ac:dyDescent="0.2"/>
    <row r="18" spans="1:7" ht="15" customHeight="1" x14ac:dyDescent="0.2">
      <c r="A18" s="192" t="s">
        <v>257</v>
      </c>
    </row>
    <row r="19" spans="1:7" ht="15" customHeight="1" x14ac:dyDescent="0.2">
      <c r="A19" s="451" t="s">
        <v>258</v>
      </c>
    </row>
    <row r="20" spans="1:7" ht="15" customHeight="1" x14ac:dyDescent="0.2">
      <c r="A20" s="452" t="s">
        <v>213</v>
      </c>
      <c r="D20" s="236" t="s">
        <v>172</v>
      </c>
      <c r="E20" s="236" t="s">
        <v>91</v>
      </c>
      <c r="F20" s="236" t="s">
        <v>92</v>
      </c>
      <c r="G20" s="236" t="s">
        <v>93</v>
      </c>
    </row>
    <row r="21" spans="1:7" ht="12.75" customHeight="1" x14ac:dyDescent="0.2">
      <c r="A21" s="218" t="s">
        <v>108</v>
      </c>
      <c r="D21" s="247">
        <f>+'Costos Operativos'!D153*'Flujo de Caja'!D4</f>
        <v>3759246.875</v>
      </c>
      <c r="E21" s="247">
        <f>+'Costos Operativos'!E153*'Flujo de Caja'!E4</f>
        <v>4385556.4756097561</v>
      </c>
      <c r="F21" s="247">
        <f>+'Costos Operativos'!F153*'Flujo de Caja'!F4</f>
        <v>7180803.6584788943</v>
      </c>
      <c r="G21" s="247">
        <f>+'Costos Operativos'!G153*'Flujo de Caja'!G4</f>
        <v>11527435.339026667</v>
      </c>
    </row>
    <row r="22" spans="1:7" ht="12.75" customHeight="1" x14ac:dyDescent="0.2">
      <c r="A22" s="218" t="s">
        <v>173</v>
      </c>
      <c r="D22" s="247">
        <f>+'Costos Operativos'!D155*'Flujo de Caja'!D5</f>
        <v>16290069.791666666</v>
      </c>
      <c r="E22" s="247">
        <f>+'Costos Operativos'!E155*'Flujo de Caja'!E5</f>
        <v>7601631.2243902432</v>
      </c>
      <c r="F22" s="247">
        <f>+'Costos Operativos'!F155*'Flujo de Caja'!F5</f>
        <v>5974428.6438544402</v>
      </c>
      <c r="G22" s="247">
        <f>+'Costos Operativos'!G155*'Flujo de Caja'!G5</f>
        <v>0</v>
      </c>
    </row>
    <row r="23" spans="1:7" ht="12.75" customHeight="1" x14ac:dyDescent="0.2">
      <c r="C23" s="236" t="s">
        <v>259</v>
      </c>
      <c r="D23" s="453">
        <f t="shared" ref="D23:G23" si="6">SUM(D21:D22)</f>
        <v>20049316.666666664</v>
      </c>
      <c r="E23" s="453">
        <f t="shared" si="6"/>
        <v>11987187.699999999</v>
      </c>
      <c r="F23" s="453">
        <f t="shared" si="6"/>
        <v>13155232.302333334</v>
      </c>
      <c r="G23" s="453">
        <f t="shared" si="6"/>
        <v>11527435.339026667</v>
      </c>
    </row>
    <row r="24" spans="1:7" ht="12.75" customHeight="1" x14ac:dyDescent="0.2"/>
    <row r="25" spans="1:7" ht="15" customHeight="1" x14ac:dyDescent="0.2">
      <c r="A25" s="452" t="s">
        <v>239</v>
      </c>
      <c r="D25" s="236" t="s">
        <v>172</v>
      </c>
      <c r="E25" s="236" t="s">
        <v>91</v>
      </c>
      <c r="F25" s="236" t="s">
        <v>92</v>
      </c>
      <c r="G25" s="236" t="s">
        <v>93</v>
      </c>
    </row>
    <row r="26" spans="1:7" ht="12.75" customHeight="1" x14ac:dyDescent="0.2">
      <c r="A26" s="218" t="s">
        <v>108</v>
      </c>
      <c r="D26" s="247">
        <f>+'Costos Operativos'!D159*D4</f>
        <v>3549567.3750000005</v>
      </c>
      <c r="E26" s="247">
        <f>+'Costos Operativos'!E159*E4</f>
        <v>2256037.6829268294</v>
      </c>
      <c r="F26" s="247">
        <f>+'Costos Operativos'!F159*F4</f>
        <v>2066537.5545851535</v>
      </c>
      <c r="G26" s="247">
        <f>+'Costos Operativos'!G159*G4</f>
        <v>4789580.8275000015</v>
      </c>
    </row>
    <row r="27" spans="1:7" ht="12.75" customHeight="1" x14ac:dyDescent="0.2">
      <c r="A27" s="218" t="s">
        <v>173</v>
      </c>
      <c r="D27" s="247">
        <f>+'Costos Operativos'!D161*D5</f>
        <v>15381458.625</v>
      </c>
      <c r="E27" s="247">
        <f>+'Costos Operativos'!E161*E5</f>
        <v>3910465.3170731706</v>
      </c>
      <c r="F27" s="247">
        <f>+'Costos Operativos'!F161*F5</f>
        <v>1719359.2454148477</v>
      </c>
      <c r="G27" s="247">
        <f>+'Costos Operativos'!G161*G5</f>
        <v>0</v>
      </c>
    </row>
    <row r="28" spans="1:7" ht="12.75" customHeight="1" x14ac:dyDescent="0.2">
      <c r="C28" s="236" t="s">
        <v>259</v>
      </c>
      <c r="D28" s="453">
        <f t="shared" ref="D28:G28" si="7">SUM(D26:D27)</f>
        <v>18931026</v>
      </c>
      <c r="E28" s="453">
        <f t="shared" si="7"/>
        <v>6166503</v>
      </c>
      <c r="F28" s="453">
        <f t="shared" si="7"/>
        <v>3785896.8000000012</v>
      </c>
      <c r="G28" s="453">
        <f t="shared" si="7"/>
        <v>4789580.8275000015</v>
      </c>
    </row>
    <row r="29" spans="1:7" ht="12.75" customHeight="1" x14ac:dyDescent="0.2"/>
    <row r="30" spans="1:7" ht="15" customHeight="1" x14ac:dyDescent="0.2">
      <c r="A30" s="451" t="s">
        <v>260</v>
      </c>
      <c r="D30" s="236" t="s">
        <v>172</v>
      </c>
      <c r="E30" s="236" t="s">
        <v>91</v>
      </c>
      <c r="F30" s="236" t="s">
        <v>92</v>
      </c>
      <c r="G30" s="236" t="s">
        <v>93</v>
      </c>
    </row>
    <row r="31" spans="1:7" ht="15" customHeight="1" x14ac:dyDescent="0.2">
      <c r="A31" s="451"/>
      <c r="D31" s="453">
        <f>+'Costos Admtivo-Ventas'!F7+'Costos Admtivo-Ventas'!G7</f>
        <v>27257939.369999997</v>
      </c>
      <c r="E31" s="453">
        <f>+'Costos Admtivo-Ventas'!H7</f>
        <v>18883740.613500003</v>
      </c>
      <c r="F31" s="453">
        <f>+'Costos Admtivo-Ventas'!I7</f>
        <v>19827927.644175004</v>
      </c>
      <c r="G31" s="453">
        <f>+'Costos Admtivo-Ventas'!J7</f>
        <v>20819324.026383754</v>
      </c>
    </row>
    <row r="32" spans="1:7" ht="15" customHeight="1" x14ac:dyDescent="0.2">
      <c r="A32" s="451"/>
      <c r="D32" s="453"/>
      <c r="E32" s="453"/>
      <c r="F32" s="453"/>
      <c r="G32" s="453"/>
    </row>
    <row r="33" spans="1:7" ht="15" customHeight="1" x14ac:dyDescent="0.2">
      <c r="A33" s="451" t="s">
        <v>261</v>
      </c>
      <c r="D33" s="236" t="s">
        <v>172</v>
      </c>
      <c r="E33" s="236" t="s">
        <v>91</v>
      </c>
      <c r="F33" s="236" t="s">
        <v>92</v>
      </c>
      <c r="G33" s="236" t="s">
        <v>93</v>
      </c>
    </row>
    <row r="34" spans="1:7" ht="12.75" customHeight="1" x14ac:dyDescent="0.2">
      <c r="A34" s="218" t="s">
        <v>108</v>
      </c>
      <c r="D34" s="247">
        <f>+'Costos Admtivo-Ventas'!B21</f>
        <v>441000</v>
      </c>
      <c r="E34" s="247">
        <f>+'Costos Admtivo-Ventas'!C21</f>
        <v>926100</v>
      </c>
      <c r="F34" s="247">
        <f>+'Costos Admtivo-Ventas'!D21</f>
        <v>1620675</v>
      </c>
      <c r="G34" s="247">
        <f>+'Costos Admtivo-Ventas'!E21</f>
        <v>1701708.7500000002</v>
      </c>
    </row>
    <row r="35" spans="1:7" ht="12.75" customHeight="1" x14ac:dyDescent="0.2">
      <c r="A35" s="218" t="s">
        <v>173</v>
      </c>
      <c r="D35" s="247">
        <f>+'Costos Admtivo-Ventas'!B22-'Capital de Trabajo'!B14</f>
        <v>7507500</v>
      </c>
      <c r="E35" s="247">
        <f>+'Costos Admtivo-Ventas'!C22</f>
        <v>7567560</v>
      </c>
      <c r="F35" s="247">
        <f>+'Costos Admtivo-Ventas'!D22</f>
        <v>6356750.4000000004</v>
      </c>
      <c r="G35" s="247">
        <f>+'Costos Admtivo-Ventas'!E22</f>
        <v>0</v>
      </c>
    </row>
    <row r="36" spans="1:7" ht="12.75" customHeight="1" x14ac:dyDescent="0.2">
      <c r="C36" s="236" t="s">
        <v>259</v>
      </c>
      <c r="D36" s="453">
        <f t="shared" ref="D36:G36" si="8">SUM(D34:D35)</f>
        <v>7948500</v>
      </c>
      <c r="E36" s="453">
        <f t="shared" si="8"/>
        <v>8493660</v>
      </c>
      <c r="F36" s="453">
        <f t="shared" si="8"/>
        <v>7977425.4000000004</v>
      </c>
      <c r="G36" s="453">
        <f t="shared" si="8"/>
        <v>1701708.7500000002</v>
      </c>
    </row>
    <row r="37" spans="1:7" ht="12.75" customHeight="1" x14ac:dyDescent="0.2">
      <c r="C37" s="236"/>
      <c r="D37" s="453"/>
      <c r="E37" s="453"/>
      <c r="F37" s="453"/>
      <c r="G37" s="453"/>
    </row>
    <row r="38" spans="1:7" ht="15" customHeight="1" x14ac:dyDescent="0.2">
      <c r="A38" s="451" t="s">
        <v>262</v>
      </c>
      <c r="D38" s="236" t="s">
        <v>172</v>
      </c>
      <c r="E38" s="236" t="s">
        <v>91</v>
      </c>
      <c r="F38" s="236" t="s">
        <v>92</v>
      </c>
      <c r="G38" s="236" t="s">
        <v>93</v>
      </c>
    </row>
    <row r="39" spans="1:7" ht="12.75" customHeight="1" x14ac:dyDescent="0.2">
      <c r="D39" s="453">
        <f>+'Costos Indirectos'!F9</f>
        <v>1170000</v>
      </c>
      <c r="E39" s="453">
        <f>+'Costos Indirectos'!G9</f>
        <v>1890000</v>
      </c>
      <c r="F39" s="453">
        <f>+'Costos Indirectos'!H9</f>
        <v>1984500</v>
      </c>
      <c r="G39" s="453">
        <f>+'Costos Indirectos'!I9</f>
        <v>2083725</v>
      </c>
    </row>
    <row r="40" spans="1:7" ht="12.75" customHeight="1" x14ac:dyDescent="0.2">
      <c r="D40" s="453"/>
      <c r="E40" s="453"/>
      <c r="F40" s="453"/>
      <c r="G40" s="453"/>
    </row>
    <row r="41" spans="1:7" ht="15" customHeight="1" x14ac:dyDescent="0.2">
      <c r="A41" s="192" t="s">
        <v>263</v>
      </c>
      <c r="D41" s="453">
        <f t="shared" ref="D41:G41" si="9">+D23+D28+D31+D36+D39</f>
        <v>75356782.036666662</v>
      </c>
      <c r="E41" s="453">
        <f t="shared" si="9"/>
        <v>47421091.313500002</v>
      </c>
      <c r="F41" s="453">
        <f t="shared" si="9"/>
        <v>46730982.146508344</v>
      </c>
      <c r="G41" s="453">
        <f t="shared" si="9"/>
        <v>40921773.942910418</v>
      </c>
    </row>
    <row r="42" spans="1:7" ht="15" customHeight="1" x14ac:dyDescent="0.2">
      <c r="A42" s="192" t="s">
        <v>264</v>
      </c>
      <c r="D42" s="453">
        <f t="shared" ref="D42:G42" si="10">+D16-D41</f>
        <v>5283217.9633333385</v>
      </c>
      <c r="E42" s="453">
        <f t="shared" si="10"/>
        <v>39367708.686499998</v>
      </c>
      <c r="F42" s="453">
        <f t="shared" si="10"/>
        <v>55065929.853491656</v>
      </c>
      <c r="G42" s="453">
        <f t="shared" si="10"/>
        <v>17422526.057089582</v>
      </c>
    </row>
    <row r="43" spans="1:7" ht="15" customHeight="1" x14ac:dyDescent="0.2">
      <c r="A43" s="192"/>
      <c r="D43" s="453"/>
      <c r="E43" s="453"/>
      <c r="F43" s="453"/>
      <c r="G43" s="453"/>
    </row>
    <row r="44" spans="1:7" ht="12.75" customHeight="1" x14ac:dyDescent="0.2"/>
    <row r="45" spans="1:7" ht="12.75" customHeight="1" x14ac:dyDescent="0.2">
      <c r="B45" s="483" t="s">
        <v>233</v>
      </c>
      <c r="C45" s="456"/>
      <c r="D45" s="453">
        <f>+'Capital de Trabajo'!B16</f>
        <v>37711093.115999997</v>
      </c>
    </row>
    <row r="46" spans="1:7" ht="12.75" customHeight="1" x14ac:dyDescent="0.2">
      <c r="B46" s="483" t="s">
        <v>232</v>
      </c>
      <c r="C46" s="456"/>
      <c r="D46" s="453">
        <f>Inversión!B92</f>
        <v>19538400</v>
      </c>
    </row>
    <row r="47" spans="1:7" ht="12.75" customHeight="1" x14ac:dyDescent="0.2"/>
    <row r="48" spans="1:7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45:C45"/>
    <mergeCell ref="B46:C46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/>
  </sheetViews>
  <sheetFormatPr baseColWidth="10" defaultColWidth="14.42578125" defaultRowHeight="15" customHeight="1" x14ac:dyDescent="0.2"/>
  <cols>
    <col min="1" max="10" width="10" customWidth="1"/>
  </cols>
  <sheetData>
    <row r="1" spans="1:10" ht="12.75" customHeight="1" x14ac:dyDescent="0.2"/>
    <row r="2" spans="1:10" ht="12.75" customHeight="1" x14ac:dyDescent="0.2"/>
    <row r="3" spans="1:10" ht="12.75" customHeight="1" x14ac:dyDescent="0.2">
      <c r="A3" s="454">
        <f>(157*5)/180</f>
        <v>4.3611111111111107</v>
      </c>
      <c r="B3" s="454">
        <f>(85*5)/180</f>
        <v>2.3611111111111112</v>
      </c>
      <c r="C3" s="454">
        <f>(95*5)/180</f>
        <v>2.6388888888888888</v>
      </c>
      <c r="D3" s="454">
        <f>(108*5)/180</f>
        <v>3</v>
      </c>
      <c r="E3" s="454">
        <f>(96*5)/180</f>
        <v>2.6666666666666665</v>
      </c>
      <c r="F3" s="454">
        <f t="shared" ref="F3:J3" si="0">(108*5)/180</f>
        <v>3</v>
      </c>
      <c r="G3" s="454">
        <f t="shared" si="0"/>
        <v>3</v>
      </c>
      <c r="H3" s="454">
        <f t="shared" si="0"/>
        <v>3</v>
      </c>
      <c r="I3" s="454">
        <f t="shared" si="0"/>
        <v>3</v>
      </c>
      <c r="J3" s="454">
        <f t="shared" si="0"/>
        <v>3</v>
      </c>
    </row>
    <row r="4" spans="1:10" ht="12.75" customHeight="1" x14ac:dyDescent="0.2"/>
    <row r="5" spans="1:10" ht="12.75" customHeight="1" x14ac:dyDescent="0.2"/>
    <row r="6" spans="1:10" ht="12.75" customHeight="1" x14ac:dyDescent="0.2"/>
    <row r="7" spans="1:10" ht="12.75" customHeight="1" x14ac:dyDescent="0.2"/>
    <row r="8" spans="1:10" ht="12.75" customHeight="1" x14ac:dyDescent="0.2"/>
    <row r="9" spans="1:10" ht="12.75" customHeight="1" x14ac:dyDescent="0.2"/>
    <row r="10" spans="1:10" ht="12.75" customHeight="1" x14ac:dyDescent="0.2"/>
    <row r="11" spans="1:10" ht="12.75" customHeight="1" x14ac:dyDescent="0.2"/>
    <row r="12" spans="1:10" ht="12.75" customHeight="1" x14ac:dyDescent="0.2"/>
    <row r="13" spans="1:10" ht="12.75" customHeight="1" x14ac:dyDescent="0.2"/>
    <row r="14" spans="1:10" ht="12.75" customHeight="1" x14ac:dyDescent="0.2"/>
    <row r="15" spans="1:10" ht="12.75" customHeight="1" x14ac:dyDescent="0.2"/>
    <row r="16" spans="1:10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45339b-ced9-4d0d-8f64-77573914d53b" xsi:nil="true"/>
    <lcf76f155ced4ddcb4097134ff3c332f xmlns="43a3ca16-9c26-4813-b83f-4aec9927b43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282E1EDBE9234EA9E6D38F720E265F" ma:contentTypeVersion="15" ma:contentTypeDescription="Crear nuevo documento." ma:contentTypeScope="" ma:versionID="b31c7aa9eaf043a08b87120b3c4916e3">
  <xsd:schema xmlns:xsd="http://www.w3.org/2001/XMLSchema" xmlns:xs="http://www.w3.org/2001/XMLSchema" xmlns:p="http://schemas.microsoft.com/office/2006/metadata/properties" xmlns:ns2="cb45339b-ced9-4d0d-8f64-77573914d53b" xmlns:ns3="43a3ca16-9c26-4813-b83f-4aec9927b43f" targetNamespace="http://schemas.microsoft.com/office/2006/metadata/properties" ma:root="true" ma:fieldsID="3533d065b04d75c457075bc55f1f5315" ns2:_="" ns3:_="">
    <xsd:import namespace="cb45339b-ced9-4d0d-8f64-77573914d53b"/>
    <xsd:import namespace="43a3ca16-9c26-4813-b83f-4aec9927b4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45339b-ced9-4d0d-8f64-77573914d5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f40a149-578b-41a1-8845-c88bc1831770}" ma:internalName="TaxCatchAll" ma:showField="CatchAllData" ma:web="cb45339b-ced9-4d0d-8f64-77573914d5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3ca16-9c26-4813-b83f-4aec9927b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74B754-F544-4DC0-A0A5-68D53FD680E0}">
  <ds:schemaRefs>
    <ds:schemaRef ds:uri="http://schemas.microsoft.com/office/2006/metadata/properties"/>
    <ds:schemaRef ds:uri="http://schemas.microsoft.com/office/infopath/2007/PartnerControls"/>
    <ds:schemaRef ds:uri="cb45339b-ced9-4d0d-8f64-77573914d53b"/>
    <ds:schemaRef ds:uri="43a3ca16-9c26-4813-b83f-4aec9927b43f"/>
  </ds:schemaRefs>
</ds:datastoreItem>
</file>

<file path=customXml/itemProps2.xml><?xml version="1.0" encoding="utf-8"?>
<ds:datastoreItem xmlns:ds="http://schemas.openxmlformats.org/officeDocument/2006/customXml" ds:itemID="{0C194C55-9E41-43DC-9B2F-151B6058B5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746F06-24D6-4B76-A517-894B2905D0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45339b-ced9-4d0d-8f64-77573914d53b"/>
    <ds:schemaRef ds:uri="43a3ca16-9c26-4813-b83f-4aec9927b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Costos Operativos</vt:lpstr>
      <vt:lpstr>Costos Indirectos</vt:lpstr>
      <vt:lpstr>Costos Admtivo-Ventas</vt:lpstr>
      <vt:lpstr>Inversión</vt:lpstr>
      <vt:lpstr>Capital de Trabajo</vt:lpstr>
      <vt:lpstr>Flujo de Caja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Cuartas D.</cp:lastModifiedBy>
  <dcterms:modified xsi:type="dcterms:W3CDTF">2024-07-03T19:23:19Z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0x01010049282E1EDBE9234EA9E6D38F720E265F</vt:lpwstr>
  </property>
</Properties>
</file>