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kessler/Documents/GitHub/publication_procedures/product_yields/_data/"/>
    </mc:Choice>
  </mc:AlternateContent>
  <xr:revisionPtr revIDLastSave="0" documentId="13_ncr:1_{31F896B0-AC35-AF4F-937B-DB51E6950E3C}" xr6:coauthVersionLast="47" xr6:coauthVersionMax="47" xr10:uidLastSave="{00000000-0000-0000-0000-000000000000}"/>
  <bookViews>
    <workbookView xWindow="0" yWindow="500" windowWidth="34400" windowHeight="28300" activeTab="1" xr2:uid="{00000000-000D-0000-FFFF-FFFF00000000}"/>
  </bookViews>
  <sheets>
    <sheet name="Master" sheetId="1" state="hidden" r:id="rId1"/>
    <sheet name="Fluidized Bed" sheetId="3" r:id="rId2"/>
    <sheet name="Tubular Reactor" sheetId="2" r:id="rId3"/>
    <sheet name="Batch Reactor" sheetId="4" r:id="rId4"/>
    <sheet name="Sheet1" sheetId="5" state="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4" l="1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26" i="4"/>
  <c r="F4" i="3"/>
  <c r="X36" i="3"/>
  <c r="T25" i="3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6" i="4"/>
  <c r="U56" i="2"/>
  <c r="U57" i="2"/>
  <c r="U58" i="2"/>
  <c r="U55" i="2"/>
  <c r="G56" i="2"/>
  <c r="F55" i="3"/>
  <c r="F53" i="3"/>
  <c r="F54" i="3"/>
  <c r="F56" i="3"/>
  <c r="F57" i="3"/>
  <c r="F52" i="3"/>
  <c r="AD22" i="4"/>
  <c r="G23" i="4"/>
  <c r="G4" i="4"/>
  <c r="G27" i="2"/>
  <c r="G57" i="2"/>
  <c r="G58" i="2"/>
  <c r="G55" i="2"/>
  <c r="F32" i="3" l="1"/>
  <c r="F33" i="3"/>
  <c r="F34" i="3"/>
  <c r="F35" i="3"/>
  <c r="F31" i="3"/>
  <c r="E33" i="3"/>
  <c r="E32" i="3"/>
  <c r="E30" i="3"/>
  <c r="E28" i="3"/>
  <c r="G35" i="4"/>
  <c r="G40" i="4"/>
  <c r="G54" i="2"/>
  <c r="G51" i="2"/>
  <c r="G52" i="2"/>
  <c r="G53" i="2"/>
  <c r="G34" i="2"/>
  <c r="G59" i="2"/>
  <c r="G42" i="2"/>
  <c r="G43" i="2"/>
  <c r="G44" i="2"/>
  <c r="G41" i="2"/>
  <c r="G35" i="2"/>
  <c r="G36" i="2"/>
  <c r="G60" i="2"/>
  <c r="F59" i="3"/>
  <c r="F60" i="3"/>
  <c r="F61" i="3"/>
  <c r="F62" i="3"/>
  <c r="F63" i="3"/>
  <c r="F64" i="3"/>
  <c r="F58" i="3"/>
  <c r="F28" i="3"/>
  <c r="F30" i="3"/>
  <c r="E29" i="3"/>
  <c r="F29" i="3" s="1"/>
  <c r="E27" i="3"/>
  <c r="F27" i="3" s="1"/>
  <c r="E48" i="3"/>
  <c r="E49" i="3"/>
  <c r="E50" i="3"/>
  <c r="E51" i="3"/>
  <c r="E47" i="3"/>
  <c r="F37" i="3"/>
  <c r="F38" i="3"/>
  <c r="F39" i="3"/>
  <c r="F40" i="3"/>
  <c r="F41" i="3"/>
  <c r="F42" i="3"/>
  <c r="F36" i="3"/>
  <c r="F25" i="3"/>
  <c r="F24" i="3"/>
  <c r="E31" i="3"/>
  <c r="E34" i="3"/>
  <c r="E35" i="3"/>
  <c r="F22" i="3"/>
  <c r="F23" i="3"/>
  <c r="F15" i="3"/>
  <c r="F16" i="3"/>
  <c r="F17" i="3"/>
  <c r="F18" i="3"/>
  <c r="F19" i="3"/>
  <c r="F20" i="3"/>
  <c r="F21" i="3"/>
  <c r="F10" i="3"/>
  <c r="G79" i="1"/>
  <c r="G64" i="1"/>
  <c r="G62" i="1"/>
  <c r="G63" i="1"/>
  <c r="BA61" i="2"/>
  <c r="AS61" i="2"/>
  <c r="AO61" i="2"/>
  <c r="AL61" i="2"/>
  <c r="AJ61" i="2"/>
  <c r="AH61" i="2"/>
  <c r="AE61" i="2" s="1"/>
  <c r="W61" i="2"/>
  <c r="X61" i="2" s="1"/>
  <c r="AC61" i="2" s="1"/>
  <c r="G61" i="2"/>
  <c r="W60" i="2"/>
  <c r="X60" i="2" s="1"/>
  <c r="AC60" i="2" s="1"/>
  <c r="W59" i="2"/>
  <c r="X59" i="2" s="1"/>
  <c r="AC59" i="2" s="1"/>
  <c r="G9" i="2"/>
  <c r="G5" i="2"/>
  <c r="F7" i="3"/>
  <c r="F5" i="3"/>
  <c r="F44" i="3"/>
  <c r="F45" i="3"/>
  <c r="AM24" i="3"/>
  <c r="AL24" i="3"/>
  <c r="AR61" i="3"/>
  <c r="AR59" i="3"/>
  <c r="AI59" i="3"/>
  <c r="AI43" i="3"/>
  <c r="G82" i="1"/>
  <c r="AF4" i="1"/>
  <c r="BI189" i="1"/>
  <c r="BJ189" i="1"/>
  <c r="BK189" i="1"/>
  <c r="BL189" i="1"/>
  <c r="BK191" i="1"/>
  <c r="BV191" i="1"/>
  <c r="BV189" i="1"/>
  <c r="BT191" i="1"/>
  <c r="BT189" i="1"/>
  <c r="BL191" i="1"/>
  <c r="BN191" i="1"/>
  <c r="BI191" i="1"/>
  <c r="BJ191" i="1"/>
  <c r="BH191" i="1"/>
  <c r="Z64" i="3"/>
  <c r="Y64" i="3"/>
  <c r="X64" i="3" s="1"/>
  <c r="Z63" i="3"/>
  <c r="Y63" i="3"/>
  <c r="X63" i="3" s="1"/>
  <c r="Z62" i="3"/>
  <c r="Y62" i="3"/>
  <c r="X62" i="3"/>
  <c r="Z61" i="3"/>
  <c r="AL61" i="3" s="1"/>
  <c r="Y61" i="3"/>
  <c r="X61" i="3" s="1"/>
  <c r="Z60" i="3"/>
  <c r="Y60" i="3"/>
  <c r="X60" i="3" s="1"/>
  <c r="Z59" i="3"/>
  <c r="AH59" i="3" s="1"/>
  <c r="Y59" i="3"/>
  <c r="X59" i="3" s="1"/>
  <c r="Z58" i="3"/>
  <c r="Y58" i="3"/>
  <c r="X58" i="3" s="1"/>
  <c r="G188" i="1"/>
  <c r="G189" i="1"/>
  <c r="BA194" i="1"/>
  <c r="BA193" i="1"/>
  <c r="BA192" i="1"/>
  <c r="BB194" i="1"/>
  <c r="BB193" i="1"/>
  <c r="BB192" i="1"/>
  <c r="AZ194" i="1"/>
  <c r="BB191" i="1"/>
  <c r="AZ192" i="1"/>
  <c r="AZ193" i="1"/>
  <c r="BA191" i="1"/>
  <c r="BB190" i="1"/>
  <c r="BA190" i="1"/>
  <c r="BB189" i="1"/>
  <c r="BA189" i="1"/>
  <c r="BA188" i="1"/>
  <c r="AZ189" i="1"/>
  <c r="AZ190" i="1"/>
  <c r="AZ191" i="1"/>
  <c r="BB188" i="1"/>
  <c r="AZ188" i="1"/>
  <c r="AZ10" i="1"/>
  <c r="BA10" i="1" s="1"/>
  <c r="AX4" i="1"/>
  <c r="AW4" i="1"/>
  <c r="AY4" i="1" s="1"/>
  <c r="AR4" i="1"/>
  <c r="AT4" i="1"/>
  <c r="AN4" i="1"/>
  <c r="AP4" i="1"/>
  <c r="AJ4" i="1"/>
  <c r="AL4" i="1"/>
  <c r="AH4" i="1"/>
  <c r="AB4" i="1"/>
  <c r="AD4" i="1"/>
  <c r="X4" i="1"/>
  <c r="Z4" i="1"/>
  <c r="S4" i="1"/>
  <c r="G190" i="1"/>
  <c r="G191" i="1"/>
  <c r="G192" i="1"/>
  <c r="G193" i="1"/>
  <c r="G194" i="1"/>
  <c r="G5" i="1"/>
  <c r="G116" i="1"/>
  <c r="G133" i="1"/>
  <c r="AL22" i="4"/>
  <c r="AR22" i="4"/>
  <c r="AN22" i="4"/>
  <c r="AH22" i="4"/>
  <c r="AK22" i="4"/>
  <c r="AZ22" i="4"/>
  <c r="BK147" i="1"/>
  <c r="BL147" i="1"/>
  <c r="BO147" i="1"/>
  <c r="N6" i="5"/>
  <c r="Z53" i="2"/>
  <c r="Y53" i="2"/>
  <c r="AM53" i="2" s="1"/>
  <c r="AK53" i="2"/>
  <c r="Y50" i="2"/>
  <c r="BA47" i="2"/>
  <c r="AS47" i="2"/>
  <c r="AO47" i="2"/>
  <c r="AM47" i="2"/>
  <c r="AK47" i="2"/>
  <c r="AJ47" i="2"/>
  <c r="AH47" i="2"/>
  <c r="AE47" i="2" s="1"/>
  <c r="AL44" i="2"/>
  <c r="AL43" i="2"/>
  <c r="AL42" i="2"/>
  <c r="AL41" i="2"/>
  <c r="AK42" i="2"/>
  <c r="AH44" i="2"/>
  <c r="AH41" i="2"/>
  <c r="AE41" i="2" s="1"/>
  <c r="AH43" i="2"/>
  <c r="AH42" i="2"/>
  <c r="AI44" i="2"/>
  <c r="AI43" i="2"/>
  <c r="AI42" i="2"/>
  <c r="AI41" i="2"/>
  <c r="AJ44" i="2"/>
  <c r="AJ43" i="2"/>
  <c r="AJ42" i="2"/>
  <c r="AJ41" i="2"/>
  <c r="AK41" i="2"/>
  <c r="AK44" i="2"/>
  <c r="AK43" i="2"/>
  <c r="AM44" i="2"/>
  <c r="AM43" i="2"/>
  <c r="AM42" i="2"/>
  <c r="AM41" i="2"/>
  <c r="AN44" i="2"/>
  <c r="AN43" i="2"/>
  <c r="AN42" i="2"/>
  <c r="AN41" i="2"/>
  <c r="AO44" i="2"/>
  <c r="AO43" i="2"/>
  <c r="AO42" i="2"/>
  <c r="AO41" i="2"/>
  <c r="AS43" i="2"/>
  <c r="AS44" i="2"/>
  <c r="AS42" i="2"/>
  <c r="AS41" i="2"/>
  <c r="AU41" i="2"/>
  <c r="AX41" i="2"/>
  <c r="BA41" i="2"/>
  <c r="AH38" i="2"/>
  <c r="AE38" i="2" s="1"/>
  <c r="AO34" i="2"/>
  <c r="AJ34" i="2"/>
  <c r="AD29" i="2"/>
  <c r="AD27" i="2"/>
  <c r="AE27" i="2"/>
  <c r="K3" i="5"/>
  <c r="J3" i="5"/>
  <c r="I3" i="5"/>
  <c r="H3" i="5"/>
  <c r="L3" i="5"/>
  <c r="Y36" i="3"/>
  <c r="AD36" i="3" s="1"/>
  <c r="AF36" i="3"/>
  <c r="AE36" i="3" s="1"/>
  <c r="W58" i="2"/>
  <c r="X58" i="2" s="1"/>
  <c r="AC58" i="2" s="1"/>
  <c r="W57" i="2"/>
  <c r="X57" i="2" s="1"/>
  <c r="AC57" i="2" s="1"/>
  <c r="W56" i="2"/>
  <c r="X56" i="2" s="1"/>
  <c r="AC56" i="2" s="1"/>
  <c r="W55" i="2"/>
  <c r="X55" i="2" s="1"/>
  <c r="AC55" i="2" s="1"/>
  <c r="Z54" i="2"/>
  <c r="Y54" i="2"/>
  <c r="W54" i="2" s="1"/>
  <c r="X54" i="2" s="1"/>
  <c r="Z52" i="2"/>
  <c r="Y52" i="2"/>
  <c r="W52" i="2"/>
  <c r="X52" i="2" s="1"/>
  <c r="Z51" i="2"/>
  <c r="Y51" i="2"/>
  <c r="W51" i="2" s="1"/>
  <c r="X51" i="2" s="1"/>
  <c r="AA50" i="2"/>
  <c r="W50" i="2" s="1"/>
  <c r="X50" i="2" s="1"/>
  <c r="Y49" i="2"/>
  <c r="W49" i="2"/>
  <c r="X49" i="2" s="1"/>
  <c r="AO48" i="2"/>
  <c r="AN48" i="2"/>
  <c r="AM48" i="2"/>
  <c r="AL48" i="2"/>
  <c r="AK48" i="2"/>
  <c r="AI48" i="2"/>
  <c r="AH48" i="2"/>
  <c r="AE48" i="2"/>
  <c r="W48" i="2"/>
  <c r="X48" i="2" s="1"/>
  <c r="AC48" i="2" s="1"/>
  <c r="W47" i="2"/>
  <c r="X47" i="2" s="1"/>
  <c r="AC47" i="2" s="1"/>
  <c r="W46" i="2"/>
  <c r="X46" i="2" s="1"/>
  <c r="AC46" i="2" s="1"/>
  <c r="Y45" i="2"/>
  <c r="W45" i="2"/>
  <c r="X45" i="2" s="1"/>
  <c r="BA44" i="2"/>
  <c r="AX44" i="2"/>
  <c r="AU44" i="2"/>
  <c r="AE44" i="2"/>
  <c r="W44" i="2"/>
  <c r="X44" i="2" s="1"/>
  <c r="AC44" i="2" s="1"/>
  <c r="BA43" i="2"/>
  <c r="AX43" i="2"/>
  <c r="AU43" i="2"/>
  <c r="AE43" i="2"/>
  <c r="W43" i="2"/>
  <c r="X43" i="2" s="1"/>
  <c r="AC43" i="2" s="1"/>
  <c r="BA42" i="2"/>
  <c r="AX42" i="2"/>
  <c r="AU42" i="2"/>
  <c r="AE42" i="2"/>
  <c r="W42" i="2"/>
  <c r="X42" i="2" s="1"/>
  <c r="AC42" i="2" s="1"/>
  <c r="W41" i="2"/>
  <c r="X41" i="2" s="1"/>
  <c r="AC41" i="2" s="1"/>
  <c r="BA40" i="2"/>
  <c r="AQ40" i="2"/>
  <c r="AO40" i="2"/>
  <c r="AL40" i="2"/>
  <c r="AK40" i="2"/>
  <c r="AJ40" i="2"/>
  <c r="AI40" i="2"/>
  <c r="AH40" i="2"/>
  <c r="AE40" i="2" s="1"/>
  <c r="BA39" i="2"/>
  <c r="AS39" i="2"/>
  <c r="AQ39" i="2"/>
  <c r="AO39" i="2"/>
  <c r="AL39" i="2"/>
  <c r="AK39" i="2"/>
  <c r="AJ39" i="2"/>
  <c r="AI39" i="2"/>
  <c r="AH39" i="2"/>
  <c r="AE39" i="2" s="1"/>
  <c r="BA38" i="2"/>
  <c r="AS38" i="2"/>
  <c r="AQ38" i="2"/>
  <c r="AO38" i="2"/>
  <c r="AL38" i="2"/>
  <c r="AK38" i="2"/>
  <c r="AJ38" i="2"/>
  <c r="AI38" i="2"/>
  <c r="BA37" i="2"/>
  <c r="AS37" i="2"/>
  <c r="AQ37" i="2"/>
  <c r="AO37" i="2"/>
  <c r="AL37" i="2"/>
  <c r="AK37" i="2"/>
  <c r="AJ37" i="2"/>
  <c r="AI37" i="2"/>
  <c r="AH37" i="2"/>
  <c r="AE37" i="2"/>
  <c r="W40" i="2"/>
  <c r="X40" i="2" s="1"/>
  <c r="AC40" i="2" s="1"/>
  <c r="W39" i="2"/>
  <c r="X39" i="2" s="1"/>
  <c r="AC39" i="2" s="1"/>
  <c r="W38" i="2"/>
  <c r="X38" i="2" s="1"/>
  <c r="AC38" i="2" s="1"/>
  <c r="W37" i="2"/>
  <c r="X37" i="2" s="1"/>
  <c r="AC37" i="2" s="1"/>
  <c r="BA36" i="2"/>
  <c r="AU36" i="2"/>
  <c r="AS36" i="2"/>
  <c r="AQ36" i="2"/>
  <c r="AO36" i="2"/>
  <c r="AM36" i="2"/>
  <c r="AL36" i="2"/>
  <c r="AK36" i="2"/>
  <c r="AJ36" i="2"/>
  <c r="AH36" i="2"/>
  <c r="AF36" i="2"/>
  <c r="AE36" i="2"/>
  <c r="BA35" i="2"/>
  <c r="AU35" i="2"/>
  <c r="AS35" i="2"/>
  <c r="AQ35" i="2"/>
  <c r="AO35" i="2"/>
  <c r="AM35" i="2"/>
  <c r="AL35" i="2"/>
  <c r="AK35" i="2"/>
  <c r="AJ35" i="2"/>
  <c r="AH35" i="2"/>
  <c r="AF35" i="2"/>
  <c r="BA34" i="2"/>
  <c r="AU34" i="2"/>
  <c r="AS34" i="2"/>
  <c r="AQ34" i="2"/>
  <c r="AM34" i="2"/>
  <c r="AL34" i="2"/>
  <c r="AK34" i="2"/>
  <c r="AH34" i="2"/>
  <c r="AF34" i="2"/>
  <c r="W36" i="2"/>
  <c r="X36" i="2" s="1"/>
  <c r="AC36" i="2" s="1"/>
  <c r="W35" i="2"/>
  <c r="X35" i="2" s="1"/>
  <c r="AC35" i="2" s="1"/>
  <c r="W34" i="2"/>
  <c r="X34" i="2" s="1"/>
  <c r="AC34" i="2" s="1"/>
  <c r="AL27" i="3"/>
  <c r="BP62" i="1"/>
  <c r="BP56" i="1"/>
  <c r="BP55" i="1"/>
  <c r="BP10" i="1"/>
  <c r="AN44" i="3"/>
  <c r="AN43" i="3"/>
  <c r="K34" i="3"/>
  <c r="AC4" i="1"/>
  <c r="Y4" i="1"/>
  <c r="K44" i="3"/>
  <c r="L119" i="1"/>
  <c r="K31" i="3"/>
  <c r="L96" i="1"/>
  <c r="L36" i="1"/>
  <c r="L37" i="1"/>
  <c r="L38" i="1"/>
  <c r="L39" i="1"/>
  <c r="L35" i="1"/>
  <c r="K14" i="3"/>
  <c r="K13" i="3"/>
  <c r="K12" i="3"/>
  <c r="K11" i="3"/>
  <c r="K10" i="3"/>
  <c r="G35" i="1"/>
  <c r="AZ35" i="1"/>
  <c r="BA35" i="1"/>
  <c r="BF35" i="1"/>
  <c r="BH35" i="1"/>
  <c r="K9" i="3"/>
  <c r="K8" i="3"/>
  <c r="K7" i="3"/>
  <c r="K6" i="3"/>
  <c r="K5" i="3"/>
  <c r="K4" i="3"/>
  <c r="L4" i="1"/>
  <c r="L6" i="1"/>
  <c r="L7" i="1"/>
  <c r="L8" i="1"/>
  <c r="L9" i="1"/>
  <c r="L5" i="1"/>
  <c r="T4" i="1"/>
  <c r="V4" i="1"/>
  <c r="G6" i="2"/>
  <c r="G7" i="2"/>
  <c r="G8" i="2"/>
  <c r="G10" i="2"/>
  <c r="G11" i="2"/>
  <c r="G12" i="2"/>
  <c r="G13" i="2"/>
  <c r="G4" i="2"/>
  <c r="G41" i="4"/>
  <c r="G33" i="4"/>
  <c r="G34" i="4"/>
  <c r="G36" i="4"/>
  <c r="G37" i="4"/>
  <c r="G38" i="4"/>
  <c r="G39" i="4"/>
  <c r="G30" i="4"/>
  <c r="G31" i="4"/>
  <c r="G32" i="4"/>
  <c r="G29" i="4"/>
  <c r="G28" i="4"/>
  <c r="G27" i="4"/>
  <c r="G26" i="4"/>
  <c r="G24" i="4"/>
  <c r="G25" i="4"/>
  <c r="G22" i="4"/>
  <c r="G10" i="4"/>
  <c r="G11" i="4"/>
  <c r="G12" i="4"/>
  <c r="G13" i="4"/>
  <c r="G14" i="4"/>
  <c r="G15" i="4"/>
  <c r="G16" i="4"/>
  <c r="G17" i="4"/>
  <c r="G18" i="4"/>
  <c r="G19" i="4"/>
  <c r="G20" i="4"/>
  <c r="G21" i="4"/>
  <c r="G9" i="4"/>
  <c r="G6" i="4"/>
  <c r="G7" i="4"/>
  <c r="G8" i="4"/>
  <c r="G5" i="4"/>
  <c r="AS4" i="2"/>
  <c r="AS5" i="2"/>
  <c r="AF51" i="3"/>
  <c r="AF52" i="3"/>
  <c r="AF53" i="3"/>
  <c r="AF54" i="3"/>
  <c r="AF55" i="3"/>
  <c r="AF56" i="3"/>
  <c r="AF57" i="3"/>
  <c r="AF50" i="3"/>
  <c r="AT43" i="3"/>
  <c r="W33" i="2"/>
  <c r="X33" i="2" s="1"/>
  <c r="AC33" i="2" s="1"/>
  <c r="W32" i="2"/>
  <c r="X32" i="2" s="1"/>
  <c r="AC32" i="2" s="1"/>
  <c r="W31" i="2"/>
  <c r="X31" i="2" s="1"/>
  <c r="AC31" i="2" s="1"/>
  <c r="AA30" i="2"/>
  <c r="Z30" i="2"/>
  <c r="W30" i="2"/>
  <c r="X30" i="2" s="1"/>
  <c r="AC30" i="2" s="1"/>
  <c r="W29" i="2"/>
  <c r="X29" i="2" s="1"/>
  <c r="AC29" i="2" s="1"/>
  <c r="AE28" i="2"/>
  <c r="W28" i="2"/>
  <c r="X28" i="2" s="1"/>
  <c r="AC28" i="2" s="1"/>
  <c r="Y27" i="2"/>
  <c r="W27" i="2" s="1"/>
  <c r="X27" i="2" s="1"/>
  <c r="AE26" i="2"/>
  <c r="W26" i="2"/>
  <c r="X26" i="2" s="1"/>
  <c r="AC26" i="2" s="1"/>
  <c r="I26" i="2"/>
  <c r="AE25" i="2"/>
  <c r="W25" i="2"/>
  <c r="X25" i="2" s="1"/>
  <c r="AC25" i="2" s="1"/>
  <c r="I25" i="2"/>
  <c r="AE24" i="2"/>
  <c r="W24" i="2"/>
  <c r="X24" i="2" s="1"/>
  <c r="AC24" i="2" s="1"/>
  <c r="I24" i="2"/>
  <c r="AA23" i="2"/>
  <c r="Y23" i="2"/>
  <c r="W23" i="2"/>
  <c r="X23" i="2" s="1"/>
  <c r="AA22" i="2"/>
  <c r="Y22" i="2"/>
  <c r="W22" i="2" s="1"/>
  <c r="X22" i="2" s="1"/>
  <c r="AA21" i="2"/>
  <c r="Y21" i="2"/>
  <c r="W21" i="2" s="1"/>
  <c r="X21" i="2" s="1"/>
  <c r="AA20" i="2"/>
  <c r="Y20" i="2"/>
  <c r="AA19" i="2"/>
  <c r="Y19" i="2"/>
  <c r="Y18" i="2"/>
  <c r="W18" i="2" s="1"/>
  <c r="X18" i="2" s="1"/>
  <c r="Y17" i="2"/>
  <c r="W17" i="2"/>
  <c r="X17" i="2" s="1"/>
  <c r="Y16" i="2"/>
  <c r="W16" i="2" s="1"/>
  <c r="X16" i="2" s="1"/>
  <c r="Y15" i="2"/>
  <c r="W15" i="2" s="1"/>
  <c r="X15" i="2" s="1"/>
  <c r="Y14" i="2"/>
  <c r="W14" i="2" s="1"/>
  <c r="X14" i="2" s="1"/>
  <c r="Y13" i="2"/>
  <c r="W13" i="2" s="1"/>
  <c r="X13" i="2" s="1"/>
  <c r="Y12" i="2"/>
  <c r="W12" i="2" s="1"/>
  <c r="X12" i="2" s="1"/>
  <c r="Y11" i="2"/>
  <c r="W11" i="2" s="1"/>
  <c r="X11" i="2" s="1"/>
  <c r="Y10" i="2"/>
  <c r="W10" i="2" s="1"/>
  <c r="X10" i="2" s="1"/>
  <c r="Y9" i="2"/>
  <c r="W9" i="2" s="1"/>
  <c r="X9" i="2" s="1"/>
  <c r="Y8" i="2"/>
  <c r="W8" i="2" s="1"/>
  <c r="X8" i="2" s="1"/>
  <c r="Y7" i="2"/>
  <c r="AS7" i="2" s="1"/>
  <c r="AH6" i="2"/>
  <c r="AE6" i="2" s="1"/>
  <c r="Y6" i="2"/>
  <c r="W6" i="2" s="1"/>
  <c r="X6" i="2" s="1"/>
  <c r="AO5" i="2"/>
  <c r="AL5" i="2"/>
  <c r="AK5" i="2"/>
  <c r="W5" i="2"/>
  <c r="X5" i="2" s="1"/>
  <c r="AC5" i="2" s="1"/>
  <c r="AM4" i="2"/>
  <c r="AL4" i="2"/>
  <c r="AK4" i="2"/>
  <c r="AI4" i="2"/>
  <c r="AH4" i="2"/>
  <c r="AE4" i="2" s="1"/>
  <c r="W4" i="2"/>
  <c r="X4" i="2" s="1"/>
  <c r="AC4" i="2" s="1"/>
  <c r="V41" i="4"/>
  <c r="W41" i="4" s="1"/>
  <c r="AB41" i="4" s="1"/>
  <c r="V40" i="4"/>
  <c r="W40" i="4" s="1"/>
  <c r="AB40" i="4" s="1"/>
  <c r="V39" i="4"/>
  <c r="W39" i="4" s="1"/>
  <c r="AB39" i="4" s="1"/>
  <c r="V38" i="4"/>
  <c r="W38" i="4" s="1"/>
  <c r="AB38" i="4" s="1"/>
  <c r="V37" i="4"/>
  <c r="W37" i="4" s="1"/>
  <c r="AB37" i="4" s="1"/>
  <c r="V36" i="4"/>
  <c r="W36" i="4" s="1"/>
  <c r="AB36" i="4" s="1"/>
  <c r="V35" i="4"/>
  <c r="W35" i="4" s="1"/>
  <c r="AB35" i="4" s="1"/>
  <c r="V34" i="4"/>
  <c r="W34" i="4" s="1"/>
  <c r="AB34" i="4" s="1"/>
  <c r="V33" i="4"/>
  <c r="W33" i="4" s="1"/>
  <c r="AB33" i="4" s="1"/>
  <c r="V32" i="4"/>
  <c r="W32" i="4" s="1"/>
  <c r="AB32" i="4" s="1"/>
  <c r="V31" i="4"/>
  <c r="W31" i="4" s="1"/>
  <c r="AB31" i="4" s="1"/>
  <c r="V30" i="4"/>
  <c r="W30" i="4" s="1"/>
  <c r="AB30" i="4" s="1"/>
  <c r="V29" i="4"/>
  <c r="W29" i="4" s="1"/>
  <c r="AB29" i="4" s="1"/>
  <c r="V28" i="4"/>
  <c r="W28" i="4" s="1"/>
  <c r="AB28" i="4" s="1"/>
  <c r="V27" i="4"/>
  <c r="W27" i="4" s="1"/>
  <c r="AB27" i="4" s="1"/>
  <c r="V26" i="4"/>
  <c r="W26" i="4" s="1"/>
  <c r="AB26" i="4" s="1"/>
  <c r="AD25" i="4"/>
  <c r="X25" i="4"/>
  <c r="V25" i="4" s="1"/>
  <c r="W25" i="4" s="1"/>
  <c r="AD24" i="4"/>
  <c r="X24" i="4"/>
  <c r="V24" i="4" s="1"/>
  <c r="W24" i="4" s="1"/>
  <c r="AD23" i="4"/>
  <c r="X23" i="4"/>
  <c r="V23" i="4" s="1"/>
  <c r="W23" i="4" s="1"/>
  <c r="V22" i="4"/>
  <c r="W22" i="4" s="1"/>
  <c r="AB22" i="4" s="1"/>
  <c r="V21" i="4"/>
  <c r="W21" i="4" s="1"/>
  <c r="AB21" i="4" s="1"/>
  <c r="V20" i="4"/>
  <c r="W20" i="4" s="1"/>
  <c r="AB20" i="4" s="1"/>
  <c r="V19" i="4"/>
  <c r="W19" i="4" s="1"/>
  <c r="AB19" i="4" s="1"/>
  <c r="X18" i="4"/>
  <c r="V18" i="4"/>
  <c r="W18" i="4" s="1"/>
  <c r="X17" i="4"/>
  <c r="V17" i="4" s="1"/>
  <c r="W17" i="4" s="1"/>
  <c r="X16" i="4"/>
  <c r="V16" i="4" s="1"/>
  <c r="W16" i="4" s="1"/>
  <c r="X15" i="4"/>
  <c r="V15" i="4" s="1"/>
  <c r="W15" i="4" s="1"/>
  <c r="X14" i="4"/>
  <c r="V14" i="4" s="1"/>
  <c r="W14" i="4" s="1"/>
  <c r="X13" i="4"/>
  <c r="V13" i="4" s="1"/>
  <c r="W13" i="4" s="1"/>
  <c r="X12" i="4"/>
  <c r="V12" i="4" s="1"/>
  <c r="W12" i="4" s="1"/>
  <c r="X11" i="4"/>
  <c r="V11" i="4" s="1"/>
  <c r="W11" i="4" s="1"/>
  <c r="X10" i="4"/>
  <c r="V10" i="4" s="1"/>
  <c r="W10" i="4" s="1"/>
  <c r="X9" i="4"/>
  <c r="V9" i="4" s="1"/>
  <c r="W9" i="4" s="1"/>
  <c r="V8" i="4"/>
  <c r="W8" i="4" s="1"/>
  <c r="AB8" i="4" s="1"/>
  <c r="AG8" i="4" s="1"/>
  <c r="V7" i="4"/>
  <c r="W7" i="4" s="1"/>
  <c r="AB7" i="4" s="1"/>
  <c r="V6" i="4"/>
  <c r="W6" i="4" s="1"/>
  <c r="AB6" i="4" s="1"/>
  <c r="V5" i="4"/>
  <c r="W5" i="4" s="1"/>
  <c r="AB5" i="4" s="1"/>
  <c r="V4" i="4"/>
  <c r="W4" i="4" s="1"/>
  <c r="AB4" i="4" s="1"/>
  <c r="AD57" i="3"/>
  <c r="X57" i="3"/>
  <c r="AD56" i="3"/>
  <c r="X56" i="3"/>
  <c r="AD55" i="3"/>
  <c r="X55" i="3"/>
  <c r="AD54" i="3"/>
  <c r="X54" i="3"/>
  <c r="AD53" i="3"/>
  <c r="X53" i="3"/>
  <c r="AD52" i="3"/>
  <c r="X52" i="3"/>
  <c r="X51" i="3"/>
  <c r="Y51" i="3" s="1"/>
  <c r="AD51" i="3" s="1"/>
  <c r="X50" i="3"/>
  <c r="Y50" i="3" s="1"/>
  <c r="AD50" i="3" s="1"/>
  <c r="AF49" i="3"/>
  <c r="X49" i="3"/>
  <c r="Y49" i="3" s="1"/>
  <c r="AD49" i="3" s="1"/>
  <c r="AF48" i="3"/>
  <c r="X48" i="3"/>
  <c r="Y48" i="3" s="1"/>
  <c r="AD48" i="3" s="1"/>
  <c r="AF47" i="3"/>
  <c r="X47" i="3"/>
  <c r="Y47" i="3" s="1"/>
  <c r="AD47" i="3" s="1"/>
  <c r="AF46" i="3"/>
  <c r="X46" i="3"/>
  <c r="Y46" i="3" s="1"/>
  <c r="AD46" i="3" s="1"/>
  <c r="F46" i="3"/>
  <c r="X45" i="3"/>
  <c r="Y45" i="3" s="1"/>
  <c r="AD45" i="3" s="1"/>
  <c r="AV44" i="3"/>
  <c r="AT44" i="3"/>
  <c r="AP44" i="3"/>
  <c r="AO44" i="3"/>
  <c r="AM44" i="3"/>
  <c r="AL44" i="3"/>
  <c r="AK44" i="3"/>
  <c r="AJ44" i="3"/>
  <c r="AI44" i="3"/>
  <c r="AF44" i="3"/>
  <c r="X44" i="3"/>
  <c r="Y44" i="3" s="1"/>
  <c r="AD44" i="3" s="1"/>
  <c r="I44" i="3"/>
  <c r="BB43" i="3"/>
  <c r="AR43" i="3"/>
  <c r="AM43" i="3"/>
  <c r="AL43" i="3"/>
  <c r="AK43" i="3"/>
  <c r="AJ43" i="3"/>
  <c r="AG43" i="3"/>
  <c r="AF43" i="3" s="1"/>
  <c r="X43" i="3"/>
  <c r="Y43" i="3" s="1"/>
  <c r="AD43" i="3" s="1"/>
  <c r="X42" i="3"/>
  <c r="Y42" i="3" s="1"/>
  <c r="AD42" i="3" s="1"/>
  <c r="AT41" i="3"/>
  <c r="AL41" i="3"/>
  <c r="AJ41" i="3"/>
  <c r="AI41" i="3"/>
  <c r="AF41" i="3"/>
  <c r="X41" i="3"/>
  <c r="Y41" i="3" s="1"/>
  <c r="AD41" i="3" s="1"/>
  <c r="X40" i="3"/>
  <c r="Y40" i="3" s="1"/>
  <c r="AD40" i="3" s="1"/>
  <c r="X39" i="3"/>
  <c r="Y39" i="3" s="1"/>
  <c r="AD39" i="3" s="1"/>
  <c r="X38" i="3"/>
  <c r="Y38" i="3" s="1"/>
  <c r="AD38" i="3" s="1"/>
  <c r="X37" i="3"/>
  <c r="Y37" i="3" s="1"/>
  <c r="AD37" i="3" s="1"/>
  <c r="BB35" i="3"/>
  <c r="AI35" i="3"/>
  <c r="AF35" i="3" s="1"/>
  <c r="Z35" i="3"/>
  <c r="BB34" i="3"/>
  <c r="AK34" i="3"/>
  <c r="AI34" i="3"/>
  <c r="AF34" i="3"/>
  <c r="Z34" i="3"/>
  <c r="BB33" i="3"/>
  <c r="AM33" i="3"/>
  <c r="AK33" i="3"/>
  <c r="AI33" i="3"/>
  <c r="AF33" i="3"/>
  <c r="Z33" i="3"/>
  <c r="BB32" i="3"/>
  <c r="AM32" i="3"/>
  <c r="AK32" i="3"/>
  <c r="AI32" i="3"/>
  <c r="AF32" i="3" s="1"/>
  <c r="Z32" i="3"/>
  <c r="BB31" i="3"/>
  <c r="AK31" i="3"/>
  <c r="AI31" i="3"/>
  <c r="AF31" i="3" s="1"/>
  <c r="Z31" i="3"/>
  <c r="X30" i="3"/>
  <c r="Y30" i="3" s="1"/>
  <c r="AD30" i="3" s="1"/>
  <c r="X29" i="3"/>
  <c r="Y29" i="3" s="1"/>
  <c r="AD29" i="3" s="1"/>
  <c r="X28" i="3"/>
  <c r="Y28" i="3" s="1"/>
  <c r="AD28" i="3" s="1"/>
  <c r="AT27" i="3"/>
  <c r="AR27" i="3"/>
  <c r="AP27" i="3"/>
  <c r="AO27" i="3"/>
  <c r="AK27" i="3"/>
  <c r="AI27" i="3"/>
  <c r="AF27" i="3" s="1"/>
  <c r="X27" i="3"/>
  <c r="Y27" i="3" s="1"/>
  <c r="AD27" i="3" s="1"/>
  <c r="BA26" i="3"/>
  <c r="AZ26" i="3"/>
  <c r="AY26" i="3"/>
  <c r="AX26" i="3"/>
  <c r="AW26" i="3"/>
  <c r="AT26" i="3"/>
  <c r="X26" i="3"/>
  <c r="Y26" i="3" s="1"/>
  <c r="AD26" i="3" s="1"/>
  <c r="BV65" i="1"/>
  <c r="AF6" i="3"/>
  <c r="AF5" i="3"/>
  <c r="AF4" i="3"/>
  <c r="BH7" i="1"/>
  <c r="BH8" i="1"/>
  <c r="BH9" i="1"/>
  <c r="BH30" i="1"/>
  <c r="BH31" i="1"/>
  <c r="BH32" i="1"/>
  <c r="BH33" i="1"/>
  <c r="BH34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9" i="1"/>
  <c r="BH60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5" i="1"/>
  <c r="BH86" i="1"/>
  <c r="BH88" i="1"/>
  <c r="BH89" i="1"/>
  <c r="BH90" i="1"/>
  <c r="BH91" i="1"/>
  <c r="BH101" i="1"/>
  <c r="BH102" i="1"/>
  <c r="BH103" i="1"/>
  <c r="BH104" i="1"/>
  <c r="BH105" i="1"/>
  <c r="BH106" i="1"/>
  <c r="BH108" i="1"/>
  <c r="BH109" i="1"/>
  <c r="BH110" i="1"/>
  <c r="BH112" i="1"/>
  <c r="BH114" i="1"/>
  <c r="BH115" i="1"/>
  <c r="BH116" i="1"/>
  <c r="BH117" i="1"/>
  <c r="BH118" i="1"/>
  <c r="BH120" i="1"/>
  <c r="BH121" i="1"/>
  <c r="BH124" i="1"/>
  <c r="BH125" i="1"/>
  <c r="BH126" i="1"/>
  <c r="BH127" i="1"/>
  <c r="BH128" i="1"/>
  <c r="BH129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8" i="1"/>
  <c r="BH149" i="1"/>
  <c r="BH150" i="1"/>
  <c r="BH151" i="1"/>
  <c r="BR147" i="1"/>
  <c r="BV147" i="1"/>
  <c r="CD147" i="1"/>
  <c r="BK119" i="1"/>
  <c r="BH119" i="1" s="1"/>
  <c r="BL119" i="1"/>
  <c r="BM119" i="1"/>
  <c r="BN119" i="1"/>
  <c r="BO119" i="1"/>
  <c r="BP119" i="1"/>
  <c r="BQ119" i="1"/>
  <c r="BR119" i="1"/>
  <c r="BV119" i="1"/>
  <c r="BX119" i="1"/>
  <c r="BV117" i="1"/>
  <c r="BV116" i="1"/>
  <c r="BV115" i="1"/>
  <c r="BV114" i="1"/>
  <c r="BV113" i="1"/>
  <c r="BX117" i="1"/>
  <c r="BX116" i="1"/>
  <c r="BX115" i="1"/>
  <c r="BX114" i="1"/>
  <c r="CA117" i="1"/>
  <c r="CA116" i="1"/>
  <c r="CA115" i="1"/>
  <c r="CA114" i="1"/>
  <c r="CD117" i="1"/>
  <c r="CD116" i="1"/>
  <c r="CD115" i="1"/>
  <c r="CD114" i="1"/>
  <c r="CD113" i="1"/>
  <c r="BT113" i="1"/>
  <c r="BP113" i="1"/>
  <c r="BO113" i="1"/>
  <c r="BN113" i="1"/>
  <c r="BM113" i="1"/>
  <c r="BL113" i="1"/>
  <c r="BI113" i="1"/>
  <c r="BK113" i="1"/>
  <c r="BV94" i="1"/>
  <c r="BT94" i="1"/>
  <c r="BR94" i="1"/>
  <c r="BO94" i="1"/>
  <c r="BN94" i="1"/>
  <c r="BM94" i="1"/>
  <c r="BL94" i="1"/>
  <c r="BK94" i="1"/>
  <c r="BH94" i="1" s="1"/>
  <c r="BM93" i="1"/>
  <c r="BN95" i="1"/>
  <c r="BM95" i="1"/>
  <c r="CD94" i="1"/>
  <c r="CD93" i="1"/>
  <c r="BV93" i="1"/>
  <c r="BT93" i="1"/>
  <c r="BR93" i="1"/>
  <c r="BO93" i="1"/>
  <c r="BN93" i="1"/>
  <c r="BL93" i="1"/>
  <c r="BK93" i="1"/>
  <c r="BH93" i="1" s="1"/>
  <c r="CD92" i="1"/>
  <c r="BV92" i="1"/>
  <c r="BT92" i="1"/>
  <c r="BR92" i="1"/>
  <c r="BO92" i="1"/>
  <c r="BN92" i="1"/>
  <c r="BM92" i="1"/>
  <c r="BL92" i="1"/>
  <c r="BK92" i="1"/>
  <c r="BH92" i="1" s="1"/>
  <c r="CD95" i="1"/>
  <c r="BT95" i="1"/>
  <c r="BR95" i="1"/>
  <c r="BO95" i="1"/>
  <c r="BL95" i="1"/>
  <c r="BK95" i="1"/>
  <c r="BH95" i="1" s="1"/>
  <c r="BV87" i="1"/>
  <c r="BT87" i="1"/>
  <c r="BR87" i="1"/>
  <c r="BQ87" i="1"/>
  <c r="BN87" i="1"/>
  <c r="BM87" i="1"/>
  <c r="BK87" i="1"/>
  <c r="BH87" i="1" s="1"/>
  <c r="BX84" i="1"/>
  <c r="BV84" i="1"/>
  <c r="BR84" i="1"/>
  <c r="BQ84" i="1"/>
  <c r="BP84" i="1"/>
  <c r="BM84" i="1"/>
  <c r="BL84" i="1"/>
  <c r="BK84" i="1"/>
  <c r="BH84" i="1" s="1"/>
  <c r="BK62" i="1"/>
  <c r="BH62" i="1" s="1"/>
  <c r="CC65" i="1"/>
  <c r="CB65" i="1"/>
  <c r="CA65" i="1"/>
  <c r="BZ65" i="1"/>
  <c r="BY65" i="1"/>
  <c r="BR62" i="1"/>
  <c r="BQ62" i="1"/>
  <c r="BO62" i="1"/>
  <c r="BN62" i="1"/>
  <c r="BL62" i="1"/>
  <c r="BK61" i="1"/>
  <c r="BH61" i="1" s="1"/>
  <c r="BM61" i="1"/>
  <c r="BO61" i="1"/>
  <c r="BR61" i="1"/>
  <c r="BV61" i="1"/>
  <c r="CD61" i="1"/>
  <c r="BI58" i="1"/>
  <c r="BI57" i="1"/>
  <c r="BI56" i="1"/>
  <c r="BK58" i="1"/>
  <c r="BK57" i="1"/>
  <c r="BM58" i="1"/>
  <c r="BM57" i="1"/>
  <c r="BN57" i="1"/>
  <c r="BO57" i="1"/>
  <c r="BN58" i="1"/>
  <c r="BO58" i="1"/>
  <c r="BP58" i="1"/>
  <c r="BP57" i="1"/>
  <c r="BR57" i="1"/>
  <c r="BK55" i="1"/>
  <c r="BH55" i="1" s="1"/>
  <c r="BK56" i="1"/>
  <c r="BR58" i="1"/>
  <c r="BT58" i="1"/>
  <c r="BT57" i="1"/>
  <c r="BV58" i="1"/>
  <c r="BV57" i="1"/>
  <c r="BX58" i="1"/>
  <c r="BX57" i="1"/>
  <c r="CD58" i="1"/>
  <c r="CD57" i="1"/>
  <c r="CD56" i="1"/>
  <c r="BX56" i="1"/>
  <c r="BV56" i="1"/>
  <c r="BT56" i="1"/>
  <c r="BR56" i="1"/>
  <c r="BO56" i="1"/>
  <c r="BN56" i="1"/>
  <c r="BM56" i="1"/>
  <c r="AZ30" i="1"/>
  <c r="BO11" i="1"/>
  <c r="BK12" i="1"/>
  <c r="BH12" i="1" s="1"/>
  <c r="BV11" i="1"/>
  <c r="BR11" i="1"/>
  <c r="BN11" i="1"/>
  <c r="BK10" i="1"/>
  <c r="BH10" i="1" s="1"/>
  <c r="BV10" i="1"/>
  <c r="BO10" i="1"/>
  <c r="BN10" i="1"/>
  <c r="BL10" i="1"/>
  <c r="AR24" i="3"/>
  <c r="F6" i="3"/>
  <c r="F8" i="3"/>
  <c r="F9" i="3"/>
  <c r="F11" i="3"/>
  <c r="F12" i="3"/>
  <c r="F13" i="3"/>
  <c r="F14" i="3"/>
  <c r="G225" i="1"/>
  <c r="G226" i="1"/>
  <c r="G227" i="1"/>
  <c r="G228" i="1"/>
  <c r="G229" i="1"/>
  <c r="G230" i="1"/>
  <c r="G231" i="1"/>
  <c r="G232" i="1"/>
  <c r="G233" i="1"/>
  <c r="G224" i="1"/>
  <c r="G215" i="1"/>
  <c r="G216" i="1"/>
  <c r="G217" i="1"/>
  <c r="G218" i="1"/>
  <c r="G219" i="1"/>
  <c r="G220" i="1"/>
  <c r="G221" i="1"/>
  <c r="G222" i="1"/>
  <c r="G223" i="1"/>
  <c r="G214" i="1"/>
  <c r="G145" i="1"/>
  <c r="G146" i="1"/>
  <c r="G147" i="1"/>
  <c r="G148" i="1"/>
  <c r="G149" i="1"/>
  <c r="G150" i="1"/>
  <c r="G144" i="1"/>
  <c r="G136" i="1"/>
  <c r="G137" i="1"/>
  <c r="G138" i="1"/>
  <c r="G135" i="1"/>
  <c r="G121" i="1"/>
  <c r="G120" i="1"/>
  <c r="G119" i="1"/>
  <c r="G115" i="1"/>
  <c r="G117" i="1"/>
  <c r="G114" i="1"/>
  <c r="G102" i="1"/>
  <c r="G103" i="1"/>
  <c r="G101" i="1"/>
  <c r="G80" i="1"/>
  <c r="G81" i="1"/>
  <c r="G83" i="1"/>
  <c r="G84" i="1"/>
  <c r="G85" i="1"/>
  <c r="G86" i="1"/>
  <c r="G55" i="1"/>
  <c r="G36" i="1"/>
  <c r="G37" i="1"/>
  <c r="G38" i="1"/>
  <c r="G39" i="1"/>
  <c r="G6" i="1"/>
  <c r="G7" i="1"/>
  <c r="G8" i="1"/>
  <c r="G9" i="1"/>
  <c r="G4" i="1"/>
  <c r="BI187" i="1"/>
  <c r="BA187" i="1"/>
  <c r="BF186" i="1"/>
  <c r="AZ186" i="1"/>
  <c r="BF181" i="1"/>
  <c r="BF182" i="1"/>
  <c r="BF183" i="1"/>
  <c r="BF184" i="1"/>
  <c r="BF185" i="1"/>
  <c r="BF180" i="1"/>
  <c r="AZ181" i="1"/>
  <c r="AZ182" i="1"/>
  <c r="AZ183" i="1"/>
  <c r="AZ184" i="1"/>
  <c r="AZ185" i="1"/>
  <c r="AZ180" i="1"/>
  <c r="X5" i="3"/>
  <c r="Y5" i="3" s="1"/>
  <c r="AD5" i="3" s="1"/>
  <c r="X6" i="3"/>
  <c r="Y6" i="3" s="1"/>
  <c r="AD6" i="3" s="1"/>
  <c r="X7" i="3"/>
  <c r="Y7" i="3" s="1"/>
  <c r="AD7" i="3" s="1"/>
  <c r="X8" i="3"/>
  <c r="Y8" i="3" s="1"/>
  <c r="AD8" i="3" s="1"/>
  <c r="X9" i="3"/>
  <c r="Y9" i="3" s="1"/>
  <c r="AD9" i="3" s="1"/>
  <c r="X10" i="3"/>
  <c r="Y10" i="3" s="1"/>
  <c r="AD10" i="3" s="1"/>
  <c r="X11" i="3"/>
  <c r="Y11" i="3" s="1"/>
  <c r="AD11" i="3" s="1"/>
  <c r="X12" i="3"/>
  <c r="Y12" i="3" s="1"/>
  <c r="AD12" i="3" s="1"/>
  <c r="X13" i="3"/>
  <c r="Y13" i="3" s="1"/>
  <c r="AD13" i="3" s="1"/>
  <c r="X14" i="3"/>
  <c r="Y14" i="3" s="1"/>
  <c r="AD14" i="3" s="1"/>
  <c r="X15" i="3"/>
  <c r="Y15" i="3" s="1"/>
  <c r="AD15" i="3" s="1"/>
  <c r="X16" i="3"/>
  <c r="Y16" i="3" s="1"/>
  <c r="AD16" i="3" s="1"/>
  <c r="X17" i="3"/>
  <c r="Y17" i="3" s="1"/>
  <c r="AD17" i="3" s="1"/>
  <c r="X18" i="3"/>
  <c r="Y18" i="3" s="1"/>
  <c r="AD18" i="3" s="1"/>
  <c r="X19" i="3"/>
  <c r="Y19" i="3" s="1"/>
  <c r="AD19" i="3" s="1"/>
  <c r="X20" i="3"/>
  <c r="Y20" i="3" s="1"/>
  <c r="AD20" i="3" s="1"/>
  <c r="X21" i="3"/>
  <c r="Y21" i="3" s="1"/>
  <c r="AD21" i="3" s="1"/>
  <c r="X22" i="3"/>
  <c r="Y22" i="3" s="1"/>
  <c r="AD22" i="3" s="1"/>
  <c r="X23" i="3"/>
  <c r="Y23" i="3" s="1"/>
  <c r="AD23" i="3" s="1"/>
  <c r="X24" i="3"/>
  <c r="Y24" i="3" s="1"/>
  <c r="AD24" i="3" s="1"/>
  <c r="X4" i="3"/>
  <c r="Y4" i="3" s="1"/>
  <c r="AD4" i="3" s="1"/>
  <c r="AZ11" i="1"/>
  <c r="BA11" i="1" s="1"/>
  <c r="BF11" i="1" s="1"/>
  <c r="BP11" i="1" s="1"/>
  <c r="BA30" i="1"/>
  <c r="BF30" i="1" s="1"/>
  <c r="AZ31" i="1"/>
  <c r="BA31" i="1" s="1"/>
  <c r="BF31" i="1" s="1"/>
  <c r="AZ32" i="1"/>
  <c r="BA32" i="1" s="1"/>
  <c r="BF32" i="1" s="1"/>
  <c r="AZ33" i="1"/>
  <c r="BA33" i="1" s="1"/>
  <c r="BF33" i="1" s="1"/>
  <c r="AZ34" i="1"/>
  <c r="BA34" i="1" s="1"/>
  <c r="BF34" i="1" s="1"/>
  <c r="AZ36" i="1"/>
  <c r="BA36" i="1" s="1"/>
  <c r="BF36" i="1" s="1"/>
  <c r="AZ37" i="1"/>
  <c r="BA37" i="1" s="1"/>
  <c r="BF37" i="1" s="1"/>
  <c r="AZ38" i="1"/>
  <c r="BA38" i="1" s="1"/>
  <c r="BF38" i="1" s="1"/>
  <c r="AZ39" i="1"/>
  <c r="BA39" i="1" s="1"/>
  <c r="BF39" i="1" s="1"/>
  <c r="AZ40" i="1"/>
  <c r="BA40" i="1" s="1"/>
  <c r="BF40" i="1" s="1"/>
  <c r="AZ41" i="1"/>
  <c r="BA41" i="1" s="1"/>
  <c r="BF41" i="1" s="1"/>
  <c r="AZ42" i="1"/>
  <c r="BA42" i="1" s="1"/>
  <c r="BF42" i="1" s="1"/>
  <c r="AZ43" i="1"/>
  <c r="BA43" i="1" s="1"/>
  <c r="BF43" i="1" s="1"/>
  <c r="AZ44" i="1"/>
  <c r="BA44" i="1" s="1"/>
  <c r="BF44" i="1" s="1"/>
  <c r="AZ45" i="1"/>
  <c r="BA45" i="1" s="1"/>
  <c r="BF45" i="1" s="1"/>
  <c r="AZ46" i="1"/>
  <c r="BA46" i="1" s="1"/>
  <c r="BF46" i="1" s="1"/>
  <c r="AZ47" i="1"/>
  <c r="BA47" i="1" s="1"/>
  <c r="BF47" i="1" s="1"/>
  <c r="AZ48" i="1"/>
  <c r="BA48" i="1" s="1"/>
  <c r="BF48" i="1" s="1"/>
  <c r="AZ49" i="1"/>
  <c r="BA49" i="1" s="1"/>
  <c r="BF49" i="1" s="1"/>
  <c r="AZ50" i="1"/>
  <c r="BA50" i="1" s="1"/>
  <c r="BF50" i="1" s="1"/>
  <c r="AZ51" i="1"/>
  <c r="BA51" i="1" s="1"/>
  <c r="BF51" i="1" s="1"/>
  <c r="AZ52" i="1"/>
  <c r="BA52" i="1" s="1"/>
  <c r="BF52" i="1" s="1"/>
  <c r="AZ53" i="1"/>
  <c r="BA53" i="1" s="1"/>
  <c r="BF53" i="1" s="1"/>
  <c r="AZ54" i="1"/>
  <c r="BA54" i="1" s="1"/>
  <c r="BF54" i="1" s="1"/>
  <c r="AZ55" i="1"/>
  <c r="BA55" i="1" s="1"/>
  <c r="BF55" i="1" s="1"/>
  <c r="AZ56" i="1"/>
  <c r="BA56" i="1" s="1"/>
  <c r="BF56" i="1" s="1"/>
  <c r="AZ57" i="1"/>
  <c r="BA57" i="1" s="1"/>
  <c r="BF57" i="1" s="1"/>
  <c r="AZ58" i="1"/>
  <c r="BA58" i="1" s="1"/>
  <c r="BF58" i="1" s="1"/>
  <c r="AZ59" i="1"/>
  <c r="BA59" i="1" s="1"/>
  <c r="BF59" i="1" s="1"/>
  <c r="AZ60" i="1"/>
  <c r="BA60" i="1" s="1"/>
  <c r="BF60" i="1" s="1"/>
  <c r="AZ61" i="1"/>
  <c r="BA61" i="1" s="1"/>
  <c r="BF61" i="1" s="1"/>
  <c r="AZ62" i="1"/>
  <c r="BA62" i="1" s="1"/>
  <c r="BF62" i="1" s="1"/>
  <c r="AZ65" i="1"/>
  <c r="BA65" i="1" s="1"/>
  <c r="BF65" i="1" s="1"/>
  <c r="AZ76" i="1"/>
  <c r="BA76" i="1" s="1"/>
  <c r="BF76" i="1" s="1"/>
  <c r="AZ77" i="1"/>
  <c r="BA77" i="1" s="1"/>
  <c r="BF77" i="1" s="1"/>
  <c r="AZ78" i="1"/>
  <c r="BA78" i="1" s="1"/>
  <c r="BF78" i="1" s="1"/>
  <c r="AZ79" i="1"/>
  <c r="BA79" i="1" s="1"/>
  <c r="BF79" i="1" s="1"/>
  <c r="AZ80" i="1"/>
  <c r="BA80" i="1" s="1"/>
  <c r="BF80" i="1" s="1"/>
  <c r="AZ81" i="1"/>
  <c r="BA81" i="1" s="1"/>
  <c r="BF81" i="1" s="1"/>
  <c r="AZ82" i="1"/>
  <c r="BA82" i="1" s="1"/>
  <c r="BF82" i="1" s="1"/>
  <c r="AZ83" i="1"/>
  <c r="BA83" i="1" s="1"/>
  <c r="BF83" i="1" s="1"/>
  <c r="AZ84" i="1"/>
  <c r="BA84" i="1" s="1"/>
  <c r="BF84" i="1" s="1"/>
  <c r="AZ85" i="1"/>
  <c r="BA85" i="1" s="1"/>
  <c r="BF85" i="1" s="1"/>
  <c r="AZ86" i="1"/>
  <c r="BA86" i="1" s="1"/>
  <c r="BF86" i="1" s="1"/>
  <c r="AZ87" i="1"/>
  <c r="BA87" i="1" s="1"/>
  <c r="BF87" i="1" s="1"/>
  <c r="AZ88" i="1"/>
  <c r="BA88" i="1" s="1"/>
  <c r="BF88" i="1" s="1"/>
  <c r="AZ89" i="1"/>
  <c r="BA89" i="1" s="1"/>
  <c r="BF89" i="1" s="1"/>
  <c r="AZ90" i="1"/>
  <c r="BA90" i="1" s="1"/>
  <c r="BF90" i="1" s="1"/>
  <c r="AZ91" i="1"/>
  <c r="BA91" i="1" s="1"/>
  <c r="BF91" i="1" s="1"/>
  <c r="AZ92" i="1"/>
  <c r="BA92" i="1" s="1"/>
  <c r="BF92" i="1" s="1"/>
  <c r="AZ93" i="1"/>
  <c r="BA93" i="1" s="1"/>
  <c r="BF93" i="1" s="1"/>
  <c r="AZ94" i="1"/>
  <c r="BA94" i="1" s="1"/>
  <c r="BF94" i="1" s="1"/>
  <c r="AZ95" i="1"/>
  <c r="BA95" i="1" s="1"/>
  <c r="BF95" i="1" s="1"/>
  <c r="AZ101" i="1"/>
  <c r="BA101" i="1" s="1"/>
  <c r="BF101" i="1" s="1"/>
  <c r="AZ102" i="1"/>
  <c r="BA102" i="1" s="1"/>
  <c r="BF102" i="1" s="1"/>
  <c r="AZ103" i="1"/>
  <c r="BA103" i="1" s="1"/>
  <c r="BF103" i="1" s="1"/>
  <c r="AZ105" i="1"/>
  <c r="BA105" i="1" s="1"/>
  <c r="BF105" i="1" s="1"/>
  <c r="AZ106" i="1"/>
  <c r="BA106" i="1" s="1"/>
  <c r="BF106" i="1" s="1"/>
  <c r="AZ108" i="1"/>
  <c r="BA108" i="1" s="1"/>
  <c r="BF108" i="1" s="1"/>
  <c r="AZ109" i="1"/>
  <c r="BA109" i="1" s="1"/>
  <c r="BF109" i="1" s="1"/>
  <c r="AZ110" i="1"/>
  <c r="BA110" i="1" s="1"/>
  <c r="BF110" i="1" s="1"/>
  <c r="AZ111" i="1"/>
  <c r="BA111" i="1" s="1"/>
  <c r="BF111" i="1" s="1"/>
  <c r="AZ112" i="1"/>
  <c r="BA112" i="1" s="1"/>
  <c r="BF112" i="1" s="1"/>
  <c r="AZ113" i="1"/>
  <c r="BA113" i="1" s="1"/>
  <c r="BF113" i="1" s="1"/>
  <c r="AZ114" i="1"/>
  <c r="BA114" i="1" s="1"/>
  <c r="BF114" i="1" s="1"/>
  <c r="AZ115" i="1"/>
  <c r="BA115" i="1" s="1"/>
  <c r="BF115" i="1" s="1"/>
  <c r="AZ116" i="1"/>
  <c r="BA116" i="1" s="1"/>
  <c r="BF116" i="1" s="1"/>
  <c r="AZ117" i="1"/>
  <c r="BA117" i="1" s="1"/>
  <c r="BF117" i="1" s="1"/>
  <c r="AZ118" i="1"/>
  <c r="BA118" i="1" s="1"/>
  <c r="BF118" i="1" s="1"/>
  <c r="AZ119" i="1"/>
  <c r="BA119" i="1" s="1"/>
  <c r="BF119" i="1" s="1"/>
  <c r="AZ120" i="1"/>
  <c r="BA120" i="1" s="1"/>
  <c r="BF120" i="1" s="1"/>
  <c r="AZ121" i="1"/>
  <c r="BA121" i="1" s="1"/>
  <c r="BF121" i="1" s="1"/>
  <c r="AZ123" i="1"/>
  <c r="BA123" i="1" s="1"/>
  <c r="BF123" i="1" s="1"/>
  <c r="AZ124" i="1"/>
  <c r="BA124" i="1" s="1"/>
  <c r="BF124" i="1" s="1"/>
  <c r="AZ126" i="1"/>
  <c r="BA126" i="1" s="1"/>
  <c r="BF126" i="1" s="1"/>
  <c r="AZ127" i="1"/>
  <c r="BA127" i="1" s="1"/>
  <c r="BF127" i="1" s="1"/>
  <c r="AZ128" i="1"/>
  <c r="BA128" i="1" s="1"/>
  <c r="BF128" i="1" s="1"/>
  <c r="AZ129" i="1"/>
  <c r="BA129" i="1" s="1"/>
  <c r="BF129" i="1" s="1"/>
  <c r="AZ130" i="1"/>
  <c r="BA130" i="1" s="1"/>
  <c r="BF130" i="1" s="1"/>
  <c r="AZ131" i="1"/>
  <c r="BA131" i="1" s="1"/>
  <c r="BF131" i="1" s="1"/>
  <c r="AZ132" i="1"/>
  <c r="BA132" i="1" s="1"/>
  <c r="BF132" i="1" s="1"/>
  <c r="AZ133" i="1"/>
  <c r="BA133" i="1" s="1"/>
  <c r="BF133" i="1" s="1"/>
  <c r="AZ134" i="1"/>
  <c r="BA134" i="1" s="1"/>
  <c r="BF134" i="1" s="1"/>
  <c r="AZ135" i="1"/>
  <c r="BA135" i="1" s="1"/>
  <c r="BF135" i="1" s="1"/>
  <c r="AZ136" i="1"/>
  <c r="BA136" i="1" s="1"/>
  <c r="BF136" i="1" s="1"/>
  <c r="AZ137" i="1"/>
  <c r="BA137" i="1" s="1"/>
  <c r="BF137" i="1" s="1"/>
  <c r="AZ138" i="1"/>
  <c r="BA138" i="1" s="1"/>
  <c r="BF138" i="1" s="1"/>
  <c r="AZ139" i="1"/>
  <c r="BA139" i="1" s="1"/>
  <c r="BF139" i="1" s="1"/>
  <c r="AZ140" i="1"/>
  <c r="BA140" i="1" s="1"/>
  <c r="BF140" i="1" s="1"/>
  <c r="AZ141" i="1"/>
  <c r="BA141" i="1" s="1"/>
  <c r="BF141" i="1" s="1"/>
  <c r="AZ142" i="1"/>
  <c r="BA142" i="1" s="1"/>
  <c r="BF142" i="1" s="1"/>
  <c r="AZ143" i="1"/>
  <c r="BA143" i="1" s="1"/>
  <c r="BF143" i="1" s="1"/>
  <c r="AZ144" i="1"/>
  <c r="BA144" i="1" s="1"/>
  <c r="BF144" i="1" s="1"/>
  <c r="AZ145" i="1"/>
  <c r="BA145" i="1" s="1"/>
  <c r="BF145" i="1" s="1"/>
  <c r="AZ146" i="1"/>
  <c r="BA146" i="1" s="1"/>
  <c r="BF146" i="1" s="1"/>
  <c r="AZ147" i="1"/>
  <c r="BA147" i="1" s="1"/>
  <c r="BF147" i="1" s="1"/>
  <c r="AZ152" i="1"/>
  <c r="BA152" i="1" s="1"/>
  <c r="BF152" i="1" s="1"/>
  <c r="AZ153" i="1"/>
  <c r="BA153" i="1" s="1"/>
  <c r="BF153" i="1" s="1"/>
  <c r="AZ154" i="1"/>
  <c r="BA154" i="1" s="1"/>
  <c r="BF154" i="1" s="1"/>
  <c r="AZ155" i="1"/>
  <c r="BA155" i="1" s="1"/>
  <c r="BF155" i="1" s="1"/>
  <c r="AZ156" i="1"/>
  <c r="BA156" i="1" s="1"/>
  <c r="BF156" i="1" s="1"/>
  <c r="AZ157" i="1"/>
  <c r="BA157" i="1" s="1"/>
  <c r="BF157" i="1" s="1"/>
  <c r="AZ158" i="1"/>
  <c r="BA158" i="1" s="1"/>
  <c r="BF158" i="1" s="1"/>
  <c r="AZ159" i="1"/>
  <c r="BA159" i="1" s="1"/>
  <c r="BF159" i="1" s="1"/>
  <c r="AZ160" i="1"/>
  <c r="BA160" i="1" s="1"/>
  <c r="BF160" i="1" s="1"/>
  <c r="AZ161" i="1"/>
  <c r="BA161" i="1" s="1"/>
  <c r="BF161" i="1" s="1"/>
  <c r="AZ162" i="1"/>
  <c r="BA162" i="1" s="1"/>
  <c r="BF162" i="1" s="1"/>
  <c r="AZ163" i="1"/>
  <c r="BA163" i="1" s="1"/>
  <c r="BF163" i="1" s="1"/>
  <c r="AZ164" i="1"/>
  <c r="BA164" i="1" s="1"/>
  <c r="BF164" i="1" s="1"/>
  <c r="AZ165" i="1"/>
  <c r="BA165" i="1" s="1"/>
  <c r="BF165" i="1" s="1"/>
  <c r="AZ166" i="1"/>
  <c r="BA166" i="1" s="1"/>
  <c r="BF166" i="1" s="1"/>
  <c r="AZ167" i="1"/>
  <c r="BA167" i="1" s="1"/>
  <c r="BF167" i="1" s="1"/>
  <c r="AZ176" i="1"/>
  <c r="BA176" i="1" s="1"/>
  <c r="BF176" i="1" s="1"/>
  <c r="AZ177" i="1"/>
  <c r="BA177" i="1" s="1"/>
  <c r="BF177" i="1" s="1"/>
  <c r="AZ178" i="1"/>
  <c r="BA178" i="1" s="1"/>
  <c r="BF178" i="1" s="1"/>
  <c r="AZ179" i="1"/>
  <c r="BA179" i="1" s="1"/>
  <c r="BF179" i="1" s="1"/>
  <c r="AZ4" i="1"/>
  <c r="BA4" i="1" s="1"/>
  <c r="BF4" i="1" s="1"/>
  <c r="AZ5" i="1"/>
  <c r="BA5" i="1" s="1"/>
  <c r="BF5" i="1" s="1"/>
  <c r="AZ6" i="1"/>
  <c r="BA6" i="1" s="1"/>
  <c r="BF6" i="1" s="1"/>
  <c r="AZ7" i="1"/>
  <c r="BA7" i="1" s="1"/>
  <c r="BF7" i="1" s="1"/>
  <c r="AZ8" i="1"/>
  <c r="BA8" i="1" s="1"/>
  <c r="BF8" i="1" s="1"/>
  <c r="AZ9" i="1"/>
  <c r="BA9" i="1" s="1"/>
  <c r="BF9" i="1" s="1"/>
  <c r="BF10" i="1"/>
  <c r="BC175" i="1"/>
  <c r="BB175" i="1"/>
  <c r="BC174" i="1"/>
  <c r="BB174" i="1"/>
  <c r="BC173" i="1"/>
  <c r="BB173" i="1"/>
  <c r="BC172" i="1"/>
  <c r="BB172" i="1"/>
  <c r="BC171" i="1"/>
  <c r="BB171" i="1"/>
  <c r="BC170" i="1"/>
  <c r="BB170" i="1"/>
  <c r="BB169" i="1"/>
  <c r="BC169" i="1"/>
  <c r="BC168" i="1"/>
  <c r="BB168" i="1"/>
  <c r="Z25" i="3"/>
  <c r="AP24" i="3"/>
  <c r="AI24" i="3"/>
  <c r="AF24" i="3" s="1"/>
  <c r="G18" i="3"/>
  <c r="G17" i="3"/>
  <c r="G16" i="3"/>
  <c r="G15" i="3"/>
  <c r="O9" i="3"/>
  <c r="O8" i="3"/>
  <c r="O7" i="3"/>
  <c r="O6" i="3"/>
  <c r="O5" i="3"/>
  <c r="O4" i="3"/>
  <c r="BM237" i="1"/>
  <c r="BM236" i="1"/>
  <c r="BM235" i="1"/>
  <c r="BM234" i="1"/>
  <c r="BV237" i="1"/>
  <c r="BV236" i="1"/>
  <c r="BV235" i="1"/>
  <c r="BV234" i="1"/>
  <c r="BN237" i="1"/>
  <c r="BN236" i="1"/>
  <c r="BN235" i="1"/>
  <c r="BN234" i="1"/>
  <c r="AJ59" i="3" l="1"/>
  <c r="W19" i="2"/>
  <c r="X19" i="2" s="1"/>
  <c r="AC19" i="2" s="1"/>
  <c r="AT59" i="3"/>
  <c r="AH61" i="3"/>
  <c r="AT61" i="3"/>
  <c r="AI61" i="3"/>
  <c r="AG61" i="3"/>
  <c r="AF61" i="3" s="1"/>
  <c r="AJ61" i="3"/>
  <c r="AG59" i="3"/>
  <c r="AF59" i="3" s="1"/>
  <c r="AK61" i="3"/>
  <c r="W7" i="2"/>
  <c r="X7" i="2" s="1"/>
  <c r="AE34" i="2"/>
  <c r="AE35" i="2"/>
  <c r="AD41" i="2"/>
  <c r="W20" i="2"/>
  <c r="X20" i="2" s="1"/>
  <c r="AC20" i="2" s="1"/>
  <c r="AD42" i="2"/>
  <c r="W53" i="2"/>
  <c r="X53" i="2" s="1"/>
  <c r="AD44" i="2"/>
  <c r="AH53" i="2"/>
  <c r="AO53" i="2"/>
  <c r="AD43" i="2"/>
  <c r="AS53" i="2"/>
  <c r="AH46" i="2"/>
  <c r="AE46" i="2" s="1"/>
  <c r="AH45" i="2"/>
  <c r="AJ46" i="2"/>
  <c r="AJ45" i="2"/>
  <c r="BA50" i="2"/>
  <c r="AS50" i="2"/>
  <c r="AQ50" i="2"/>
  <c r="AO50" i="2"/>
  <c r="AM50" i="2"/>
  <c r="AL50" i="2"/>
  <c r="AK50" i="2"/>
  <c r="AJ50" i="2"/>
  <c r="AI50" i="2"/>
  <c r="AH50" i="2"/>
  <c r="AE50" i="2" s="1"/>
  <c r="AG4" i="4"/>
  <c r="AD4" i="4" s="1"/>
  <c r="AH4" i="4"/>
  <c r="BH189" i="1"/>
  <c r="BG189" i="1"/>
  <c r="P4" i="1"/>
  <c r="R4" i="1"/>
  <c r="BG190" i="1"/>
  <c r="BG191" i="1"/>
  <c r="AZ4" i="4"/>
  <c r="AP4" i="4"/>
  <c r="AK4" i="4"/>
  <c r="AI4" i="4"/>
  <c r="AZ5" i="4"/>
  <c r="AR5" i="4"/>
  <c r="AP5" i="4"/>
  <c r="AI5" i="4"/>
  <c r="AH5" i="4"/>
  <c r="AJ5" i="4"/>
  <c r="AK5" i="4"/>
  <c r="AG5" i="4"/>
  <c r="AD5" i="4" s="1"/>
  <c r="AZ6" i="4"/>
  <c r="AR6" i="4"/>
  <c r="AP6" i="4"/>
  <c r="AJ6" i="4"/>
  <c r="AH6" i="4"/>
  <c r="AK6" i="4"/>
  <c r="AG6" i="4"/>
  <c r="AD6" i="4" s="1"/>
  <c r="AR7" i="4"/>
  <c r="AP7" i="4"/>
  <c r="AI7" i="4"/>
  <c r="AH7" i="4"/>
  <c r="AG7" i="4"/>
  <c r="AD7" i="4" s="1"/>
  <c r="AZ8" i="4"/>
  <c r="AR8" i="4"/>
  <c r="AP8" i="4"/>
  <c r="AI8" i="4"/>
  <c r="AH8" i="4"/>
  <c r="AK8" i="4"/>
  <c r="AD8" i="4"/>
  <c r="AC51" i="2"/>
  <c r="AC52" i="2"/>
  <c r="AI53" i="2"/>
  <c r="AC53" i="2"/>
  <c r="AC54" i="2"/>
  <c r="AC50" i="2"/>
  <c r="AO49" i="2"/>
  <c r="AN49" i="2"/>
  <c r="AM49" i="2"/>
  <c r="AL49" i="2"/>
  <c r="AK49" i="2"/>
  <c r="AI49" i="2"/>
  <c r="AH49" i="2"/>
  <c r="AE49" i="2" s="1"/>
  <c r="AC49" i="2"/>
  <c r="AC45" i="2"/>
  <c r="X25" i="3"/>
  <c r="Y25" i="3" s="1"/>
  <c r="AD25" i="3" s="1"/>
  <c r="AG4" i="1"/>
  <c r="AK4" i="1"/>
  <c r="AO4" i="1"/>
  <c r="AS4" i="1"/>
  <c r="U4" i="1"/>
  <c r="AC27" i="2"/>
  <c r="AM5" i="2"/>
  <c r="AI5" i="2"/>
  <c r="AH5" i="2"/>
  <c r="AE5" i="2" s="1"/>
  <c r="AC6" i="2"/>
  <c r="AS6" i="2" s="1"/>
  <c r="AO7" i="2"/>
  <c r="AK7" i="2"/>
  <c r="AI7" i="2"/>
  <c r="AH7" i="2"/>
  <c r="AE7" i="2" s="1"/>
  <c r="AC7" i="2"/>
  <c r="AO8" i="2"/>
  <c r="AH8" i="2"/>
  <c r="AE8" i="2" s="1"/>
  <c r="AC8" i="2"/>
  <c r="AS9" i="2"/>
  <c r="AO9" i="2"/>
  <c r="AM9" i="2"/>
  <c r="AK9" i="2"/>
  <c r="AI9" i="2"/>
  <c r="AH9" i="2"/>
  <c r="AE9" i="2" s="1"/>
  <c r="AC9" i="2"/>
  <c r="AC10" i="2"/>
  <c r="AC11" i="2"/>
  <c r="AS12" i="2"/>
  <c r="AO12" i="2"/>
  <c r="AM12" i="2"/>
  <c r="AL12" i="2"/>
  <c r="AK12" i="2"/>
  <c r="AI12" i="2"/>
  <c r="AH12" i="2"/>
  <c r="AE12" i="2" s="1"/>
  <c r="AC12" i="2"/>
  <c r="AC13" i="2"/>
  <c r="BA14" i="2"/>
  <c r="AS14" i="2"/>
  <c r="AQ14" i="2"/>
  <c r="AN14" i="2"/>
  <c r="AM14" i="2"/>
  <c r="AL14" i="2"/>
  <c r="AK14" i="2"/>
  <c r="AI14" i="2"/>
  <c r="AH14" i="2"/>
  <c r="AE14" i="2" s="1"/>
  <c r="AC14" i="2"/>
  <c r="BA15" i="2"/>
  <c r="AS15" i="2"/>
  <c r="AQ15" i="2"/>
  <c r="AN15" i="2"/>
  <c r="AM15" i="2"/>
  <c r="AL15" i="2"/>
  <c r="AK15" i="2"/>
  <c r="AI15" i="2"/>
  <c r="AH15" i="2"/>
  <c r="AE15" i="2" s="1"/>
  <c r="AC15" i="2"/>
  <c r="BA16" i="2"/>
  <c r="AS16" i="2"/>
  <c r="AQ16" i="2"/>
  <c r="AN16" i="2"/>
  <c r="AM16" i="2"/>
  <c r="AL16" i="2"/>
  <c r="AK16" i="2"/>
  <c r="AI16" i="2"/>
  <c r="AH16" i="2"/>
  <c r="AE16" i="2" s="1"/>
  <c r="AC16" i="2"/>
  <c r="BA17" i="2"/>
  <c r="AS17" i="2"/>
  <c r="AQ17" i="2"/>
  <c r="AN17" i="2"/>
  <c r="AM17" i="2"/>
  <c r="AL17" i="2"/>
  <c r="AK17" i="2"/>
  <c r="AI17" i="2"/>
  <c r="AH17" i="2"/>
  <c r="AE17" i="2" s="1"/>
  <c r="AC17" i="2"/>
  <c r="BA18" i="2"/>
  <c r="AS18" i="2"/>
  <c r="AQ18" i="2"/>
  <c r="AN18" i="2"/>
  <c r="AM18" i="2"/>
  <c r="AL18" i="2"/>
  <c r="AK18" i="2"/>
  <c r="AI18" i="2"/>
  <c r="AH18" i="2"/>
  <c r="AE18" i="2" s="1"/>
  <c r="AC18" i="2"/>
  <c r="BA19" i="2"/>
  <c r="AS19" i="2"/>
  <c r="AQ19" i="2"/>
  <c r="AN19" i="2"/>
  <c r="AM19" i="2"/>
  <c r="AL19" i="2"/>
  <c r="AK19" i="2"/>
  <c r="AI19" i="2"/>
  <c r="AH19" i="2"/>
  <c r="AE19" i="2" s="1"/>
  <c r="BA20" i="2"/>
  <c r="AS20" i="2"/>
  <c r="AQ20" i="2"/>
  <c r="AN20" i="2"/>
  <c r="AM20" i="2"/>
  <c r="AL20" i="2"/>
  <c r="AK20" i="2"/>
  <c r="AI20" i="2"/>
  <c r="AH20" i="2"/>
  <c r="AE20" i="2" s="1"/>
  <c r="BA21" i="2"/>
  <c r="AS21" i="2"/>
  <c r="AQ21" i="2"/>
  <c r="AN21" i="2"/>
  <c r="AM21" i="2"/>
  <c r="AL21" i="2"/>
  <c r="AK21" i="2"/>
  <c r="AI21" i="2"/>
  <c r="AH21" i="2"/>
  <c r="AE21" i="2" s="1"/>
  <c r="AC21" i="2"/>
  <c r="BA22" i="2"/>
  <c r="AS22" i="2"/>
  <c r="AQ22" i="2"/>
  <c r="AN22" i="2"/>
  <c r="AM22" i="2"/>
  <c r="AL22" i="2"/>
  <c r="AK22" i="2"/>
  <c r="AI22" i="2"/>
  <c r="AH22" i="2"/>
  <c r="AE22" i="2" s="1"/>
  <c r="AC22" i="2"/>
  <c r="BA23" i="2"/>
  <c r="AS23" i="2"/>
  <c r="AQ23" i="2"/>
  <c r="AN23" i="2"/>
  <c r="AM23" i="2"/>
  <c r="AL23" i="2"/>
  <c r="AK23" i="2"/>
  <c r="AI23" i="2"/>
  <c r="AH23" i="2"/>
  <c r="AE23" i="2" s="1"/>
  <c r="AC23" i="2"/>
  <c r="AB23" i="4"/>
  <c r="AB24" i="4"/>
  <c r="AB25" i="4"/>
  <c r="AB9" i="4"/>
  <c r="AB10" i="4"/>
  <c r="AB11" i="4"/>
  <c r="AB12" i="4"/>
  <c r="AB13" i="4"/>
  <c r="AB14" i="4"/>
  <c r="AB15" i="4"/>
  <c r="AB16" i="4"/>
  <c r="AB17" i="4"/>
  <c r="AB18" i="4"/>
  <c r="AA31" i="3"/>
  <c r="X31" i="3" s="1"/>
  <c r="Y31" i="3" s="1"/>
  <c r="AD31" i="3" s="1"/>
  <c r="AA32" i="3"/>
  <c r="X32" i="3" s="1"/>
  <c r="Y32" i="3" s="1"/>
  <c r="AD32" i="3" s="1"/>
  <c r="AA33" i="3"/>
  <c r="X33" i="3" s="1"/>
  <c r="Y33" i="3" s="1"/>
  <c r="AD33" i="3" s="1"/>
  <c r="AA34" i="3"/>
  <c r="X34" i="3" s="1"/>
  <c r="Y34" i="3" s="1"/>
  <c r="AD34" i="3" s="1"/>
  <c r="AA35" i="3"/>
  <c r="X35" i="3" s="1"/>
  <c r="Y35" i="3" s="1"/>
  <c r="AD35" i="3" s="1"/>
  <c r="BV170" i="1"/>
  <c r="BR170" i="1"/>
  <c r="BP170" i="1"/>
  <c r="BN170" i="1"/>
  <c r="BL170" i="1"/>
  <c r="BK170" i="1"/>
  <c r="BV174" i="1"/>
  <c r="BR174" i="1"/>
  <c r="BP174" i="1"/>
  <c r="BN174" i="1"/>
  <c r="BL174" i="1"/>
  <c r="BK174" i="1"/>
  <c r="BL11" i="1"/>
  <c r="BK11" i="1"/>
  <c r="BH11" i="1" s="1"/>
  <c r="BH56" i="1"/>
  <c r="BH57" i="1"/>
  <c r="BH58" i="1"/>
  <c r="BH113" i="1"/>
  <c r="BH147" i="1"/>
  <c r="BB187" i="1"/>
  <c r="AZ168" i="1"/>
  <c r="BA168" i="1" s="1"/>
  <c r="BF168" i="1"/>
  <c r="AZ170" i="1"/>
  <c r="BA170" i="1" s="1"/>
  <c r="BF170" i="1"/>
  <c r="AZ171" i="1"/>
  <c r="BA171" i="1" s="1"/>
  <c r="BF171" i="1"/>
  <c r="AZ172" i="1"/>
  <c r="BA172" i="1" s="1"/>
  <c r="BF172" i="1"/>
  <c r="AZ173" i="1"/>
  <c r="BA173" i="1" s="1"/>
  <c r="BF173" i="1"/>
  <c r="AZ174" i="1"/>
  <c r="BA174" i="1" s="1"/>
  <c r="BF174" i="1"/>
  <c r="AZ175" i="1"/>
  <c r="BA175" i="1" s="1"/>
  <c r="BF175" i="1"/>
  <c r="AZ169" i="1"/>
  <c r="BA169" i="1" s="1"/>
  <c r="BF169" i="1" s="1"/>
  <c r="BB25" i="3"/>
  <c r="AT25" i="3"/>
  <c r="AP25" i="3"/>
  <c r="AM25" i="3"/>
  <c r="AK25" i="3"/>
  <c r="AJ25" i="3"/>
  <c r="AI25" i="3"/>
  <c r="AH25" i="3"/>
  <c r="BH6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5" i="1"/>
  <c r="BH4" i="1"/>
  <c r="AF25" i="3" l="1"/>
  <c r="AE45" i="2"/>
  <c r="AD45" i="2"/>
  <c r="Q4" i="1"/>
  <c r="AO6" i="2"/>
  <c r="AM6" i="2"/>
  <c r="AL6" i="2"/>
  <c r="AK6" i="2"/>
  <c r="AI6" i="2"/>
  <c r="AZ187" i="1"/>
  <c r="BF187" i="1"/>
  <c r="BD230" i="1"/>
  <c r="BB232" i="1"/>
  <c r="BD232" i="1" s="1"/>
  <c r="BB228" i="1"/>
  <c r="BC228" i="1"/>
  <c r="BC229" i="1"/>
  <c r="BD229" i="1" s="1"/>
  <c r="CD214" i="1" l="1"/>
  <c r="BP217" i="1"/>
  <c r="BP216" i="1"/>
  <c r="BP215" i="1"/>
  <c r="BP214" i="1"/>
  <c r="BB151" i="1" l="1"/>
  <c r="BD151" i="1"/>
  <c r="AZ151" i="1" s="1"/>
  <c r="BA151" i="1" s="1"/>
  <c r="BF151" i="1" l="1"/>
  <c r="BB150" i="1"/>
  <c r="BB149" i="1"/>
  <c r="BB148" i="1"/>
  <c r="AZ148" i="1" l="1"/>
  <c r="BA148" i="1" s="1"/>
  <c r="BF148" i="1"/>
  <c r="AZ149" i="1"/>
  <c r="BA149" i="1" s="1"/>
  <c r="BF149" i="1"/>
  <c r="AZ150" i="1"/>
  <c r="BA150" i="1" s="1"/>
  <c r="BF150" i="1"/>
  <c r="BV146" i="1" l="1"/>
  <c r="BV145" i="1"/>
  <c r="BV144" i="1"/>
  <c r="BO146" i="1"/>
  <c r="BO145" i="1"/>
  <c r="BO144" i="1"/>
  <c r="BN146" i="1"/>
  <c r="BN145" i="1"/>
  <c r="BN144" i="1"/>
  <c r="CD138" i="1" l="1"/>
  <c r="CD137" i="1"/>
  <c r="CD136" i="1"/>
  <c r="CD135" i="1"/>
  <c r="CA134" i="1" l="1"/>
  <c r="BT134" i="1"/>
  <c r="BN134" i="1"/>
  <c r="BR134" i="1"/>
  <c r="BV130" i="1" l="1"/>
  <c r="BR130" i="1"/>
  <c r="BO130" i="1"/>
  <c r="BN130" i="1"/>
  <c r="BK130" i="1"/>
  <c r="BH130" i="1" s="1"/>
  <c r="BD125" i="1" l="1"/>
  <c r="BC125" i="1"/>
  <c r="AZ125" i="1" s="1"/>
  <c r="BA125" i="1" s="1"/>
  <c r="BF125" i="1" s="1"/>
  <c r="BK123" i="1" l="1"/>
  <c r="BH123" i="1" s="1"/>
  <c r="BK122" i="1" l="1"/>
  <c r="BH122" i="1" s="1"/>
  <c r="BB122" i="1"/>
  <c r="AZ122" i="1" l="1"/>
  <c r="BA122" i="1" s="1"/>
  <c r="BF122" i="1"/>
  <c r="J119" i="1"/>
  <c r="BR117" i="1" l="1"/>
  <c r="BR116" i="1"/>
  <c r="BR115" i="1"/>
  <c r="BR114" i="1"/>
  <c r="BL111" i="1" l="1"/>
  <c r="BK111" i="1"/>
  <c r="BH111" i="1" s="1"/>
  <c r="BN111" i="1"/>
  <c r="BV111" i="1"/>
  <c r="BK107" i="1" l="1"/>
  <c r="BH107" i="1" s="1"/>
  <c r="BD107" i="1" l="1"/>
  <c r="BC107" i="1"/>
  <c r="AZ107" i="1" s="1"/>
  <c r="BA107" i="1" s="1"/>
  <c r="BF107" i="1" s="1"/>
  <c r="BB104" i="1" l="1"/>
  <c r="AZ104" i="1" l="1"/>
  <c r="BA104" i="1" s="1"/>
  <c r="BF104" i="1"/>
  <c r="H103" i="1"/>
  <c r="H102" i="1"/>
  <c r="H101" i="1"/>
  <c r="CD100" i="1" l="1"/>
  <c r="CD99" i="1"/>
  <c r="CD98" i="1"/>
  <c r="CD97" i="1"/>
  <c r="CD96" i="1"/>
  <c r="BK100" i="1"/>
  <c r="BH100" i="1" s="1"/>
  <c r="BK99" i="1"/>
  <c r="BH99" i="1" s="1"/>
  <c r="BK98" i="1"/>
  <c r="BH98" i="1" s="1"/>
  <c r="BK97" i="1"/>
  <c r="BH97" i="1" s="1"/>
  <c r="BK96" i="1"/>
  <c r="BH96" i="1" s="1"/>
  <c r="BM99" i="1"/>
  <c r="BM98" i="1"/>
  <c r="BM97" i="1"/>
  <c r="BM96" i="1"/>
  <c r="BO98" i="1"/>
  <c r="BO97" i="1"/>
  <c r="BB100" i="1"/>
  <c r="BB99" i="1"/>
  <c r="BC99" i="1"/>
  <c r="AZ99" i="1" s="1"/>
  <c r="BA99" i="1" s="1"/>
  <c r="BB98" i="1"/>
  <c r="BB97" i="1"/>
  <c r="BC97" i="1"/>
  <c r="AZ97" i="1" s="1"/>
  <c r="BA97" i="1" s="1"/>
  <c r="BB96" i="1"/>
  <c r="BC96" i="1" l="1"/>
  <c r="AZ96" i="1" s="1"/>
  <c r="BA96" i="1" s="1"/>
  <c r="BF96" i="1"/>
  <c r="BF97" i="1"/>
  <c r="BC98" i="1"/>
  <c r="AZ98" i="1" s="1"/>
  <c r="BA98" i="1" s="1"/>
  <c r="BF98" i="1"/>
  <c r="BF99" i="1"/>
  <c r="BC100" i="1"/>
  <c r="AZ100" i="1" s="1"/>
  <c r="BA100" i="1" s="1"/>
  <c r="BF100" i="1"/>
  <c r="BB75" i="1" l="1"/>
  <c r="BB74" i="1"/>
  <c r="BB73" i="1"/>
  <c r="BB72" i="1"/>
  <c r="BB71" i="1"/>
  <c r="BB70" i="1"/>
  <c r="BB69" i="1"/>
  <c r="BB68" i="1"/>
  <c r="BB67" i="1"/>
  <c r="BB66" i="1"/>
  <c r="AZ66" i="1" l="1"/>
  <c r="BA66" i="1" s="1"/>
  <c r="BF66" i="1"/>
  <c r="AZ67" i="1"/>
  <c r="BA67" i="1" s="1"/>
  <c r="BF67" i="1"/>
  <c r="AZ68" i="1"/>
  <c r="BA68" i="1" s="1"/>
  <c r="BF68" i="1"/>
  <c r="AZ69" i="1"/>
  <c r="BA69" i="1" s="1"/>
  <c r="BF69" i="1"/>
  <c r="AZ70" i="1"/>
  <c r="BA70" i="1" s="1"/>
  <c r="BF70" i="1"/>
  <c r="AZ71" i="1"/>
  <c r="BA71" i="1" s="1"/>
  <c r="BF71" i="1"/>
  <c r="AZ72" i="1"/>
  <c r="BA72" i="1" s="1"/>
  <c r="BF72" i="1"/>
  <c r="AZ73" i="1"/>
  <c r="BA73" i="1" s="1"/>
  <c r="BF73" i="1"/>
  <c r="AZ74" i="1"/>
  <c r="BA74" i="1" s="1"/>
  <c r="BF74" i="1"/>
  <c r="AZ75" i="1"/>
  <c r="BA75" i="1" s="1"/>
  <c r="BF75" i="1"/>
  <c r="BB64" i="1" l="1"/>
  <c r="BK64" i="1" l="1"/>
  <c r="BR64" i="1"/>
  <c r="BV64" i="1"/>
  <c r="CD64" i="1"/>
  <c r="AZ64" i="1"/>
  <c r="BA64" i="1" s="1"/>
  <c r="BF64" i="1"/>
  <c r="BO64" i="1"/>
  <c r="BM64" i="1"/>
  <c r="BL64" i="1"/>
  <c r="BJ64" i="1"/>
  <c r="BH64" i="1" s="1"/>
  <c r="BB63" i="1"/>
  <c r="BP63" i="1" s="1"/>
  <c r="BR63" i="1" l="1"/>
  <c r="BQ63" i="1"/>
  <c r="BO63" i="1"/>
  <c r="BN63" i="1"/>
  <c r="BL63" i="1"/>
  <c r="BK63" i="1"/>
  <c r="BH63" i="1" s="1"/>
  <c r="AZ63" i="1"/>
  <c r="BA63" i="1" s="1"/>
  <c r="BF63" i="1"/>
  <c r="BT54" i="1" l="1"/>
  <c r="BN54" i="1"/>
  <c r="BO54" i="1"/>
  <c r="BR54" i="1"/>
  <c r="BK54" i="1"/>
  <c r="BH54" i="1" s="1"/>
  <c r="H47" i="1"/>
  <c r="H48" i="1"/>
  <c r="H46" i="1"/>
  <c r="H45" i="1"/>
  <c r="BD29" i="1" l="1"/>
  <c r="BD28" i="1"/>
  <c r="BD27" i="1"/>
  <c r="BD26" i="1"/>
  <c r="BD25" i="1"/>
  <c r="BB29" i="1"/>
  <c r="BP29" i="1" s="1"/>
  <c r="BB28" i="1"/>
  <c r="BP28" i="1" s="1"/>
  <c r="BB27" i="1"/>
  <c r="BP27" i="1" s="1"/>
  <c r="BB26" i="1"/>
  <c r="BB25" i="1"/>
  <c r="BK25" i="1" l="1"/>
  <c r="BH25" i="1" s="1"/>
  <c r="BL25" i="1"/>
  <c r="BN25" i="1"/>
  <c r="BO25" i="1"/>
  <c r="BP25" i="1"/>
  <c r="BQ25" i="1"/>
  <c r="BT25" i="1"/>
  <c r="BV25" i="1"/>
  <c r="CD25" i="1"/>
  <c r="BK26" i="1"/>
  <c r="BH26" i="1" s="1"/>
  <c r="BL26" i="1"/>
  <c r="BN26" i="1"/>
  <c r="BO26" i="1"/>
  <c r="BP26" i="1"/>
  <c r="BQ26" i="1"/>
  <c r="BT26" i="1"/>
  <c r="BV26" i="1"/>
  <c r="CD26" i="1"/>
  <c r="BK27" i="1"/>
  <c r="BH27" i="1" s="1"/>
  <c r="BL27" i="1"/>
  <c r="BN27" i="1"/>
  <c r="BO27" i="1"/>
  <c r="BQ27" i="1"/>
  <c r="BT27" i="1"/>
  <c r="BV27" i="1"/>
  <c r="CD27" i="1"/>
  <c r="BK28" i="1"/>
  <c r="BH28" i="1" s="1"/>
  <c r="BL28" i="1"/>
  <c r="BN28" i="1"/>
  <c r="BO28" i="1"/>
  <c r="BQ28" i="1"/>
  <c r="BT28" i="1"/>
  <c r="BV28" i="1"/>
  <c r="CD28" i="1"/>
  <c r="BK29" i="1"/>
  <c r="BH29" i="1" s="1"/>
  <c r="BL29" i="1"/>
  <c r="BN29" i="1"/>
  <c r="BO29" i="1"/>
  <c r="BQ29" i="1"/>
  <c r="BT29" i="1"/>
  <c r="BV29" i="1"/>
  <c r="CD29" i="1"/>
  <c r="AZ25" i="1"/>
  <c r="BA25" i="1" s="1"/>
  <c r="BF25" i="1"/>
  <c r="AZ26" i="1"/>
  <c r="BA26" i="1" s="1"/>
  <c r="BF26" i="1"/>
  <c r="AZ27" i="1"/>
  <c r="BA27" i="1" s="1"/>
  <c r="BF27" i="1"/>
  <c r="AZ28" i="1"/>
  <c r="BA28" i="1" s="1"/>
  <c r="BF28" i="1"/>
  <c r="AZ29" i="1"/>
  <c r="BA29" i="1" s="1"/>
  <c r="BF29" i="1"/>
  <c r="BB24" i="1"/>
  <c r="BP24" i="1" s="1"/>
  <c r="BB23" i="1"/>
  <c r="BB22" i="1"/>
  <c r="BP22" i="1" s="1"/>
  <c r="BB21" i="1"/>
  <c r="BP21" i="1" s="1"/>
  <c r="BB20" i="1"/>
  <c r="BP20" i="1" s="1"/>
  <c r="BT20" i="1" l="1"/>
  <c r="BV20" i="1"/>
  <c r="CD20" i="1"/>
  <c r="BN20" i="1"/>
  <c r="BL20" i="1"/>
  <c r="BO20" i="1"/>
  <c r="BQ20" i="1"/>
  <c r="BK20" i="1"/>
  <c r="BH20" i="1" s="1"/>
  <c r="BT21" i="1"/>
  <c r="BV21" i="1"/>
  <c r="CD21" i="1"/>
  <c r="BK21" i="1"/>
  <c r="BH21" i="1" s="1"/>
  <c r="BL21" i="1"/>
  <c r="BN21" i="1"/>
  <c r="BO21" i="1"/>
  <c r="BQ21" i="1"/>
  <c r="BK22" i="1"/>
  <c r="BH22" i="1" s="1"/>
  <c r="BL22" i="1"/>
  <c r="BO22" i="1"/>
  <c r="BV22" i="1"/>
  <c r="BT22" i="1"/>
  <c r="BQ22" i="1"/>
  <c r="BN22" i="1"/>
  <c r="CD22" i="1"/>
  <c r="BK23" i="1"/>
  <c r="BH23" i="1" s="1"/>
  <c r="BL23" i="1"/>
  <c r="BN23" i="1"/>
  <c r="BO23" i="1"/>
  <c r="BP23" i="1"/>
  <c r="BQ23" i="1"/>
  <c r="BT23" i="1"/>
  <c r="BV23" i="1"/>
  <c r="CD23" i="1"/>
  <c r="BK24" i="1"/>
  <c r="BH24" i="1" s="1"/>
  <c r="BL24" i="1"/>
  <c r="BN24" i="1"/>
  <c r="BO24" i="1"/>
  <c r="BQ24" i="1"/>
  <c r="BT24" i="1"/>
  <c r="BV24" i="1"/>
  <c r="CD24" i="1"/>
  <c r="AZ20" i="1"/>
  <c r="BA20" i="1" s="1"/>
  <c r="BF20" i="1"/>
  <c r="AZ21" i="1"/>
  <c r="BA21" i="1" s="1"/>
  <c r="BF21" i="1"/>
  <c r="AZ22" i="1"/>
  <c r="BA22" i="1" s="1"/>
  <c r="BF22" i="1"/>
  <c r="AZ23" i="1"/>
  <c r="BA23" i="1" s="1"/>
  <c r="BF23" i="1"/>
  <c r="AZ24" i="1"/>
  <c r="BA24" i="1" s="1"/>
  <c r="BF24" i="1"/>
  <c r="BB19" i="1"/>
  <c r="BB18" i="1"/>
  <c r="BP18" i="1" s="1"/>
  <c r="BB17" i="1"/>
  <c r="BB16" i="1"/>
  <c r="BB15" i="1"/>
  <c r="BP15" i="1" s="1"/>
  <c r="BB14" i="1"/>
  <c r="BB13" i="1"/>
  <c r="BL13" i="1" s="1"/>
  <c r="BB12" i="1"/>
  <c r="S7" i="1"/>
  <c r="S8" i="1"/>
  <c r="S9" i="1"/>
  <c r="BV13" i="1" l="1"/>
  <c r="BR13" i="1"/>
  <c r="BN13" i="1"/>
  <c r="BK13" i="1"/>
  <c r="BH13" i="1" s="1"/>
  <c r="BR14" i="1"/>
  <c r="BK14" i="1"/>
  <c r="BH14" i="1" s="1"/>
  <c r="BV15" i="1"/>
  <c r="BR15" i="1"/>
  <c r="BN15" i="1"/>
  <c r="BL15" i="1"/>
  <c r="BK15" i="1"/>
  <c r="BH15" i="1" s="1"/>
  <c r="BV18" i="1"/>
  <c r="BR18" i="1"/>
  <c r="BO18" i="1"/>
  <c r="BN18" i="1"/>
  <c r="BL18" i="1"/>
  <c r="BK18" i="1"/>
  <c r="BH18" i="1" s="1"/>
  <c r="AZ12" i="1"/>
  <c r="BA12" i="1" s="1"/>
  <c r="BF12" i="1"/>
  <c r="AZ13" i="1"/>
  <c r="BA13" i="1" s="1"/>
  <c r="BF13" i="1"/>
  <c r="AZ14" i="1"/>
  <c r="BA14" i="1" s="1"/>
  <c r="BF14" i="1" s="1"/>
  <c r="AZ15" i="1"/>
  <c r="BA15" i="1" s="1"/>
  <c r="BF15" i="1"/>
  <c r="AZ16" i="1"/>
  <c r="BA16" i="1" s="1"/>
  <c r="BF16" i="1"/>
  <c r="AZ17" i="1"/>
  <c r="BA17" i="1" s="1"/>
  <c r="BF17" i="1"/>
  <c r="AZ18" i="1"/>
  <c r="BA18" i="1" s="1"/>
  <c r="BF18" i="1"/>
  <c r="AZ19" i="1"/>
  <c r="BA19" i="1" s="1"/>
  <c r="BF19" i="1"/>
  <c r="S6" i="1"/>
  <c r="S5" i="1"/>
  <c r="BL12" i="1" l="1"/>
  <c r="BP12" i="1"/>
  <c r="BV12" i="1"/>
  <c r="BR12" i="1"/>
  <c r="BN12" i="1"/>
  <c r="BO12" i="1"/>
</calcChain>
</file>

<file path=xl/sharedStrings.xml><?xml version="1.0" encoding="utf-8"?>
<sst xmlns="http://schemas.openxmlformats.org/spreadsheetml/2006/main" count="10955" uniqueCount="249">
  <si>
    <t>Inputs</t>
  </si>
  <si>
    <t>Outputs</t>
  </si>
  <si>
    <t>References</t>
  </si>
  <si>
    <t xml:space="preserve">49 papers </t>
  </si>
  <si>
    <t xml:space="preserve">3 semi batch </t>
  </si>
  <si>
    <t xml:space="preserve">3 spouted </t>
  </si>
  <si>
    <t>Sample Type</t>
  </si>
  <si>
    <t xml:space="preserve">Fluidized Bed </t>
  </si>
  <si>
    <t>Reactor volume (ml)</t>
  </si>
  <si>
    <t>Carrier Gas</t>
  </si>
  <si>
    <t>Reaction time (s)</t>
  </si>
  <si>
    <t>Temperature (C)</t>
  </si>
  <si>
    <t>HVF (C)</t>
  </si>
  <si>
    <t>Particle size (mm)</t>
  </si>
  <si>
    <t>Inert particle</t>
  </si>
  <si>
    <t>Inert particle size (mm)</t>
  </si>
  <si>
    <t>Feed rate (g/min)</t>
  </si>
  <si>
    <t>Steam feeding rate (ml/min)</t>
  </si>
  <si>
    <t>Solid residence time(min)</t>
  </si>
  <si>
    <t>Feedstock analysis (wt%)</t>
  </si>
  <si>
    <t xml:space="preserve">Yields (wt%) </t>
  </si>
  <si>
    <t>Products (wt%)</t>
  </si>
  <si>
    <t>Volume (mL)</t>
  </si>
  <si>
    <t>Flow Rate (SLM)</t>
  </si>
  <si>
    <t>Standard deviation Moisture</t>
  </si>
  <si>
    <t>CV Moisture</t>
  </si>
  <si>
    <t>Average Moisture</t>
  </si>
  <si>
    <t>Moisture</t>
  </si>
  <si>
    <t>Standard deviation VM</t>
  </si>
  <si>
    <t>CV VM</t>
  </si>
  <si>
    <t xml:space="preserve">Average  Volatile Matter </t>
  </si>
  <si>
    <t>Volatile Matter</t>
  </si>
  <si>
    <t>Standart deviation S</t>
  </si>
  <si>
    <t>CV S</t>
  </si>
  <si>
    <t>Average S</t>
  </si>
  <si>
    <t>S</t>
  </si>
  <si>
    <t>Standard deviation Ash</t>
  </si>
  <si>
    <t>CV Ash</t>
  </si>
  <si>
    <t>Average Ash</t>
  </si>
  <si>
    <t>Ash</t>
  </si>
  <si>
    <t>Standard deviation C</t>
  </si>
  <si>
    <t>CV C</t>
  </si>
  <si>
    <t>Average C</t>
  </si>
  <si>
    <t>C</t>
  </si>
  <si>
    <t>Standard deviation H</t>
  </si>
  <si>
    <t>CV H</t>
  </si>
  <si>
    <t>Average H</t>
  </si>
  <si>
    <t>H</t>
  </si>
  <si>
    <t>Standard deviation N</t>
  </si>
  <si>
    <t>CV N</t>
  </si>
  <si>
    <t>Average N</t>
  </si>
  <si>
    <t>N</t>
  </si>
  <si>
    <t>Standard deviation O</t>
  </si>
  <si>
    <t>CV O</t>
  </si>
  <si>
    <t>Average O</t>
  </si>
  <si>
    <t>O</t>
  </si>
  <si>
    <t>HHV (MJ/kg)</t>
  </si>
  <si>
    <t>Average HHV</t>
  </si>
  <si>
    <t>Standard deviation HHV</t>
  </si>
  <si>
    <t>CV HHV</t>
  </si>
  <si>
    <t>water</t>
  </si>
  <si>
    <t>Oil</t>
  </si>
  <si>
    <t>Char</t>
  </si>
  <si>
    <t>Gas</t>
  </si>
  <si>
    <t>basis</t>
  </si>
  <si>
    <t>Liquid (Total of 100)</t>
  </si>
  <si>
    <t>AA</t>
  </si>
  <si>
    <t>Guiacols</t>
  </si>
  <si>
    <t>Catechols</t>
  </si>
  <si>
    <t>Phenols</t>
  </si>
  <si>
    <t>Ketones</t>
  </si>
  <si>
    <t>Furans</t>
  </si>
  <si>
    <t>Aldehydes</t>
  </si>
  <si>
    <t>Alcohols</t>
  </si>
  <si>
    <t>Esters</t>
  </si>
  <si>
    <t>Ethers</t>
  </si>
  <si>
    <t>Aromatic Hydrocarbon</t>
  </si>
  <si>
    <t>THBs</t>
  </si>
  <si>
    <t>Sugars</t>
  </si>
  <si>
    <t>Stilbenes</t>
  </si>
  <si>
    <t>Acids</t>
  </si>
  <si>
    <t>Oxygenated</t>
  </si>
  <si>
    <t>Nitrogenated Compounds</t>
  </si>
  <si>
    <t>Volatile compounds</t>
  </si>
  <si>
    <t>Diethylethr-solubles</t>
  </si>
  <si>
    <t>Water</t>
  </si>
  <si>
    <t>Diethylether-insolubles</t>
  </si>
  <si>
    <t>Water-insolubles</t>
  </si>
  <si>
    <t>Others</t>
  </si>
  <si>
    <t>Notes</t>
  </si>
  <si>
    <t>Pine Sawdust</t>
  </si>
  <si>
    <t>Fluidized Bed</t>
  </si>
  <si>
    <t>-</t>
  </si>
  <si>
    <t>N2</t>
  </si>
  <si>
    <t>glass beads</t>
  </si>
  <si>
    <t>--</t>
  </si>
  <si>
    <t>wet</t>
  </si>
  <si>
    <t>DeSisto et al., Energy Fuels, 2010</t>
  </si>
  <si>
    <t>As temperature increases, gas yield increases while the char yield decreases. The oil yield increases to an optimal then decreases</t>
  </si>
  <si>
    <t xml:space="preserve">As feeding rate decreases, the oil and char yield decreases, while the gas yield increases </t>
  </si>
  <si>
    <t>Tubular Reactor</t>
  </si>
  <si>
    <t>dry</t>
  </si>
  <si>
    <t>Ningbo et al., JAAP, 2015</t>
  </si>
  <si>
    <t>Ningbo et al., JAAP,2015</t>
  </si>
  <si>
    <t xml:space="preserve">As feeding rate decreases, the oil yield increases to an optimal then decreases again, while the char yield decreases and the gas yiled increases </t>
  </si>
  <si>
    <t>Ar</t>
  </si>
  <si>
    <t>Wang et al., JAAP, 2017</t>
  </si>
  <si>
    <t>Ar yields more oil that H2 does at a specific temperature, H2 yields more gas and less char than Ar at a specific temperature</t>
  </si>
  <si>
    <t>H2</t>
  </si>
  <si>
    <t>HMF 0.68 area%</t>
  </si>
  <si>
    <t>Microwave pyrolysis reactor</t>
  </si>
  <si>
    <t>Wang et al., Bioresources, 2009</t>
  </si>
  <si>
    <t>silica sand</t>
  </si>
  <si>
    <t>Mei et al., Energy Fuels, 2016</t>
  </si>
  <si>
    <t xml:space="preserve"> As the Hot vapor filtiration temperature increases, the oil and char yield decreases, while the gas yield increases</t>
  </si>
  <si>
    <t>Batch Reactor</t>
  </si>
  <si>
    <t>Muley et al., ECAM, 2016</t>
  </si>
  <si>
    <t>Radiata Pine Sawdust</t>
  </si>
  <si>
    <t xml:space="preserve">emery </t>
  </si>
  <si>
    <t>Park et al., FPT, 2008</t>
  </si>
  <si>
    <t>The smaller particle sizes contributes to high-quality bio-oil</t>
  </si>
  <si>
    <t>HMF 1.1 area%</t>
  </si>
  <si>
    <t>Area Peak%</t>
  </si>
  <si>
    <t>Park et al., ACBE, 2010</t>
  </si>
  <si>
    <t>Fixed Bed Reactor</t>
  </si>
  <si>
    <t>&lt;0.125</t>
  </si>
  <si>
    <t>Song et al., Bioresource Tech, 2014</t>
  </si>
  <si>
    <t xml:space="preserve">Pine Wood </t>
  </si>
  <si>
    <t>&lt;1</t>
  </si>
  <si>
    <t>Bosong et al., Fuel, 2014</t>
  </si>
  <si>
    <t>Huang et al.,JAAP,2014</t>
  </si>
  <si>
    <t>Relative content%</t>
  </si>
  <si>
    <t>Huang et al.,Fuel,2015</t>
  </si>
  <si>
    <t>Fludized Bed</t>
  </si>
  <si>
    <t>&lt;1.5</t>
  </si>
  <si>
    <t>sand</t>
  </si>
  <si>
    <t>Case et al.,Bioresource Technology,2014</t>
  </si>
  <si>
    <t>Concentration (microgram/gram)</t>
  </si>
  <si>
    <t>Nokkosmaki et al., JAAP, 1999</t>
  </si>
  <si>
    <t>Wei et al., FPT, 2006</t>
  </si>
  <si>
    <t>As the temperature increases, the gas yeild increases while both, the char and the oil yield decrease</t>
  </si>
  <si>
    <t>As the particle size decreases, the gas yeild increase while both, the char and the oil yield decrease</t>
  </si>
  <si>
    <t>&lt;0.1</t>
  </si>
  <si>
    <t>As the steam feeding rating increases, the gas yield increases, while the oil and char yield slightly decreases</t>
  </si>
  <si>
    <t>Semi-batch Reactor</t>
  </si>
  <si>
    <t>Mishra et al., MSET,2018</t>
  </si>
  <si>
    <t xml:space="preserve">The most optimal parameters with 500C temp and 0.5mm particle size (Relative content%), the oil yield is highest while char yield is the lowest </t>
  </si>
  <si>
    <t>Park et al., J. Ind. Eng. Chem,2007</t>
  </si>
  <si>
    <t>The optimal temperature for bio-fuel yield is 475 C</t>
  </si>
  <si>
    <t>Spouted Bed</t>
  </si>
  <si>
    <t>N2,H2,air</t>
  </si>
  <si>
    <t>Arregi et al., ECM,2017</t>
  </si>
  <si>
    <t xml:space="preserve">Fixed bed </t>
  </si>
  <si>
    <t>Zhou et al.,Science Direct,2018</t>
  </si>
  <si>
    <t>Aromatic hydrocarbons yield increases as pyrolysis temperature increases</t>
  </si>
  <si>
    <t>Berrueco et al., Thermal Science,2004</t>
  </si>
  <si>
    <t>Moghtaderi et al., Fuel,2003</t>
  </si>
  <si>
    <t>Tubular reactor</t>
  </si>
  <si>
    <t>Wang et al., Bioresources,2013</t>
  </si>
  <si>
    <t>The most optimal temperature for fast pyrolysis bio-oil yield is 550 C/ HMF 0.5 area%</t>
  </si>
  <si>
    <t>Mei et al., J Energy Inst, 2016</t>
  </si>
  <si>
    <t>Ying et al., ECM,2012</t>
  </si>
  <si>
    <t>Lee et al., JMCWM,2018</t>
  </si>
  <si>
    <t>Zheng et al., Waste Management, 2006</t>
  </si>
  <si>
    <t>Moore et al., JAAP, 2015</t>
  </si>
  <si>
    <t>Area Peak</t>
  </si>
  <si>
    <t xml:space="preserve"> Fixed Bed</t>
  </si>
  <si>
    <t>Bertero et al., Energy&amp;Fuels,2011</t>
  </si>
  <si>
    <t>Liang el al., Bioresource Tech,2019</t>
  </si>
  <si>
    <t>Chai et al., J Energy Ins,2019</t>
  </si>
  <si>
    <t>Garcia et al., Ind.Eng.Chem.Res,1998</t>
  </si>
  <si>
    <t xml:space="preserve">Fixed Bed </t>
  </si>
  <si>
    <t>&lt;0.5</t>
  </si>
  <si>
    <t>Liu et al., Asia-Pacific J Che Eng,2020</t>
  </si>
  <si>
    <t>Ming et al., Energy,2016</t>
  </si>
  <si>
    <t xml:space="preserve">The sugar is levoglucosan </t>
  </si>
  <si>
    <t xml:space="preserve">Fast microwave Assisted pyrolysis </t>
  </si>
  <si>
    <t>Borges et al., Bioresource Tech,2014</t>
  </si>
  <si>
    <t>Xue et al., Environmental Prog&amp;Sustainable Energy,2019</t>
  </si>
  <si>
    <t>&lt;2</t>
  </si>
  <si>
    <t>Oasmaa et al., Energy&amp;fuels,2009</t>
  </si>
  <si>
    <t xml:space="preserve">Spouted bed </t>
  </si>
  <si>
    <t xml:space="preserve"> N2</t>
  </si>
  <si>
    <t>Amutio et al., Resources,Conservation &amp;Recycling,2012</t>
  </si>
  <si>
    <t>Kang et al.,JAAP ,2006</t>
  </si>
  <si>
    <t>Olazar et al., Reactors,Kinetics&amp;Catalysis,2000</t>
  </si>
  <si>
    <t>Zhu et al.,International Journal of Hudrogen Energy,2018</t>
  </si>
  <si>
    <t>Chen et al., Energy Conversion&amp;Management,2003</t>
  </si>
  <si>
    <t>-.</t>
  </si>
  <si>
    <t>Zheng et al., JAAP,2018</t>
  </si>
  <si>
    <t>Pine trees</t>
  </si>
  <si>
    <t>Kim et al., Bioresource Technology,2010</t>
  </si>
  <si>
    <t>Pine wood</t>
  </si>
  <si>
    <t>Yildiz et al., Applied Catalysis B:Environmental, 2014</t>
  </si>
  <si>
    <t>w% on feed basis</t>
  </si>
  <si>
    <t>Pine Bark</t>
  </si>
  <si>
    <t>Gungor et al., JAAP, 2012</t>
  </si>
  <si>
    <t>Pine Wood</t>
  </si>
  <si>
    <t>Wang et al., Fuel Processing Tech,2010</t>
  </si>
  <si>
    <t>Westerhof et al., Energy &amp;Fuels, 2012</t>
  </si>
  <si>
    <t>Pine Cone</t>
  </si>
  <si>
    <t>Semi-Batch Reactor</t>
  </si>
  <si>
    <t>Brebu et al., Fuels, 2010</t>
  </si>
  <si>
    <t>Peak Area %</t>
  </si>
  <si>
    <t xml:space="preserve">Microwave </t>
  </si>
  <si>
    <t>Chen et al., JAAP,2008</t>
  </si>
  <si>
    <t xml:space="preserve">Pitch pine </t>
  </si>
  <si>
    <t>Tran et al., J. Ind. Eng. Chem, 2021</t>
  </si>
  <si>
    <t>Teak Sawdust</t>
  </si>
  <si>
    <t>Gupta et al., Waste Management,2019</t>
  </si>
  <si>
    <t>Wave numbers in cm-1</t>
  </si>
  <si>
    <t>Furniture waste Sawdust</t>
  </si>
  <si>
    <t>Heo et al., Bioresource Tech,2009</t>
  </si>
  <si>
    <t>Product gas</t>
  </si>
  <si>
    <t>Oak Sawdust</t>
  </si>
  <si>
    <t>Sinag et al., JAAP, 2011</t>
  </si>
  <si>
    <t>5HMF (in furans)</t>
  </si>
  <si>
    <t>mg compound/g sawdust</t>
  </si>
  <si>
    <t>Yields (wt%)</t>
  </si>
  <si>
    <t>Reaction Time (s)</t>
  </si>
  <si>
    <t>Cooling Time (s)</t>
  </si>
  <si>
    <t>Liquid (total of 100</t>
  </si>
  <si>
    <t>&gt;45.18</t>
  </si>
  <si>
    <t>&gt;45.19</t>
  </si>
  <si>
    <t>&gt;45.20</t>
  </si>
  <si>
    <t>&gt;45.21</t>
  </si>
  <si>
    <t>&gt;45.22</t>
  </si>
  <si>
    <t>&gt;45.23</t>
  </si>
  <si>
    <t>&gt;45.24</t>
  </si>
  <si>
    <t>&gt;45.25</t>
  </si>
  <si>
    <t>&gt;45.26</t>
  </si>
  <si>
    <t>&gt;45.27</t>
  </si>
  <si>
    <t>Particle Size</t>
  </si>
  <si>
    <t>Temperature</t>
  </si>
  <si>
    <t>y%</t>
  </si>
  <si>
    <t>mm</t>
  </si>
  <si>
    <t>%</t>
  </si>
  <si>
    <t>Co 1</t>
  </si>
  <si>
    <t xml:space="preserve">Co 2 </t>
  </si>
  <si>
    <t>Co 3</t>
  </si>
  <si>
    <t>Co 4</t>
  </si>
  <si>
    <t>16 papers</t>
  </si>
  <si>
    <t>6 papers</t>
  </si>
  <si>
    <t>Liang et al., Bioresource Tech,2019</t>
  </si>
  <si>
    <t>Area Peak%Microwave treatment. No pyrolysis</t>
  </si>
  <si>
    <t>38 points in total</t>
  </si>
  <si>
    <t>Available points 32. total 45 points, 13 points hid</t>
  </si>
  <si>
    <t>59 points in total</t>
  </si>
  <si>
    <t>Feed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</si>
</sst>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161616"/>
      <name val="Arial"/>
      <family val="2"/>
    </font>
    <font>
      <sz val="10"/>
      <color rgb="FF000000"/>
      <name val="Arial"/>
      <family val="2"/>
    </font>
    <font>
      <sz val="10"/>
      <color rgb="FF4472C4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D0D0D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theme="1"/>
      <name val="Arial"/>
      <family val="2"/>
    </font>
    <font>
      <sz val="10"/>
      <color theme="1" tint="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5" borderId="0" xfId="0" applyNumberFormat="1" applyFill="1"/>
    <xf numFmtId="2" fontId="0" fillId="0" borderId="0" xfId="0" applyNumberFormat="1"/>
    <xf numFmtId="2" fontId="1" fillId="5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4" borderId="0" xfId="0" applyFill="1"/>
    <xf numFmtId="0" fontId="5" fillId="0" borderId="0" xfId="0" applyFont="1" applyAlignment="1">
      <alignment wrapText="1"/>
    </xf>
    <xf numFmtId="0" fontId="1" fillId="9" borderId="0" xfId="0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165" fontId="1" fillId="9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0" fontId="5" fillId="0" borderId="0" xfId="0" applyFont="1" applyAlignment="1">
      <alignment horizontal="center" wrapText="1"/>
    </xf>
    <xf numFmtId="2" fontId="1" fillId="9" borderId="2" xfId="0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2" fontId="6" fillId="9" borderId="0" xfId="0" applyNumberFormat="1" applyFont="1" applyFill="1" applyAlignment="1">
      <alignment horizontal="center"/>
    </xf>
    <xf numFmtId="2" fontId="6" fillId="6" borderId="0" xfId="0" applyNumberFormat="1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7" fillId="3" borderId="0" xfId="0" applyFont="1" applyFill="1"/>
    <xf numFmtId="2" fontId="7" fillId="3" borderId="0" xfId="0" applyNumberFormat="1" applyFont="1" applyFill="1"/>
    <xf numFmtId="0" fontId="7" fillId="3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165" fontId="1" fillId="14" borderId="0" xfId="0" applyNumberFormat="1" applyFont="1" applyFill="1" applyAlignment="1">
      <alignment horizontal="center"/>
    </xf>
    <xf numFmtId="0" fontId="8" fillId="0" borderId="0" xfId="0" applyFont="1"/>
    <xf numFmtId="2" fontId="8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3" fillId="16" borderId="0" xfId="0" applyNumberFormat="1" applyFont="1" applyFill="1" applyAlignment="1">
      <alignment horizontal="center"/>
    </xf>
    <xf numFmtId="2" fontId="1" fillId="1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/>
    <xf numFmtId="0" fontId="1" fillId="17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2" fillId="16" borderId="0" xfId="0" applyNumberFormat="1" applyFont="1" applyFill="1" applyAlignment="1">
      <alignment horizontal="center"/>
    </xf>
    <xf numFmtId="2" fontId="14" fillId="16" borderId="0" xfId="0" applyNumberFormat="1" applyFont="1" applyFill="1" applyAlignment="1">
      <alignment horizontal="center"/>
    </xf>
    <xf numFmtId="2" fontId="12" fillId="7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16" borderId="0" xfId="0" applyFont="1" applyFill="1" applyAlignment="1">
      <alignment horizontal="center"/>
    </xf>
    <xf numFmtId="2" fontId="14" fillId="9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4" fillId="15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2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18" borderId="0" xfId="0" applyFont="1" applyFill="1" applyAlignment="1">
      <alignment horizontal="center"/>
    </xf>
    <xf numFmtId="0" fontId="12" fillId="18" borderId="0" xfId="0" applyFont="1" applyFill="1" applyAlignment="1">
      <alignment horizontal="center"/>
    </xf>
    <xf numFmtId="165" fontId="1" fillId="18" borderId="0" xfId="0" applyNumberFormat="1" applyFont="1" applyFill="1" applyAlignment="1">
      <alignment horizontal="center"/>
    </xf>
    <xf numFmtId="2" fontId="1" fillId="18" borderId="0" xfId="0" applyNumberFormat="1" applyFont="1" applyFill="1" applyAlignment="1">
      <alignment horizontal="center"/>
    </xf>
    <xf numFmtId="2" fontId="14" fillId="18" borderId="0" xfId="0" applyNumberFormat="1" applyFont="1" applyFill="1" applyAlignment="1">
      <alignment horizontal="center"/>
    </xf>
    <xf numFmtId="2" fontId="13" fillId="18" borderId="0" xfId="0" applyNumberFormat="1" applyFont="1" applyFill="1" applyAlignment="1">
      <alignment horizontal="center"/>
    </xf>
    <xf numFmtId="2" fontId="12" fillId="18" borderId="0" xfId="0" applyNumberFormat="1" applyFont="1" applyFill="1" applyAlignment="1">
      <alignment horizontal="center"/>
    </xf>
    <xf numFmtId="2" fontId="3" fillId="18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0" fontId="0" fillId="18" borderId="0" xfId="0" applyFill="1"/>
    <xf numFmtId="0" fontId="1" fillId="0" borderId="2" xfId="0" applyFont="1" applyFill="1" applyBorder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0" borderId="0" xfId="0" applyNumberFormat="1" applyFill="1"/>
    <xf numFmtId="0" fontId="1" fillId="18" borderId="0" xfId="0" applyNumberFormat="1" applyFont="1" applyFill="1" applyAlignment="1">
      <alignment horizontal="center"/>
    </xf>
    <xf numFmtId="0" fontId="13" fillId="18" borderId="0" xfId="0" applyNumberFormat="1" applyFont="1" applyFill="1" applyAlignment="1">
      <alignment horizontal="center"/>
    </xf>
    <xf numFmtId="2" fontId="9" fillId="18" borderId="0" xfId="0" applyNumberFormat="1" applyFont="1" applyFill="1" applyAlignment="1">
      <alignment horizontal="center"/>
    </xf>
    <xf numFmtId="2" fontId="2" fillId="18" borderId="0" xfId="0" applyNumberFormat="1" applyFont="1" applyFill="1" applyAlignment="1">
      <alignment horizontal="center"/>
    </xf>
    <xf numFmtId="0" fontId="12" fillId="18" borderId="0" xfId="0" applyNumberFormat="1" applyFont="1" applyFill="1" applyAlignment="1">
      <alignment horizontal="center"/>
    </xf>
    <xf numFmtId="165" fontId="3" fillId="18" borderId="0" xfId="0" applyNumberFormat="1" applyFont="1" applyFill="1" applyAlignment="1">
      <alignment horizontal="center"/>
    </xf>
    <xf numFmtId="0" fontId="7" fillId="18" borderId="0" xfId="0" applyFont="1" applyFill="1"/>
    <xf numFmtId="2" fontId="7" fillId="18" borderId="0" xfId="0" applyNumberFormat="1" applyFont="1" applyFill="1"/>
    <xf numFmtId="0" fontId="3" fillId="18" borderId="0" xfId="0" applyNumberFormat="1" applyFont="1" applyFill="1" applyAlignment="1">
      <alignment horizontal="center"/>
    </xf>
    <xf numFmtId="2" fontId="0" fillId="18" borderId="0" xfId="0" applyNumberFormat="1" applyFill="1"/>
    <xf numFmtId="2" fontId="7" fillId="0" borderId="0" xfId="0" applyNumberFormat="1" applyFont="1" applyFill="1"/>
    <xf numFmtId="0" fontId="7" fillId="0" borderId="0" xfId="0" applyFont="1" applyFill="1"/>
    <xf numFmtId="0" fontId="13" fillId="0" borderId="0" xfId="0" applyNumberFormat="1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2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37"/>
  <sheetViews>
    <sheetView topLeftCell="CA7" zoomScale="85" zoomScaleNormal="85" workbookViewId="0">
      <selection activeCell="C192" sqref="C192"/>
    </sheetView>
  </sheetViews>
  <sheetFormatPr baseColWidth="10" defaultColWidth="9.1640625" defaultRowHeight="13" x14ac:dyDescent="0.15"/>
  <cols>
    <col min="1" max="1" width="21.5" style="1" bestFit="1" customWidth="1"/>
    <col min="2" max="2" width="37.83203125" style="1" bestFit="1" customWidth="1"/>
    <col min="3" max="3" width="14.5" style="1" customWidth="1"/>
    <col min="4" max="4" width="17.83203125" style="1" bestFit="1" customWidth="1"/>
    <col min="5" max="5" width="14.5" style="1" customWidth="1"/>
    <col min="6" max="6" width="15.1640625" style="1" customWidth="1"/>
    <col min="7" max="7" width="22.6640625" style="1" bestFit="1" customWidth="1"/>
    <col min="8" max="8" width="15.1640625" style="3" customWidth="1"/>
    <col min="9" max="9" width="15.1640625" style="1" customWidth="1"/>
    <col min="10" max="10" width="16.5" style="1" bestFit="1" customWidth="1"/>
    <col min="11" max="11" width="15.1640625" style="1" customWidth="1"/>
    <col min="12" max="12" width="20.5" style="1" bestFit="1" customWidth="1"/>
    <col min="13" max="13" width="15.1640625" style="1" customWidth="1"/>
    <col min="14" max="14" width="24.5" style="1" bestFit="1" customWidth="1"/>
    <col min="15" max="15" width="22.5" style="1" bestFit="1" customWidth="1"/>
    <col min="16" max="16" width="24.5" style="1" bestFit="1" customWidth="1"/>
    <col min="17" max="17" width="24.5" style="1" customWidth="1"/>
    <col min="18" max="18" width="22.5" style="1" customWidth="1"/>
    <col min="19" max="19" width="9.6640625" style="54" customWidth="1"/>
    <col min="20" max="20" width="24.5" style="1" bestFit="1" customWidth="1"/>
    <col min="21" max="21" width="24.5" style="1" customWidth="1"/>
    <col min="22" max="22" width="21.83203125" style="1" bestFit="1" customWidth="1"/>
    <col min="23" max="23" width="13.33203125" style="54" bestFit="1" customWidth="1"/>
    <col min="24" max="24" width="18" style="1" bestFit="1" customWidth="1"/>
    <col min="25" max="26" width="18" style="1" customWidth="1"/>
    <col min="27" max="27" width="18" style="54" customWidth="1"/>
    <col min="28" max="28" width="20" style="1" bestFit="1" customWidth="1"/>
    <col min="29" max="29" width="20" style="1" customWidth="1"/>
    <col min="30" max="30" width="13.33203125" style="1" customWidth="1"/>
    <col min="31" max="31" width="9.1640625" style="54"/>
    <col min="32" max="32" width="20.5" style="1" bestFit="1" customWidth="1"/>
    <col min="33" max="33" width="20.5" style="1" customWidth="1"/>
    <col min="34" max="34" width="9.6640625" style="1" bestFit="1" customWidth="1"/>
    <col min="35" max="35" width="9.1640625" style="54"/>
    <col min="36" max="37" width="18.83203125" style="1" customWidth="1"/>
    <col min="38" max="38" width="11.5" style="1" customWidth="1"/>
    <col min="39" max="39" width="9.1640625" style="54"/>
    <col min="40" max="41" width="19" style="1" customWidth="1"/>
    <col min="42" max="42" width="10.83203125" style="1" customWidth="1"/>
    <col min="43" max="43" width="9.1640625" style="54"/>
    <col min="44" max="45" width="19" style="1" customWidth="1"/>
    <col min="46" max="46" width="10.5" style="1" customWidth="1"/>
    <col min="47" max="47" width="9.1640625" style="54"/>
    <col min="48" max="48" width="13" style="54" customWidth="1"/>
    <col min="49" max="49" width="13" style="1" customWidth="1"/>
    <col min="50" max="51" width="22.1640625" style="1" customWidth="1"/>
    <col min="52" max="52" width="8.6640625" style="1" bestFit="1" customWidth="1"/>
    <col min="53" max="53" width="8.6640625" style="1" customWidth="1"/>
    <col min="54" max="57" width="9.1640625" style="1"/>
    <col min="58" max="58" width="17.5" style="1" bestFit="1" customWidth="1"/>
    <col min="59" max="59" width="11.5" style="1" customWidth="1"/>
    <col min="60" max="60" width="9.1640625" style="8"/>
    <col min="61" max="63" width="9.1640625" style="1"/>
    <col min="64" max="64" width="10.6640625" style="8" bestFit="1" customWidth="1"/>
    <col min="65" max="65" width="9.1640625" style="1"/>
    <col min="66" max="67" width="9.1640625" style="8"/>
    <col min="68" max="68" width="9.6640625" style="1" bestFit="1" customWidth="1"/>
    <col min="69" max="69" width="9.1640625" style="1"/>
    <col min="70" max="70" width="19.83203125" style="1" bestFit="1" customWidth="1"/>
    <col min="71" max="74" width="9.1640625" style="1"/>
    <col min="75" max="75" width="11.1640625" style="1" bestFit="1" customWidth="1"/>
    <col min="76" max="76" width="22.5" style="1" bestFit="1" customWidth="1"/>
    <col min="77" max="81" width="22.5" style="1" customWidth="1"/>
    <col min="82" max="82" width="9.1640625" style="1"/>
    <col min="83" max="83" width="5.1640625" style="1" customWidth="1"/>
    <col min="84" max="84" width="49.33203125" style="1" bestFit="1" customWidth="1"/>
    <col min="85" max="85" width="125.5" style="1" bestFit="1" customWidth="1"/>
    <col min="86" max="87" width="9.1640625" style="1"/>
    <col min="88" max="88" width="12.5" style="1" bestFit="1" customWidth="1"/>
    <col min="89" max="89" width="9.83203125" style="1" bestFit="1" customWidth="1"/>
    <col min="90" max="16384" width="9.1640625" style="1"/>
  </cols>
  <sheetData>
    <row r="1" spans="1:89" ht="15" customHeight="1" x14ac:dyDescent="0.1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54"/>
      <c r="AX1" s="54"/>
      <c r="AY1" s="54"/>
      <c r="BB1" s="136" t="s">
        <v>1</v>
      </c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62"/>
      <c r="BX1" s="62"/>
      <c r="BY1" s="62"/>
      <c r="BZ1" s="62"/>
      <c r="CA1" s="62"/>
      <c r="CB1" s="62"/>
      <c r="CC1" s="62"/>
      <c r="CD1" s="62"/>
      <c r="CF1" s="1" t="s">
        <v>2</v>
      </c>
      <c r="CH1" s="1" t="s">
        <v>3</v>
      </c>
      <c r="CJ1" s="1" t="s">
        <v>4</v>
      </c>
      <c r="CK1" s="1" t="s">
        <v>5</v>
      </c>
    </row>
    <row r="2" spans="1:89" ht="15" customHeight="1" x14ac:dyDescent="0.15">
      <c r="A2" s="133" t="s">
        <v>6</v>
      </c>
      <c r="B2" s="133"/>
      <c r="C2" s="60" t="s">
        <v>7</v>
      </c>
      <c r="D2" s="133" t="s">
        <v>8</v>
      </c>
      <c r="E2" s="133" t="s">
        <v>9</v>
      </c>
      <c r="F2" s="60" t="s">
        <v>9</v>
      </c>
      <c r="G2" s="133" t="s">
        <v>10</v>
      </c>
      <c r="H2" s="137" t="s">
        <v>11</v>
      </c>
      <c r="I2" s="133" t="s">
        <v>12</v>
      </c>
      <c r="J2" s="133" t="s">
        <v>13</v>
      </c>
      <c r="K2" s="133" t="s">
        <v>14</v>
      </c>
      <c r="L2" s="133" t="s">
        <v>15</v>
      </c>
      <c r="M2" s="133" t="s">
        <v>16</v>
      </c>
      <c r="N2" s="133" t="s">
        <v>17</v>
      </c>
      <c r="O2" s="133" t="s">
        <v>18</v>
      </c>
      <c r="P2" s="60"/>
      <c r="Q2" s="60"/>
      <c r="R2" s="60"/>
      <c r="S2" s="132" t="s">
        <v>19</v>
      </c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BB2" s="132" t="s">
        <v>20</v>
      </c>
      <c r="BC2" s="132"/>
      <c r="BD2" s="132"/>
      <c r="BI2" s="132" t="s">
        <v>21</v>
      </c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</row>
    <row r="3" spans="1:89" s="2" customFormat="1" ht="14" x14ac:dyDescent="0.15">
      <c r="A3" s="134"/>
      <c r="B3" s="134"/>
      <c r="C3" s="61" t="s">
        <v>22</v>
      </c>
      <c r="D3" s="134"/>
      <c r="E3" s="134"/>
      <c r="F3" s="61" t="s">
        <v>23</v>
      </c>
      <c r="G3" s="134"/>
      <c r="H3" s="138"/>
      <c r="I3" s="134"/>
      <c r="J3" s="134"/>
      <c r="K3" s="134"/>
      <c r="L3" s="134"/>
      <c r="M3" s="134"/>
      <c r="N3" s="134"/>
      <c r="O3" s="134"/>
      <c r="P3" s="61" t="s">
        <v>24</v>
      </c>
      <c r="Q3" s="61" t="s">
        <v>25</v>
      </c>
      <c r="R3" s="61" t="s">
        <v>26</v>
      </c>
      <c r="S3" s="55" t="s">
        <v>27</v>
      </c>
      <c r="T3" s="61" t="s">
        <v>28</v>
      </c>
      <c r="U3" s="61" t="s">
        <v>29</v>
      </c>
      <c r="V3" s="2" t="s">
        <v>30</v>
      </c>
      <c r="W3" s="55" t="s">
        <v>31</v>
      </c>
      <c r="X3" s="2" t="s">
        <v>32</v>
      </c>
      <c r="Y3" s="2" t="s">
        <v>33</v>
      </c>
      <c r="Z3" s="2" t="s">
        <v>34</v>
      </c>
      <c r="AA3" s="55" t="s">
        <v>35</v>
      </c>
      <c r="AB3" s="61" t="s">
        <v>36</v>
      </c>
      <c r="AC3" s="61" t="s">
        <v>37</v>
      </c>
      <c r="AD3" s="2" t="s">
        <v>38</v>
      </c>
      <c r="AE3" s="55" t="s">
        <v>39</v>
      </c>
      <c r="AF3" s="2" t="s">
        <v>40</v>
      </c>
      <c r="AG3" s="2" t="s">
        <v>41</v>
      </c>
      <c r="AH3" s="2" t="s">
        <v>42</v>
      </c>
      <c r="AI3" s="55" t="s">
        <v>43</v>
      </c>
      <c r="AJ3" s="27" t="s">
        <v>44</v>
      </c>
      <c r="AK3" s="35" t="s">
        <v>45</v>
      </c>
      <c r="AL3" s="27" t="s">
        <v>46</v>
      </c>
      <c r="AM3" s="55" t="s">
        <v>47</v>
      </c>
      <c r="AN3" s="27" t="s">
        <v>48</v>
      </c>
      <c r="AO3" s="35" t="s">
        <v>49</v>
      </c>
      <c r="AP3" s="27" t="s">
        <v>50</v>
      </c>
      <c r="AQ3" s="55" t="s">
        <v>51</v>
      </c>
      <c r="AR3" s="27" t="s">
        <v>52</v>
      </c>
      <c r="AS3" s="35" t="s">
        <v>53</v>
      </c>
      <c r="AT3" s="2" t="s">
        <v>54</v>
      </c>
      <c r="AU3" s="55" t="s">
        <v>55</v>
      </c>
      <c r="AV3" s="55" t="s">
        <v>56</v>
      </c>
      <c r="AW3" s="2" t="s">
        <v>57</v>
      </c>
      <c r="AX3" s="27" t="s">
        <v>58</v>
      </c>
      <c r="AY3" s="35" t="s">
        <v>59</v>
      </c>
      <c r="BA3" s="2" t="s">
        <v>60</v>
      </c>
      <c r="BB3" s="2" t="s">
        <v>61</v>
      </c>
      <c r="BC3" s="2" t="s">
        <v>62</v>
      </c>
      <c r="BD3" s="2" t="s">
        <v>63</v>
      </c>
      <c r="BE3" s="2" t="s">
        <v>64</v>
      </c>
      <c r="BF3" s="2" t="s">
        <v>65</v>
      </c>
      <c r="BH3" s="9" t="s">
        <v>66</v>
      </c>
      <c r="BI3" s="6" t="s">
        <v>67</v>
      </c>
      <c r="BJ3" s="6" t="s">
        <v>68</v>
      </c>
      <c r="BK3" s="6" t="s">
        <v>69</v>
      </c>
      <c r="BL3" s="9" t="s">
        <v>70</v>
      </c>
      <c r="BM3" s="2" t="s">
        <v>71</v>
      </c>
      <c r="BN3" s="9" t="s">
        <v>72</v>
      </c>
      <c r="BO3" s="9" t="s">
        <v>73</v>
      </c>
      <c r="BP3" s="2" t="s">
        <v>74</v>
      </c>
      <c r="BQ3" s="2" t="s">
        <v>75</v>
      </c>
      <c r="BR3" s="2" t="s">
        <v>76</v>
      </c>
      <c r="BS3" s="2" t="s">
        <v>77</v>
      </c>
      <c r="BT3" s="2" t="s">
        <v>78</v>
      </c>
      <c r="BU3" s="2" t="s">
        <v>79</v>
      </c>
      <c r="BV3" s="2" t="s">
        <v>80</v>
      </c>
      <c r="BW3" s="2" t="s">
        <v>81</v>
      </c>
      <c r="BX3" s="2" t="s">
        <v>82</v>
      </c>
      <c r="BY3" s="2" t="s">
        <v>83</v>
      </c>
      <c r="BZ3" s="2" t="s">
        <v>84</v>
      </c>
      <c r="CA3" s="2" t="s">
        <v>85</v>
      </c>
      <c r="CB3" s="2" t="s">
        <v>86</v>
      </c>
      <c r="CC3" s="2" t="s">
        <v>87</v>
      </c>
      <c r="CD3" s="2" t="s">
        <v>88</v>
      </c>
      <c r="CG3" s="2" t="s">
        <v>89</v>
      </c>
    </row>
    <row r="4" spans="1:89" s="29" customFormat="1" ht="15.75" customHeight="1" x14ac:dyDescent="0.15">
      <c r="A4" s="29" t="s">
        <v>90</v>
      </c>
      <c r="B4" s="29" t="s">
        <v>91</v>
      </c>
      <c r="C4" s="29">
        <v>40</v>
      </c>
      <c r="D4" s="29" t="s">
        <v>92</v>
      </c>
      <c r="E4" s="29" t="s">
        <v>93</v>
      </c>
      <c r="F4" s="29">
        <v>13</v>
      </c>
      <c r="G4" s="29">
        <f t="shared" ref="G4:G9" si="0">((C4/1000)/(F4))*60</f>
        <v>0.18461538461538463</v>
      </c>
      <c r="H4" s="36">
        <v>400</v>
      </c>
      <c r="I4" s="29" t="s">
        <v>92</v>
      </c>
      <c r="J4" s="29">
        <v>0.42</v>
      </c>
      <c r="K4" s="28" t="s">
        <v>94</v>
      </c>
      <c r="L4" s="28">
        <f t="shared" ref="L4:L9" si="1">(0.4+0.25)/2</f>
        <v>0.32500000000000001</v>
      </c>
      <c r="M4" s="29">
        <v>1</v>
      </c>
      <c r="N4" s="29" t="s">
        <v>92</v>
      </c>
      <c r="O4" s="29" t="s">
        <v>92</v>
      </c>
      <c r="P4" s="29">
        <f>_xlfn.STDEV.P(S4,S10,S20,S30,S36,S42,S45,S55,S57,S59,S62,S63,S64,S66,S80,S89,S91,S93,S98,S101,S104,S105,S106,S110,S113,S114,S119,S120,S124,S130,S133,S134,S135,S139,S147,S148,S151,S152,S167,S168,S181,S186,S188)</f>
        <v>2.4270106828186711</v>
      </c>
      <c r="Q4" s="29">
        <f>P4/R4</f>
        <v>0.31302177372886281</v>
      </c>
      <c r="R4" s="29">
        <f>(S4+S10+S30+S36+S42+S45+S55+S59+S63+S64+S66+S80+S89+S147+S148+S91+S57+S93+S98+S101+S104+S105+S106+S110+S113+S114+S119+S120+S124+S130+S133+S134+S135+S139+S151+S152+S167+S168+S181+S186+S62+S20+S188)/43</f>
        <v>7.753488372093023</v>
      </c>
      <c r="S4" s="56">
        <f t="shared" ref="S4:S9" si="2">(10+13)/2</f>
        <v>11.5</v>
      </c>
      <c r="T4" s="29">
        <f>_xlfn.STDEV.P(W10,W20,W30,W36,W42,W45,W55,W57,W66,W80,W89,W91,W93,W98,W101,W104,W105,W106,W110,W113,W118,W119,W122,W124,W130,W133,W134,W135,W139,W144,W147,W148,W151,W167,W168,W187)</f>
        <v>7.1908842059638438</v>
      </c>
      <c r="U4" s="29">
        <f>T4/V4</f>
        <v>8.8724926710753493E-2</v>
      </c>
      <c r="V4" s="29">
        <f>(W10+W30+W36+W42+W45+W55+W66+W80+W89+W20+W91+W93+W57+W147+W148+W98+W101+W104+W105+W106+W110+W113+W118+W119+W122+W124+W130+W133+W134+W135+W139+W144+W151+W167+W168+W187)/36</f>
        <v>81.046944444444449</v>
      </c>
      <c r="W4" s="56" t="s">
        <v>95</v>
      </c>
      <c r="X4" s="29">
        <f>_xlfn.STDEV.P(AA10,AA20,AA30,AA36,AA42,AA56,AA59,AA66,AA79,AA92,AA96,AA101,AA105,AA106,AA107,AA113,AA118,AA119,AA124,AA133,AA134,AA139,AA147,AA148,AA151,AA167,AA168,AA186,AA188)</f>
        <v>0.2101213284071973</v>
      </c>
      <c r="Y4" s="29">
        <f>X4/Z4</f>
        <v>1.3410031962607225</v>
      </c>
      <c r="Z4" s="29">
        <f>AVERAGE(AA10,AA20,AA30,AA36,AA42,AA56,AA59,AA66,AA79,AA92,AA96,AA101,AA105,AA106,AA107,AA113,AA118,AA119,AA124,AA133,AA134,AA139,AA147,AA148,AA151,AA167,AA168,AA186,AA188)</f>
        <v>0.15668965517241376</v>
      </c>
      <c r="AA4" s="56" t="s">
        <v>92</v>
      </c>
      <c r="AB4" s="29">
        <f>_xlfn.STDEV.P(AE4,AE10,AE20,AE30,AE36,AE42,AE45,AE55,AE57,AE59,AE66,AE80,AE89,AE91,AE93,AE98,AE101,AE104,AE105,AE106,AE110,AE113,AE114,AE118,AE119,AE122,AE124,AE130,AE133,AE134,AE135,AE139,AE144,AE147,AE148,AE151,AE152,AE167,AE168,AE176,AE186,AE187,AE188)</f>
        <v>1.6042738926233053</v>
      </c>
      <c r="AC4" s="29">
        <f>AB4/AD4</f>
        <v>1.2709109855156162</v>
      </c>
      <c r="AD4" s="29">
        <f>(AE4+AE10+AE30+AE36+AE42+AE45+AE55+AE59+AE66+AE80+AE89+AE20+AE57+AE147+AE148+AE91+AE93+AE98+AE101+AE104+AE105+AE106+AE110+AE113+AE114+AE118+AE119+AE122+AE124+AE130+AE133+AE134+AE135+AE139+AE144+AE151+AE152+AE167+AE168+AE176+AE186+AE187+AE188)/43</f>
        <v>1.2623023255813952</v>
      </c>
      <c r="AE4" s="56">
        <v>0.309</v>
      </c>
      <c r="AF4" s="29">
        <f>_xlfn.STDEV.P(AI4,AI10,AI20,AI30,AI36,AI42,AI45,AI55,AI57,AI59,AI62,AI63,AI64,AI65,AI66,AI80,AI89,AI91,AI93,AI98,AI101,AI104,AI105,AI106,AI107,AI113,AI114,AI118,AI119,AI120,AI122,AI124,AI130,AI133,AI134,AI135,AI139,AI144,AI147,AI148,AI151,AI152,AI167,AI168,AI176,AI186,AI187,AI188)</f>
        <v>5.197059520509848</v>
      </c>
      <c r="AG4" s="29">
        <f>AF4/AH4</f>
        <v>0.11009106053688843</v>
      </c>
      <c r="AH4" s="29">
        <f>(AI4+AI10+AI20+AI30+AI36+AI42+AI45+AI55+AI57+AI59+AI62+AI63+AI64+AI65+AI66+AI80+AI89+AI91+AI93+AI98+AI101+AI104+AI105+AI106+AI107+AI113+AI114+AI118+AI119+AI120+AI122+AI124+AI130+AI133+AI134+AI135+AI139+AI144+AI147+AI148+AI151+AI152+AI167+AI168+AI176+AI186+AI187+AI188)/48</f>
        <v>47.206916666666672</v>
      </c>
      <c r="AI4" s="56">
        <v>45.1</v>
      </c>
      <c r="AJ4" s="29">
        <f>_xlfn.STDEV.P(AM4,AM10,AM20,AM30,AM36,AM42,AM45,AM55,AM57,AM59,AM62,AM63,AM64,AM65,AM66,AM80,AM89,AM91,AM93,AM98,AM101,AM104,AM105,AM106,AM107,AM113,AM114,AM118,AM119,AM120,AM122,AM124,AM130,AM133,AM134,AM135,AM139,AM144,AM147,AM148,AM151,AM152,AM167,AM168,AM176,AM186,AM188)</f>
        <v>0.62489321496085992</v>
      </c>
      <c r="AK4" s="29">
        <f>AJ4/AL4</f>
        <v>0.10017456752377456</v>
      </c>
      <c r="AL4" s="29">
        <f>(AM4+AM10+AM20+AM30+AM36+AM42+AM45+AM55+AM57+AM59+AM62+AM63+AM64+AM65+AM66+AM80+AM89+AM91+AM93+AM98+AM101+AM104+AM105+AM106+AM107+AM113+AM114+AM118+AM119+AM120+AM122+AM124+AM130+AM133+AM134+AM135+AM139+AM144+AM147+AM148+AM151+AM152+AM167+AM168+AM176+AM186+AM188)/47</f>
        <v>6.23804255319149</v>
      </c>
      <c r="AM4" s="56">
        <v>6.8</v>
      </c>
      <c r="AN4" s="29">
        <f>_xlfn.STDEV.P(AQ4,AQ10,AQ20,AQ30,AQ36,AQ42,AQ45,AQ55,AQ57,AQ59,AQ62,AQ63,AQ65,AQ66,AQ80,AQ89,AQ91,AQ93,AQ98,AQ101,AQ104,AQ105,AQ106,AQ107,AQ113,AQ114,AQ118,AQ119,AQ120,AQ122,AQ124,AQ130,AQ133,AQ134,AQ135,AQ139,AQ144,AQ147,AQ148,AQ151,AQ167,AQ168,AQ176,AQ186,AQ188)</f>
        <v>0.58291258307414573</v>
      </c>
      <c r="AO4" s="29">
        <f>AN4/AP4</f>
        <v>1.7103127233707087</v>
      </c>
      <c r="AP4" s="29">
        <f>(AQ4+AQ10+AQ20+AQ30+AQ36+AQ42+AQ45+AQ55+AQ57+AQ59+AQ62+AQ63+AQ65+AQ66+AQ80+AQ89+AQ91+AQ93+AQ98+AQ101+AQ104+AQ105+AQ106+AQ107+AQ113+AQ114+AQ118+AQ119+AQ120+AQ122+AQ124+AQ130+AQ133+AQ135+AQ134+AQ139+AQ144+AQ147+AQ148+AQ151+AQ167+AQ168+AQ176+AQ186+AQ188)/45</f>
        <v>0.34082222222222219</v>
      </c>
      <c r="AQ4" s="56">
        <v>0.4</v>
      </c>
      <c r="AR4" s="29">
        <f>_xlfn.STDEV.P(AU4,AU10,AU20,AU30,AU36,AU42,AU45,AU55,AU57,AU59,AU62,AU63,AU64,AU65,AU66,AU80,AU89,AU91,AU93,AU98,AU101,AU104,AU105,AU106,AU107,AU113,AU114,AU118,AU119,AU120,AU122,AU124,AU130,AU133,AU134,AU135,AU139,AU144,AU147,AU148,AU151,AU152,AU167,AU168,AU186,AU188)</f>
        <v>3.4333238228558924</v>
      </c>
      <c r="AS4" s="29">
        <f>AR4/AT4</f>
        <v>7.7048931175520335E-2</v>
      </c>
      <c r="AT4" s="29">
        <f>(AU4+AU10+AU20+AU30+AU36+AU42+AU45+AU55+AU57+AU59+AU62+AU63+AU64+AU65+AU66+AU80+AU89+AU91+AU93+AU98+AU101+AU104+AU105+AU106+AU107+AU113+AU114+AU118+AU119+AU120+AU122+AU124+AU130+AU133+AU134+AU135+AU139+AU144+AU147+AU148+AU151+AU152+AU167+AU168+AU186+AU188)/46</f>
        <v>44.560304347826097</v>
      </c>
      <c r="AU4" s="56">
        <v>48.1</v>
      </c>
      <c r="AV4" s="56">
        <v>18.07</v>
      </c>
      <c r="AW4" s="29">
        <f>(AV4+AV10+AV30+AV36+AV62+AV63+AV80+AV91+AV148+AV98+AV105+AV106+AV107+AV110+AV114+AV119+AV124+AV134+AV135+AV139+AV151+AV152+AV167+AV168+AV188)/25</f>
        <v>18.411359999999998</v>
      </c>
      <c r="AX4" s="29">
        <f>_xlfn.STDEV.P(AV4,AV10,AV30,AV36,AV62,AV63,AV80,AV91,AV98,AV105,AV106,AV107,AV110,AV114,AV119,AV124,AV134,AV135,AV139,AV148,AV151,AV152,AV167,AV168,AV188)</f>
        <v>1.37315213665493</v>
      </c>
      <c r="AY4" s="29">
        <f>AX4/AW4</f>
        <v>7.4581787366871877E-2</v>
      </c>
      <c r="AZ4" s="29">
        <f t="shared" ref="AZ4:AZ10" si="3">BB4+BC4+BD4</f>
        <v>100</v>
      </c>
      <c r="BA4" s="29">
        <f t="shared" ref="BA4:BA68" si="4">100-AZ4</f>
        <v>0</v>
      </c>
      <c r="BB4" s="29">
        <v>52</v>
      </c>
      <c r="BC4" s="29">
        <v>19</v>
      </c>
      <c r="BD4" s="29">
        <v>29</v>
      </c>
      <c r="BE4" s="29" t="s">
        <v>96</v>
      </c>
      <c r="BF4" s="29">
        <f>BB4+BA4</f>
        <v>52</v>
      </c>
      <c r="BH4" s="29">
        <f>BI4+BJ4+BK4</f>
        <v>11.98</v>
      </c>
      <c r="BI4" s="29">
        <v>10.97</v>
      </c>
      <c r="BJ4" s="29">
        <v>0.98</v>
      </c>
      <c r="BK4" s="29">
        <v>0.03</v>
      </c>
      <c r="BL4" s="29" t="s">
        <v>92</v>
      </c>
      <c r="BM4" s="29" t="s">
        <v>92</v>
      </c>
      <c r="BN4" s="29" t="s">
        <v>92</v>
      </c>
      <c r="BO4" s="29">
        <v>0</v>
      </c>
      <c r="BP4" s="29" t="s">
        <v>92</v>
      </c>
      <c r="BQ4" s="29" t="s">
        <v>92</v>
      </c>
      <c r="BR4" s="29" t="s">
        <v>92</v>
      </c>
      <c r="BS4" s="29">
        <v>4.4800000000000004</v>
      </c>
      <c r="BT4" s="29">
        <v>18.010000000000002</v>
      </c>
      <c r="BU4" s="29">
        <v>3.45</v>
      </c>
      <c r="BV4" s="29">
        <v>4.66</v>
      </c>
      <c r="BW4" s="29" t="s">
        <v>92</v>
      </c>
      <c r="BX4" s="29" t="s">
        <v>92</v>
      </c>
      <c r="BY4" s="29" t="s">
        <v>92</v>
      </c>
      <c r="BZ4" s="29" t="s">
        <v>92</v>
      </c>
      <c r="CA4" s="29" t="s">
        <v>92</v>
      </c>
      <c r="CB4" s="29" t="s">
        <v>92</v>
      </c>
      <c r="CC4" s="29" t="s">
        <v>92</v>
      </c>
      <c r="CD4" s="29" t="s">
        <v>92</v>
      </c>
      <c r="CF4" s="29" t="s">
        <v>97</v>
      </c>
    </row>
    <row r="5" spans="1:89" ht="13.5" customHeight="1" x14ac:dyDescent="0.15">
      <c r="A5" s="1" t="s">
        <v>90</v>
      </c>
      <c r="B5" s="1" t="s">
        <v>91</v>
      </c>
      <c r="C5" s="1">
        <v>40</v>
      </c>
      <c r="D5" s="1" t="s">
        <v>92</v>
      </c>
      <c r="E5" s="1" t="s">
        <v>93</v>
      </c>
      <c r="F5" s="1">
        <v>13</v>
      </c>
      <c r="G5" s="1">
        <f t="shared" si="0"/>
        <v>0.18461538461538463</v>
      </c>
      <c r="H5" s="3">
        <v>500</v>
      </c>
      <c r="I5" s="1" t="s">
        <v>92</v>
      </c>
      <c r="J5" s="1">
        <v>0.42</v>
      </c>
      <c r="K5" s="1" t="s">
        <v>94</v>
      </c>
      <c r="L5" s="1">
        <f t="shared" si="1"/>
        <v>0.32500000000000001</v>
      </c>
      <c r="M5" s="5">
        <v>1</v>
      </c>
      <c r="N5" s="5" t="s">
        <v>92</v>
      </c>
      <c r="O5" s="5" t="s">
        <v>92</v>
      </c>
      <c r="P5" s="5"/>
      <c r="Q5" s="5"/>
      <c r="R5" s="5"/>
      <c r="S5" s="54">
        <f t="shared" si="2"/>
        <v>11.5</v>
      </c>
      <c r="W5" s="54" t="s">
        <v>95</v>
      </c>
      <c r="AA5" s="56" t="s">
        <v>92</v>
      </c>
      <c r="AE5" s="54">
        <v>0.309</v>
      </c>
      <c r="AI5" s="54">
        <v>45.1</v>
      </c>
      <c r="AM5" s="54">
        <v>6.8</v>
      </c>
      <c r="AQ5" s="54">
        <v>0.4</v>
      </c>
      <c r="AU5" s="54">
        <v>48.1</v>
      </c>
      <c r="AV5" s="54">
        <v>18.07</v>
      </c>
      <c r="AZ5" s="5">
        <f t="shared" si="3"/>
        <v>100</v>
      </c>
      <c r="BA5" s="5">
        <f t="shared" si="4"/>
        <v>0</v>
      </c>
      <c r="BB5" s="5">
        <v>56</v>
      </c>
      <c r="BC5" s="5">
        <v>12</v>
      </c>
      <c r="BD5" s="5">
        <v>32</v>
      </c>
      <c r="BE5" s="5" t="s">
        <v>96</v>
      </c>
      <c r="BF5" s="5">
        <f t="shared" ref="BF5:BF68" si="5">BB5+BA5</f>
        <v>56</v>
      </c>
      <c r="BG5" s="5"/>
      <c r="BH5" s="10">
        <f>BI5+BJ5+BK5</f>
        <v>13.899999999999999</v>
      </c>
      <c r="BI5" s="3">
        <v>11.77</v>
      </c>
      <c r="BJ5" s="3">
        <v>2.09</v>
      </c>
      <c r="BK5" s="3">
        <v>0.04</v>
      </c>
      <c r="BL5" s="11" t="s">
        <v>92</v>
      </c>
      <c r="BM5" s="3" t="s">
        <v>92</v>
      </c>
      <c r="BN5" s="11" t="s">
        <v>92</v>
      </c>
      <c r="BO5" s="11" t="s">
        <v>92</v>
      </c>
      <c r="BP5" s="3" t="s">
        <v>92</v>
      </c>
      <c r="BQ5" s="3" t="s">
        <v>92</v>
      </c>
      <c r="BR5" s="3" t="s">
        <v>92</v>
      </c>
      <c r="BS5" s="3">
        <v>3.08</v>
      </c>
      <c r="BT5" s="3">
        <v>16.41</v>
      </c>
      <c r="BU5" s="3">
        <v>3.6</v>
      </c>
      <c r="BV5" s="3">
        <v>4.6399999999999997</v>
      </c>
      <c r="BW5" s="3" t="s">
        <v>92</v>
      </c>
      <c r="BX5" s="3" t="s">
        <v>92</v>
      </c>
      <c r="BY5" s="3" t="s">
        <v>92</v>
      </c>
      <c r="BZ5" s="3" t="s">
        <v>92</v>
      </c>
      <c r="CA5" s="3" t="s">
        <v>92</v>
      </c>
      <c r="CB5" s="3" t="s">
        <v>92</v>
      </c>
      <c r="CC5" s="3" t="s">
        <v>92</v>
      </c>
      <c r="CD5" s="3" t="s">
        <v>92</v>
      </c>
      <c r="CF5" s="13" t="s">
        <v>97</v>
      </c>
      <c r="CG5" s="1" t="s">
        <v>98</v>
      </c>
    </row>
    <row r="6" spans="1:89" ht="12" customHeight="1" x14ac:dyDescent="0.15">
      <c r="A6" s="1" t="s">
        <v>90</v>
      </c>
      <c r="B6" s="1" t="s">
        <v>91</v>
      </c>
      <c r="C6" s="1">
        <v>40</v>
      </c>
      <c r="D6" s="1" t="s">
        <v>92</v>
      </c>
      <c r="E6" s="1" t="s">
        <v>93</v>
      </c>
      <c r="F6" s="1">
        <v>13</v>
      </c>
      <c r="G6" s="1">
        <f t="shared" si="0"/>
        <v>0.18461538461538463</v>
      </c>
      <c r="H6" s="3">
        <v>600</v>
      </c>
      <c r="I6" s="1" t="s">
        <v>92</v>
      </c>
      <c r="J6" s="1">
        <v>0.42</v>
      </c>
      <c r="K6" s="1" t="s">
        <v>94</v>
      </c>
      <c r="L6" s="1">
        <f t="shared" si="1"/>
        <v>0.32500000000000001</v>
      </c>
      <c r="M6" s="5">
        <v>1</v>
      </c>
      <c r="N6" s="5" t="s">
        <v>92</v>
      </c>
      <c r="O6" s="5" t="s">
        <v>92</v>
      </c>
      <c r="P6" s="5"/>
      <c r="Q6" s="5"/>
      <c r="R6" s="5"/>
      <c r="S6" s="54">
        <f t="shared" si="2"/>
        <v>11.5</v>
      </c>
      <c r="W6" s="54" t="s">
        <v>95</v>
      </c>
      <c r="AA6" s="56" t="s">
        <v>92</v>
      </c>
      <c r="AE6" s="54">
        <v>0.309</v>
      </c>
      <c r="AI6" s="54">
        <v>45.1</v>
      </c>
      <c r="AM6" s="54">
        <v>6.8</v>
      </c>
      <c r="AQ6" s="54">
        <v>0.4</v>
      </c>
      <c r="AU6" s="54">
        <v>48.1</v>
      </c>
      <c r="AV6" s="54">
        <v>18.07</v>
      </c>
      <c r="AZ6" s="5">
        <f t="shared" si="3"/>
        <v>100</v>
      </c>
      <c r="BA6" s="5">
        <f t="shared" si="4"/>
        <v>0</v>
      </c>
      <c r="BB6" s="5">
        <v>37</v>
      </c>
      <c r="BC6" s="5">
        <v>7</v>
      </c>
      <c r="BD6" s="5">
        <v>56</v>
      </c>
      <c r="BE6" s="5" t="s">
        <v>96</v>
      </c>
      <c r="BF6" s="5">
        <f t="shared" si="5"/>
        <v>37</v>
      </c>
      <c r="BG6" s="5"/>
      <c r="BH6" s="10">
        <f t="shared" ref="BH6:BH69" si="6">BI6+BJ6+BK6</f>
        <v>15.71</v>
      </c>
      <c r="BI6" s="3">
        <v>1.85</v>
      </c>
      <c r="BJ6" s="3">
        <v>13.71</v>
      </c>
      <c r="BK6" s="3">
        <v>0.15</v>
      </c>
      <c r="BL6" s="11" t="s">
        <v>92</v>
      </c>
      <c r="BM6" s="3" t="s">
        <v>92</v>
      </c>
      <c r="BN6" s="11" t="s">
        <v>92</v>
      </c>
      <c r="BO6" s="11" t="s">
        <v>92</v>
      </c>
      <c r="BP6" s="3" t="s">
        <v>92</v>
      </c>
      <c r="BQ6" s="3" t="s">
        <v>92</v>
      </c>
      <c r="BR6" s="3" t="s">
        <v>92</v>
      </c>
      <c r="BS6" s="3">
        <v>2.68</v>
      </c>
      <c r="BT6" s="3">
        <v>28.26</v>
      </c>
      <c r="BU6" s="3">
        <v>1.88</v>
      </c>
      <c r="BV6" s="3">
        <v>3.93</v>
      </c>
      <c r="BW6" s="3" t="s">
        <v>92</v>
      </c>
      <c r="BX6" s="3" t="s">
        <v>92</v>
      </c>
      <c r="BY6" s="3" t="s">
        <v>92</v>
      </c>
      <c r="BZ6" s="3" t="s">
        <v>92</v>
      </c>
      <c r="CA6" s="3" t="s">
        <v>92</v>
      </c>
      <c r="CB6" s="3" t="s">
        <v>92</v>
      </c>
      <c r="CC6" s="3" t="s">
        <v>92</v>
      </c>
      <c r="CD6" s="3" t="s">
        <v>92</v>
      </c>
      <c r="CF6" s="13" t="s">
        <v>97</v>
      </c>
    </row>
    <row r="7" spans="1:89" x14ac:dyDescent="0.15">
      <c r="A7" s="1" t="s">
        <v>90</v>
      </c>
      <c r="B7" s="1" t="s">
        <v>91</v>
      </c>
      <c r="C7" s="1">
        <v>40</v>
      </c>
      <c r="D7" s="1" t="s">
        <v>92</v>
      </c>
      <c r="E7" s="1" t="s">
        <v>93</v>
      </c>
      <c r="F7" s="1">
        <v>13</v>
      </c>
      <c r="G7" s="1">
        <f t="shared" si="0"/>
        <v>0.18461538461538463</v>
      </c>
      <c r="H7" s="3">
        <v>500</v>
      </c>
      <c r="I7" s="1" t="s">
        <v>92</v>
      </c>
      <c r="J7" s="1">
        <v>0.42</v>
      </c>
      <c r="K7" s="1" t="s">
        <v>94</v>
      </c>
      <c r="L7" s="1">
        <f t="shared" si="1"/>
        <v>0.32500000000000001</v>
      </c>
      <c r="M7" s="5">
        <v>2.5</v>
      </c>
      <c r="N7" s="5" t="s">
        <v>92</v>
      </c>
      <c r="O7" s="5" t="s">
        <v>92</v>
      </c>
      <c r="P7" s="5"/>
      <c r="Q7" s="5"/>
      <c r="R7" s="5"/>
      <c r="S7" s="54">
        <f t="shared" si="2"/>
        <v>11.5</v>
      </c>
      <c r="W7" s="54" t="s">
        <v>95</v>
      </c>
      <c r="AA7" s="56" t="s">
        <v>92</v>
      </c>
      <c r="AE7" s="54">
        <v>0.309</v>
      </c>
      <c r="AI7" s="54">
        <v>45.1</v>
      </c>
      <c r="AM7" s="54">
        <v>6.8</v>
      </c>
      <c r="AQ7" s="54">
        <v>0.4</v>
      </c>
      <c r="AU7" s="54">
        <v>48.1</v>
      </c>
      <c r="AV7" s="54">
        <v>18.07</v>
      </c>
      <c r="AZ7" s="5">
        <f t="shared" si="3"/>
        <v>100</v>
      </c>
      <c r="BA7" s="5">
        <f t="shared" si="4"/>
        <v>0</v>
      </c>
      <c r="BB7" s="5">
        <v>66</v>
      </c>
      <c r="BC7" s="5">
        <v>15</v>
      </c>
      <c r="BD7" s="5">
        <v>19</v>
      </c>
      <c r="BE7" s="5" t="s">
        <v>96</v>
      </c>
      <c r="BF7" s="5">
        <f t="shared" si="5"/>
        <v>66</v>
      </c>
      <c r="BG7" s="5"/>
      <c r="BH7" s="10">
        <f t="shared" si="6"/>
        <v>0</v>
      </c>
      <c r="BI7" s="1">
        <v>0</v>
      </c>
      <c r="BJ7" s="1">
        <v>0</v>
      </c>
      <c r="BK7" s="1">
        <v>0</v>
      </c>
      <c r="BL7" s="11" t="s">
        <v>92</v>
      </c>
      <c r="BM7" s="3" t="s">
        <v>92</v>
      </c>
      <c r="BN7" s="11" t="s">
        <v>92</v>
      </c>
      <c r="BO7" s="11" t="s">
        <v>92</v>
      </c>
      <c r="BP7" s="3" t="s">
        <v>92</v>
      </c>
      <c r="BQ7" s="3" t="s">
        <v>92</v>
      </c>
      <c r="BR7" s="3" t="s">
        <v>92</v>
      </c>
      <c r="BS7" s="1" t="s">
        <v>92</v>
      </c>
      <c r="BT7" s="1" t="s">
        <v>92</v>
      </c>
      <c r="BU7" s="1" t="s">
        <v>92</v>
      </c>
      <c r="BV7" s="1" t="s">
        <v>92</v>
      </c>
      <c r="BW7" s="3" t="s">
        <v>92</v>
      </c>
      <c r="BX7" s="3" t="s">
        <v>92</v>
      </c>
      <c r="BY7" s="3" t="s">
        <v>92</v>
      </c>
      <c r="BZ7" s="3" t="s">
        <v>92</v>
      </c>
      <c r="CA7" s="3" t="s">
        <v>92</v>
      </c>
      <c r="CB7" s="3" t="s">
        <v>92</v>
      </c>
      <c r="CC7" s="3" t="s">
        <v>92</v>
      </c>
      <c r="CD7" s="3" t="s">
        <v>92</v>
      </c>
      <c r="CF7" s="13" t="s">
        <v>97</v>
      </c>
      <c r="CG7" s="1" t="s">
        <v>99</v>
      </c>
    </row>
    <row r="8" spans="1:89" x14ac:dyDescent="0.15">
      <c r="A8" s="1" t="s">
        <v>90</v>
      </c>
      <c r="B8" s="1" t="s">
        <v>91</v>
      </c>
      <c r="C8" s="1">
        <v>40</v>
      </c>
      <c r="D8" s="1" t="s">
        <v>92</v>
      </c>
      <c r="E8" s="1" t="s">
        <v>93</v>
      </c>
      <c r="F8" s="1">
        <v>13</v>
      </c>
      <c r="G8" s="1">
        <f t="shared" si="0"/>
        <v>0.18461538461538463</v>
      </c>
      <c r="H8" s="3">
        <v>500</v>
      </c>
      <c r="I8" s="1" t="s">
        <v>92</v>
      </c>
      <c r="J8" s="1">
        <v>0.42</v>
      </c>
      <c r="K8" s="1" t="s">
        <v>94</v>
      </c>
      <c r="L8" s="1">
        <f t="shared" si="1"/>
        <v>0.32500000000000001</v>
      </c>
      <c r="M8" s="5">
        <v>3</v>
      </c>
      <c r="N8" s="5" t="s">
        <v>92</v>
      </c>
      <c r="O8" s="5" t="s">
        <v>92</v>
      </c>
      <c r="P8" s="5"/>
      <c r="Q8" s="5"/>
      <c r="R8" s="5"/>
      <c r="S8" s="54">
        <f t="shared" si="2"/>
        <v>11.5</v>
      </c>
      <c r="W8" s="54" t="s">
        <v>95</v>
      </c>
      <c r="AA8" s="56" t="s">
        <v>92</v>
      </c>
      <c r="AE8" s="54">
        <v>0.309</v>
      </c>
      <c r="AI8" s="54">
        <v>45.1</v>
      </c>
      <c r="AM8" s="54">
        <v>6.8</v>
      </c>
      <c r="AQ8" s="54">
        <v>0.4</v>
      </c>
      <c r="AU8" s="54">
        <v>48.1</v>
      </c>
      <c r="AV8" s="54">
        <v>18.07</v>
      </c>
      <c r="AZ8" s="5">
        <f t="shared" si="3"/>
        <v>100</v>
      </c>
      <c r="BA8" s="5">
        <f t="shared" si="4"/>
        <v>0</v>
      </c>
      <c r="BB8" s="5">
        <v>65</v>
      </c>
      <c r="BC8" s="5">
        <v>16</v>
      </c>
      <c r="BD8" s="5">
        <v>19</v>
      </c>
      <c r="BE8" s="5" t="s">
        <v>96</v>
      </c>
      <c r="BF8" s="5">
        <f t="shared" si="5"/>
        <v>65</v>
      </c>
      <c r="BG8" s="5"/>
      <c r="BH8" s="10">
        <f t="shared" si="6"/>
        <v>0</v>
      </c>
      <c r="BI8" s="1">
        <v>0</v>
      </c>
      <c r="BJ8" s="1">
        <v>0</v>
      </c>
      <c r="BK8" s="1">
        <v>0</v>
      </c>
      <c r="BL8" s="11" t="s">
        <v>92</v>
      </c>
      <c r="BM8" s="3" t="s">
        <v>92</v>
      </c>
      <c r="BN8" s="11" t="s">
        <v>92</v>
      </c>
      <c r="BO8" s="11" t="s">
        <v>92</v>
      </c>
      <c r="BP8" s="3" t="s">
        <v>92</v>
      </c>
      <c r="BQ8" s="3" t="s">
        <v>92</v>
      </c>
      <c r="BR8" s="3" t="s">
        <v>92</v>
      </c>
      <c r="BS8" s="1" t="s">
        <v>92</v>
      </c>
      <c r="BT8" s="1" t="s">
        <v>92</v>
      </c>
      <c r="BU8" s="1" t="s">
        <v>92</v>
      </c>
      <c r="BV8" s="1" t="s">
        <v>92</v>
      </c>
      <c r="BW8" s="3" t="s">
        <v>92</v>
      </c>
      <c r="BX8" s="3" t="s">
        <v>92</v>
      </c>
      <c r="BY8" s="3" t="s">
        <v>92</v>
      </c>
      <c r="BZ8" s="3" t="s">
        <v>92</v>
      </c>
      <c r="CA8" s="3" t="s">
        <v>92</v>
      </c>
      <c r="CB8" s="3" t="s">
        <v>92</v>
      </c>
      <c r="CC8" s="3" t="s">
        <v>92</v>
      </c>
      <c r="CD8" s="3" t="s">
        <v>92</v>
      </c>
      <c r="CF8" s="13" t="s">
        <v>97</v>
      </c>
    </row>
    <row r="9" spans="1:89" x14ac:dyDescent="0.15">
      <c r="A9" s="1" t="s">
        <v>90</v>
      </c>
      <c r="B9" s="1" t="s">
        <v>91</v>
      </c>
      <c r="C9" s="1">
        <v>40</v>
      </c>
      <c r="D9" s="1" t="s">
        <v>92</v>
      </c>
      <c r="E9" s="1" t="s">
        <v>93</v>
      </c>
      <c r="F9" s="1">
        <v>13</v>
      </c>
      <c r="G9" s="1">
        <f t="shared" si="0"/>
        <v>0.18461538461538463</v>
      </c>
      <c r="H9" s="3">
        <v>500</v>
      </c>
      <c r="I9" s="1" t="s">
        <v>92</v>
      </c>
      <c r="J9" s="1">
        <v>0.42</v>
      </c>
      <c r="K9" s="1" t="s">
        <v>94</v>
      </c>
      <c r="L9" s="1">
        <f t="shared" si="1"/>
        <v>0.32500000000000001</v>
      </c>
      <c r="M9" s="5">
        <v>0.9</v>
      </c>
      <c r="N9" s="5" t="s">
        <v>92</v>
      </c>
      <c r="O9" s="5" t="s">
        <v>92</v>
      </c>
      <c r="P9" s="5"/>
      <c r="Q9" s="5"/>
      <c r="R9" s="5"/>
      <c r="S9" s="54">
        <f t="shared" si="2"/>
        <v>11.5</v>
      </c>
      <c r="W9" s="54" t="s">
        <v>95</v>
      </c>
      <c r="AA9" s="56" t="s">
        <v>92</v>
      </c>
      <c r="AE9" s="54">
        <v>0.309</v>
      </c>
      <c r="AI9" s="54">
        <v>45.1</v>
      </c>
      <c r="AM9" s="54">
        <v>6.8</v>
      </c>
      <c r="AQ9" s="54">
        <v>0.4</v>
      </c>
      <c r="AU9" s="54">
        <v>48.1</v>
      </c>
      <c r="AV9" s="54">
        <v>18.07</v>
      </c>
      <c r="AZ9" s="5">
        <f t="shared" si="3"/>
        <v>100</v>
      </c>
      <c r="BA9" s="5">
        <f t="shared" si="4"/>
        <v>0</v>
      </c>
      <c r="BB9" s="5">
        <v>64</v>
      </c>
      <c r="BC9" s="5">
        <v>12</v>
      </c>
      <c r="BD9" s="5">
        <v>24</v>
      </c>
      <c r="BE9" s="5" t="s">
        <v>96</v>
      </c>
      <c r="BF9" s="5">
        <f t="shared" si="5"/>
        <v>64</v>
      </c>
      <c r="BG9" s="5"/>
      <c r="BH9" s="10">
        <f t="shared" si="6"/>
        <v>0</v>
      </c>
      <c r="BI9" s="1">
        <v>0</v>
      </c>
      <c r="BJ9" s="1">
        <v>0</v>
      </c>
      <c r="BK9" s="1">
        <v>0</v>
      </c>
      <c r="BL9" s="11" t="s">
        <v>92</v>
      </c>
      <c r="BM9" s="3" t="s">
        <v>92</v>
      </c>
      <c r="BN9" s="11" t="s">
        <v>92</v>
      </c>
      <c r="BO9" s="11" t="s">
        <v>92</v>
      </c>
      <c r="BP9" s="3" t="s">
        <v>92</v>
      </c>
      <c r="BQ9" s="3" t="s">
        <v>92</v>
      </c>
      <c r="BR9" s="3" t="s">
        <v>92</v>
      </c>
      <c r="BS9" s="1" t="s">
        <v>92</v>
      </c>
      <c r="BT9" s="1" t="s">
        <v>92</v>
      </c>
      <c r="BU9" s="1" t="s">
        <v>92</v>
      </c>
      <c r="BV9" s="1" t="s">
        <v>92</v>
      </c>
      <c r="BW9" s="3" t="s">
        <v>92</v>
      </c>
      <c r="BX9" s="3" t="s">
        <v>92</v>
      </c>
      <c r="BY9" s="3" t="s">
        <v>92</v>
      </c>
      <c r="BZ9" s="3" t="s">
        <v>92</v>
      </c>
      <c r="CA9" s="3" t="s">
        <v>92</v>
      </c>
      <c r="CB9" s="3" t="s">
        <v>92</v>
      </c>
      <c r="CC9" s="3" t="s">
        <v>92</v>
      </c>
      <c r="CD9" s="3" t="s">
        <v>92</v>
      </c>
      <c r="CF9" s="13" t="s">
        <v>97</v>
      </c>
    </row>
    <row r="10" spans="1:89" s="28" customFormat="1" x14ac:dyDescent="0.15">
      <c r="A10" s="28" t="s">
        <v>90</v>
      </c>
      <c r="B10" s="28" t="s">
        <v>100</v>
      </c>
      <c r="C10" s="28" t="s">
        <v>92</v>
      </c>
      <c r="D10" s="28">
        <v>1500</v>
      </c>
      <c r="E10" s="28" t="s">
        <v>93</v>
      </c>
      <c r="F10" s="28">
        <v>0.05</v>
      </c>
      <c r="G10" s="28">
        <v>360</v>
      </c>
      <c r="H10" s="29">
        <v>600</v>
      </c>
      <c r="I10" s="28" t="s">
        <v>92</v>
      </c>
      <c r="J10" s="28">
        <v>1.5</v>
      </c>
      <c r="M10" s="28">
        <v>24.7</v>
      </c>
      <c r="N10" s="31" t="s">
        <v>92</v>
      </c>
      <c r="O10" s="28">
        <v>6</v>
      </c>
      <c r="S10" s="54">
        <v>3.93</v>
      </c>
      <c r="W10" s="54">
        <v>76.849999999999994</v>
      </c>
      <c r="AA10" s="56">
        <v>0.05</v>
      </c>
      <c r="AE10" s="54">
        <v>0.34</v>
      </c>
      <c r="AI10" s="54">
        <v>44.75</v>
      </c>
      <c r="AM10" s="54">
        <v>6.31</v>
      </c>
      <c r="AQ10" s="59">
        <v>1.68</v>
      </c>
      <c r="AR10" s="32"/>
      <c r="AS10" s="32"/>
      <c r="AT10" s="32"/>
      <c r="AU10" s="56">
        <v>42.94</v>
      </c>
      <c r="AV10" s="54">
        <v>18.47</v>
      </c>
      <c r="AZ10" s="31">
        <f t="shared" si="3"/>
        <v>96.2</v>
      </c>
      <c r="BA10" s="31">
        <f>100-AZ10</f>
        <v>3.7999999999999972</v>
      </c>
      <c r="BB10" s="31">
        <v>51.9</v>
      </c>
      <c r="BC10" s="31">
        <v>21.5</v>
      </c>
      <c r="BD10" s="31">
        <v>22.8</v>
      </c>
      <c r="BE10" s="31" t="s">
        <v>101</v>
      </c>
      <c r="BF10" s="31">
        <f t="shared" si="5"/>
        <v>55.699999999999996</v>
      </c>
      <c r="BG10" s="31"/>
      <c r="BH10" s="31">
        <f>(BI10+BJ10+BK10)</f>
        <v>25.517284</v>
      </c>
      <c r="BI10" s="28">
        <v>0</v>
      </c>
      <c r="BJ10" s="28">
        <v>0</v>
      </c>
      <c r="BK10" s="28">
        <f>45.812*0.557</f>
        <v>25.517284</v>
      </c>
      <c r="BL10" s="28">
        <f>25.328*0.557</f>
        <v>14.107696000000001</v>
      </c>
      <c r="BM10" s="29" t="s">
        <v>92</v>
      </c>
      <c r="BN10" s="28">
        <f>14.946*0.557</f>
        <v>8.3249220000000008</v>
      </c>
      <c r="BO10" s="28">
        <f>3.604*0.557</f>
        <v>2.0074280000000004</v>
      </c>
      <c r="BP10" s="28">
        <f>4.113*0.557</f>
        <v>2.2909410000000006</v>
      </c>
      <c r="BQ10" s="29" t="s">
        <v>92</v>
      </c>
      <c r="BR10" s="28">
        <v>0</v>
      </c>
      <c r="BS10" s="28" t="s">
        <v>92</v>
      </c>
      <c r="BT10" s="28" t="s">
        <v>92</v>
      </c>
      <c r="BU10" s="28" t="s">
        <v>92</v>
      </c>
      <c r="BV10" s="28">
        <f>6.197*0.557</f>
        <v>3.4517290000000003</v>
      </c>
      <c r="BW10" s="29" t="s">
        <v>92</v>
      </c>
      <c r="BX10" s="29" t="s">
        <v>92</v>
      </c>
      <c r="BY10" s="29" t="s">
        <v>92</v>
      </c>
      <c r="BZ10" s="29" t="s">
        <v>92</v>
      </c>
      <c r="CA10" s="29" t="s">
        <v>92</v>
      </c>
      <c r="CB10" s="29" t="s">
        <v>92</v>
      </c>
      <c r="CC10" s="29" t="s">
        <v>92</v>
      </c>
      <c r="CD10" s="29" t="s">
        <v>92</v>
      </c>
      <c r="CF10" s="28" t="s">
        <v>102</v>
      </c>
    </row>
    <row r="11" spans="1:89" x14ac:dyDescent="0.15">
      <c r="A11" s="1" t="s">
        <v>90</v>
      </c>
      <c r="B11" s="1" t="s">
        <v>100</v>
      </c>
      <c r="C11" s="1" t="s">
        <v>92</v>
      </c>
      <c r="D11" s="1">
        <v>1500</v>
      </c>
      <c r="E11" s="1" t="s">
        <v>93</v>
      </c>
      <c r="F11" s="1">
        <v>0.05</v>
      </c>
      <c r="G11" s="1">
        <v>360</v>
      </c>
      <c r="H11" s="3">
        <v>700</v>
      </c>
      <c r="I11" s="1" t="s">
        <v>92</v>
      </c>
      <c r="J11" s="1">
        <v>1.5</v>
      </c>
      <c r="M11" s="1">
        <v>24.7</v>
      </c>
      <c r="N11" s="5" t="s">
        <v>92</v>
      </c>
      <c r="O11" s="1">
        <v>6</v>
      </c>
      <c r="S11" s="54">
        <v>3.93</v>
      </c>
      <c r="W11" s="54">
        <v>76.849999999999994</v>
      </c>
      <c r="AA11" s="54">
        <v>0.05</v>
      </c>
      <c r="AE11" s="54">
        <v>0.34</v>
      </c>
      <c r="AI11" s="54">
        <v>44.75</v>
      </c>
      <c r="AM11" s="54">
        <v>6.31</v>
      </c>
      <c r="AQ11" s="59">
        <v>1.68</v>
      </c>
      <c r="AR11" s="4"/>
      <c r="AS11" s="4"/>
      <c r="AT11" s="4"/>
      <c r="AU11" s="56">
        <v>42.94</v>
      </c>
      <c r="AV11" s="54">
        <v>18.47</v>
      </c>
      <c r="AZ11" s="5">
        <f t="shared" ref="AZ11:AZ74" si="7">BB11+BC11+BD11</f>
        <v>95.2</v>
      </c>
      <c r="BA11" s="5">
        <f t="shared" si="4"/>
        <v>4.7999999999999972</v>
      </c>
      <c r="BB11" s="5">
        <v>39.4</v>
      </c>
      <c r="BC11" s="5">
        <v>23.6</v>
      </c>
      <c r="BD11" s="5">
        <v>32.200000000000003</v>
      </c>
      <c r="BE11" s="5" t="s">
        <v>101</v>
      </c>
      <c r="BF11" s="5">
        <f t="shared" si="5"/>
        <v>44.199999999999996</v>
      </c>
      <c r="BG11" s="5"/>
      <c r="BH11" s="10">
        <f t="shared" si="6"/>
        <v>21.535565999999999</v>
      </c>
      <c r="BI11" s="1">
        <v>0</v>
      </c>
      <c r="BJ11" s="1">
        <v>0</v>
      </c>
      <c r="BK11" s="1">
        <f>48.723*BF11/100</f>
        <v>21.535565999999999</v>
      </c>
      <c r="BL11" s="8">
        <f>22.652*BF11/100</f>
        <v>10.012184</v>
      </c>
      <c r="BM11" s="3" t="s">
        <v>92</v>
      </c>
      <c r="BN11" s="8">
        <f>11.24*0.442</f>
        <v>4.9680800000000005</v>
      </c>
      <c r="BO11" s="8">
        <f>3.306*0.442</f>
        <v>1.461252</v>
      </c>
      <c r="BP11" s="1">
        <f>1.621*(BF11/100)</f>
        <v>0.71648199999999995</v>
      </c>
      <c r="BQ11" s="3" t="s">
        <v>92</v>
      </c>
      <c r="BR11" s="1">
        <f>29.852*0.442</f>
        <v>13.194584000000001</v>
      </c>
      <c r="BS11" s="1" t="s">
        <v>92</v>
      </c>
      <c r="BT11" s="1" t="s">
        <v>92</v>
      </c>
      <c r="BU11" s="1" t="s">
        <v>92</v>
      </c>
      <c r="BV11" s="1">
        <f>10.51*0.442</f>
        <v>4.6454199999999997</v>
      </c>
      <c r="BW11" s="3" t="s">
        <v>92</v>
      </c>
      <c r="BX11" s="3" t="s">
        <v>92</v>
      </c>
      <c r="BY11" s="3" t="s">
        <v>92</v>
      </c>
      <c r="BZ11" s="3" t="s">
        <v>92</v>
      </c>
      <c r="CA11" s="3" t="s">
        <v>92</v>
      </c>
      <c r="CB11" s="3" t="s">
        <v>92</v>
      </c>
      <c r="CC11" s="3" t="s">
        <v>92</v>
      </c>
      <c r="CD11" s="3" t="s">
        <v>92</v>
      </c>
      <c r="CF11" s="13" t="s">
        <v>103</v>
      </c>
    </row>
    <row r="12" spans="1:89" x14ac:dyDescent="0.15">
      <c r="A12" s="1" t="s">
        <v>90</v>
      </c>
      <c r="B12" s="1" t="s">
        <v>100</v>
      </c>
      <c r="C12" s="1" t="s">
        <v>92</v>
      </c>
      <c r="D12" s="1">
        <v>1500</v>
      </c>
      <c r="E12" s="1" t="s">
        <v>93</v>
      </c>
      <c r="F12" s="1">
        <v>0.05</v>
      </c>
      <c r="G12" s="1">
        <v>360</v>
      </c>
      <c r="H12" s="3">
        <v>750</v>
      </c>
      <c r="I12" s="1" t="s">
        <v>92</v>
      </c>
      <c r="J12" s="1">
        <v>1.5</v>
      </c>
      <c r="M12" s="1">
        <v>24.7</v>
      </c>
      <c r="N12" s="5" t="s">
        <v>92</v>
      </c>
      <c r="O12" s="1">
        <v>6</v>
      </c>
      <c r="S12" s="54">
        <v>3.93</v>
      </c>
      <c r="W12" s="54">
        <v>76.849999999999994</v>
      </c>
      <c r="AA12" s="54">
        <v>0.05</v>
      </c>
      <c r="AE12" s="54">
        <v>0.34</v>
      </c>
      <c r="AI12" s="54">
        <v>44.75</v>
      </c>
      <c r="AM12" s="54">
        <v>6.31</v>
      </c>
      <c r="AQ12" s="59">
        <v>1.68</v>
      </c>
      <c r="AR12" s="4"/>
      <c r="AS12" s="4"/>
      <c r="AT12" s="4"/>
      <c r="AU12" s="56">
        <v>42.94</v>
      </c>
      <c r="AV12" s="54">
        <v>18.47</v>
      </c>
      <c r="AZ12" s="5">
        <f t="shared" si="7"/>
        <v>93.9</v>
      </c>
      <c r="BA12" s="5">
        <f t="shared" si="4"/>
        <v>6.0999999999999943</v>
      </c>
      <c r="BB12" s="5">
        <f>70.9-BD12</f>
        <v>32.400000000000006</v>
      </c>
      <c r="BC12" s="5">
        <v>23</v>
      </c>
      <c r="BD12" s="5">
        <v>38.5</v>
      </c>
      <c r="BE12" s="5" t="s">
        <v>101</v>
      </c>
      <c r="BF12" s="5">
        <f t="shared" si="5"/>
        <v>38.5</v>
      </c>
      <c r="BG12" s="5"/>
      <c r="BH12" s="10">
        <f t="shared" si="6"/>
        <v>18.899650000000001</v>
      </c>
      <c r="BI12" s="1">
        <v>0</v>
      </c>
      <c r="BJ12" s="1">
        <v>0</v>
      </c>
      <c r="BK12" s="1">
        <f>49.09*0.385</f>
        <v>18.899650000000001</v>
      </c>
      <c r="BL12" s="8">
        <f>15.425*BF12/100</f>
        <v>5.9386250000000009</v>
      </c>
      <c r="BM12" s="3" t="s">
        <v>92</v>
      </c>
      <c r="BN12" s="8">
        <f>4.814*BF12/100</f>
        <v>1.8533900000000001</v>
      </c>
      <c r="BO12" s="8">
        <f>0.631*BF12/100</f>
        <v>0.24293500000000001</v>
      </c>
      <c r="BP12" s="1">
        <f>1.864*BF12/100</f>
        <v>0.71764000000000006</v>
      </c>
      <c r="BQ12" s="3" t="s">
        <v>92</v>
      </c>
      <c r="BR12" s="1">
        <f>15.62*BF12/100</f>
        <v>6.0137</v>
      </c>
      <c r="BS12" s="1" t="s">
        <v>92</v>
      </c>
      <c r="BT12" s="1" t="s">
        <v>92</v>
      </c>
      <c r="BU12" s="1" t="s">
        <v>92</v>
      </c>
      <c r="BV12" s="1">
        <f>11.2*BF12/100</f>
        <v>4.3120000000000003</v>
      </c>
      <c r="BW12" s="3" t="s">
        <v>92</v>
      </c>
      <c r="BX12" s="3" t="s">
        <v>92</v>
      </c>
      <c r="BY12" s="3" t="s">
        <v>92</v>
      </c>
      <c r="BZ12" s="3" t="s">
        <v>92</v>
      </c>
      <c r="CA12" s="3" t="s">
        <v>92</v>
      </c>
      <c r="CB12" s="3" t="s">
        <v>92</v>
      </c>
      <c r="CC12" s="3" t="s">
        <v>92</v>
      </c>
      <c r="CD12" s="3" t="s">
        <v>92</v>
      </c>
      <c r="CF12" s="13" t="s">
        <v>102</v>
      </c>
    </row>
    <row r="13" spans="1:89" x14ac:dyDescent="0.15">
      <c r="A13" s="1" t="s">
        <v>90</v>
      </c>
      <c r="B13" s="1" t="s">
        <v>100</v>
      </c>
      <c r="C13" s="1" t="s">
        <v>92</v>
      </c>
      <c r="D13" s="1">
        <v>1500</v>
      </c>
      <c r="E13" s="1" t="s">
        <v>93</v>
      </c>
      <c r="F13" s="1">
        <v>0.05</v>
      </c>
      <c r="G13" s="1">
        <v>360</v>
      </c>
      <c r="H13" s="3">
        <v>800</v>
      </c>
      <c r="I13" s="1" t="s">
        <v>92</v>
      </c>
      <c r="J13" s="1">
        <v>1.5</v>
      </c>
      <c r="M13" s="1">
        <v>24.7</v>
      </c>
      <c r="N13" s="5" t="s">
        <v>92</v>
      </c>
      <c r="O13" s="1">
        <v>6</v>
      </c>
      <c r="S13" s="54">
        <v>3.93</v>
      </c>
      <c r="W13" s="54">
        <v>76.849999999999994</v>
      </c>
      <c r="AA13" s="54">
        <v>0.05</v>
      </c>
      <c r="AE13" s="54">
        <v>0.34</v>
      </c>
      <c r="AI13" s="54">
        <v>44.75</v>
      </c>
      <c r="AM13" s="54">
        <v>6.31</v>
      </c>
      <c r="AQ13" s="59">
        <v>1.68</v>
      </c>
      <c r="AR13" s="4"/>
      <c r="AS13" s="4"/>
      <c r="AT13" s="4"/>
      <c r="AU13" s="56">
        <v>42.94</v>
      </c>
      <c r="AV13" s="54">
        <v>18.47</v>
      </c>
      <c r="AZ13" s="5">
        <f t="shared" si="7"/>
        <v>97</v>
      </c>
      <c r="BA13" s="5">
        <f t="shared" si="4"/>
        <v>3</v>
      </c>
      <c r="BB13" s="5">
        <f>74.4-BD13</f>
        <v>28.600000000000009</v>
      </c>
      <c r="BC13" s="5">
        <v>22.6</v>
      </c>
      <c r="BD13" s="5">
        <v>45.8</v>
      </c>
      <c r="BE13" s="5" t="s">
        <v>101</v>
      </c>
      <c r="BF13" s="5">
        <f t="shared" si="5"/>
        <v>31.600000000000009</v>
      </c>
      <c r="BG13" s="5"/>
      <c r="BH13" s="10">
        <f t="shared" si="6"/>
        <v>14.281696000000004</v>
      </c>
      <c r="BI13" s="1">
        <v>0</v>
      </c>
      <c r="BJ13" s="1">
        <v>0</v>
      </c>
      <c r="BK13" s="1">
        <f>49.936*BB13/100</f>
        <v>14.281696000000004</v>
      </c>
      <c r="BL13" s="8">
        <f>1.715*BB13/100</f>
        <v>0.49049000000000015</v>
      </c>
      <c r="BM13" s="3" t="s">
        <v>92</v>
      </c>
      <c r="BN13" s="8">
        <f>1.136*BB13/100</f>
        <v>0.32489600000000007</v>
      </c>
      <c r="BO13" s="8">
        <v>0</v>
      </c>
      <c r="BP13" s="1">
        <v>0</v>
      </c>
      <c r="BQ13" s="3" t="s">
        <v>92</v>
      </c>
      <c r="BR13" s="1">
        <f>42.196*BB13/100</f>
        <v>12.068056000000004</v>
      </c>
      <c r="BS13" s="1" t="s">
        <v>92</v>
      </c>
      <c r="BT13" s="1" t="s">
        <v>92</v>
      </c>
      <c r="BU13" s="1" t="s">
        <v>92</v>
      </c>
      <c r="BV13" s="1">
        <f>2.747*BB13/100</f>
        <v>0.78564200000000017</v>
      </c>
      <c r="BW13" s="3" t="s">
        <v>92</v>
      </c>
      <c r="BX13" s="3" t="s">
        <v>92</v>
      </c>
      <c r="BY13" s="3" t="s">
        <v>92</v>
      </c>
      <c r="BZ13" s="3" t="s">
        <v>92</v>
      </c>
      <c r="CA13" s="3" t="s">
        <v>92</v>
      </c>
      <c r="CB13" s="3" t="s">
        <v>92</v>
      </c>
      <c r="CC13" s="3" t="s">
        <v>92</v>
      </c>
      <c r="CD13" s="3" t="s">
        <v>92</v>
      </c>
      <c r="CF13" s="13" t="s">
        <v>102</v>
      </c>
      <c r="CG13" s="1" t="s">
        <v>98</v>
      </c>
    </row>
    <row r="14" spans="1:89" x14ac:dyDescent="0.15">
      <c r="A14" s="1" t="s">
        <v>90</v>
      </c>
      <c r="B14" s="1" t="s">
        <v>100</v>
      </c>
      <c r="C14" s="1" t="s">
        <v>92</v>
      </c>
      <c r="D14" s="1">
        <v>1500</v>
      </c>
      <c r="E14" s="1" t="s">
        <v>93</v>
      </c>
      <c r="F14" s="1">
        <v>0.05</v>
      </c>
      <c r="G14" s="1">
        <v>360</v>
      </c>
      <c r="H14" s="3">
        <v>900</v>
      </c>
      <c r="I14" s="1" t="s">
        <v>92</v>
      </c>
      <c r="J14" s="1">
        <v>1.5</v>
      </c>
      <c r="M14" s="1">
        <v>24.7</v>
      </c>
      <c r="N14" s="5" t="s">
        <v>92</v>
      </c>
      <c r="O14" s="1">
        <v>6</v>
      </c>
      <c r="S14" s="54">
        <v>3.93</v>
      </c>
      <c r="W14" s="54">
        <v>76.849999999999994</v>
      </c>
      <c r="AA14" s="54">
        <v>0.05</v>
      </c>
      <c r="AE14" s="54">
        <v>0.34</v>
      </c>
      <c r="AI14" s="54">
        <v>44.75</v>
      </c>
      <c r="AM14" s="54">
        <v>6.31</v>
      </c>
      <c r="AQ14" s="59">
        <v>1.68</v>
      </c>
      <c r="AR14" s="4"/>
      <c r="AS14" s="4"/>
      <c r="AT14" s="4"/>
      <c r="AU14" s="56">
        <v>42.94</v>
      </c>
      <c r="AV14" s="54">
        <v>18.47</v>
      </c>
      <c r="AZ14" s="5">
        <f t="shared" si="7"/>
        <v>97.7</v>
      </c>
      <c r="BA14" s="5">
        <f t="shared" si="4"/>
        <v>2.2999999999999972</v>
      </c>
      <c r="BB14" s="5">
        <f>72.7-BD14</f>
        <v>18</v>
      </c>
      <c r="BC14" s="5">
        <v>25</v>
      </c>
      <c r="BD14" s="5">
        <v>54.7</v>
      </c>
      <c r="BE14" s="5" t="s">
        <v>101</v>
      </c>
      <c r="BF14" s="5">
        <f>BB14+BA14</f>
        <v>20.299999999999997</v>
      </c>
      <c r="BG14" s="5"/>
      <c r="BH14" s="10">
        <f t="shared" si="6"/>
        <v>11.331900000000001</v>
      </c>
      <c r="BI14" s="1">
        <v>0</v>
      </c>
      <c r="BJ14" s="1">
        <v>0</v>
      </c>
      <c r="BK14" s="1">
        <f>62.955*BB14/100</f>
        <v>11.331900000000001</v>
      </c>
      <c r="BL14" s="8">
        <v>0</v>
      </c>
      <c r="BM14" s="3" t="s">
        <v>92</v>
      </c>
      <c r="BN14" s="8">
        <v>0</v>
      </c>
      <c r="BO14" s="8">
        <v>0</v>
      </c>
      <c r="BP14" s="1">
        <v>0</v>
      </c>
      <c r="BQ14" s="3" t="s">
        <v>92</v>
      </c>
      <c r="BR14" s="1">
        <f>37.046*BB14/100</f>
        <v>6.6682799999999993</v>
      </c>
      <c r="BS14" s="1" t="s">
        <v>92</v>
      </c>
      <c r="BT14" s="1" t="s">
        <v>92</v>
      </c>
      <c r="BU14" s="1" t="s">
        <v>92</v>
      </c>
      <c r="BV14" s="1">
        <v>0</v>
      </c>
      <c r="BW14" s="3" t="s">
        <v>92</v>
      </c>
      <c r="BX14" s="3" t="s">
        <v>92</v>
      </c>
      <c r="BY14" s="3" t="s">
        <v>92</v>
      </c>
      <c r="BZ14" s="3" t="s">
        <v>92</v>
      </c>
      <c r="CA14" s="3" t="s">
        <v>92</v>
      </c>
      <c r="CB14" s="3" t="s">
        <v>92</v>
      </c>
      <c r="CC14" s="3" t="s">
        <v>92</v>
      </c>
      <c r="CD14" s="3" t="s">
        <v>92</v>
      </c>
      <c r="CF14" s="13" t="s">
        <v>102</v>
      </c>
    </row>
    <row r="15" spans="1:89" x14ac:dyDescent="0.15">
      <c r="A15" s="1" t="s">
        <v>90</v>
      </c>
      <c r="B15" s="1" t="s">
        <v>100</v>
      </c>
      <c r="C15" s="1" t="s">
        <v>92</v>
      </c>
      <c r="D15" s="1">
        <v>1500</v>
      </c>
      <c r="E15" s="1" t="s">
        <v>93</v>
      </c>
      <c r="F15" s="1">
        <v>0.05</v>
      </c>
      <c r="G15" s="1">
        <v>180</v>
      </c>
      <c r="H15" s="3">
        <v>600</v>
      </c>
      <c r="I15" s="1" t="s">
        <v>92</v>
      </c>
      <c r="J15" s="1">
        <v>1.5</v>
      </c>
      <c r="M15" s="1">
        <v>49.67</v>
      </c>
      <c r="N15" s="5" t="s">
        <v>92</v>
      </c>
      <c r="O15" s="1">
        <v>3</v>
      </c>
      <c r="S15" s="54">
        <v>3.93</v>
      </c>
      <c r="W15" s="54">
        <v>76.849999999999994</v>
      </c>
      <c r="AA15" s="54">
        <v>0.05</v>
      </c>
      <c r="AE15" s="54">
        <v>0.34</v>
      </c>
      <c r="AI15" s="54">
        <v>44.75</v>
      </c>
      <c r="AM15" s="54">
        <v>6.31</v>
      </c>
      <c r="AQ15" s="59">
        <v>1.68</v>
      </c>
      <c r="AR15" s="4"/>
      <c r="AS15" s="4"/>
      <c r="AT15" s="4"/>
      <c r="AU15" s="56">
        <v>42.94</v>
      </c>
      <c r="AV15" s="54">
        <v>18.47</v>
      </c>
      <c r="AZ15" s="5">
        <f t="shared" si="7"/>
        <v>91.300000000000011</v>
      </c>
      <c r="BA15" s="5">
        <f t="shared" si="4"/>
        <v>8.6999999999999886</v>
      </c>
      <c r="BB15" s="5">
        <f>46.8-BD15</f>
        <v>28.9</v>
      </c>
      <c r="BC15" s="5">
        <v>44.5</v>
      </c>
      <c r="BD15" s="5">
        <v>17.899999999999999</v>
      </c>
      <c r="BE15" s="5" t="s">
        <v>101</v>
      </c>
      <c r="BF15" s="5">
        <f t="shared" si="5"/>
        <v>37.599999999999987</v>
      </c>
      <c r="BG15" s="5"/>
      <c r="BH15" s="10">
        <f t="shared" si="6"/>
        <v>9.3956789999999994</v>
      </c>
      <c r="BI15" s="1">
        <v>0</v>
      </c>
      <c r="BJ15" s="1">
        <v>0</v>
      </c>
      <c r="BK15" s="1">
        <f>32.511*BB15/100</f>
        <v>9.3956789999999994</v>
      </c>
      <c r="BL15" s="8">
        <f>20.047*BB15/100</f>
        <v>5.7935829999999999</v>
      </c>
      <c r="BM15" s="3" t="s">
        <v>92</v>
      </c>
      <c r="BN15" s="8">
        <f>9.809*BB15/100</f>
        <v>2.8348010000000001</v>
      </c>
      <c r="BO15" s="8">
        <v>0</v>
      </c>
      <c r="BP15" s="1">
        <f>2.06*BB15/100</f>
        <v>0.59533999999999998</v>
      </c>
      <c r="BQ15" s="3" t="s">
        <v>92</v>
      </c>
      <c r="BR15" s="1">
        <f>2.57*BB15/100</f>
        <v>0.74273</v>
      </c>
      <c r="BS15" s="1" t="s">
        <v>92</v>
      </c>
      <c r="BT15" s="1" t="s">
        <v>92</v>
      </c>
      <c r="BU15" s="1" t="s">
        <v>92</v>
      </c>
      <c r="BV15" s="1">
        <f>25.8*BB15/100</f>
        <v>7.4561999999999999</v>
      </c>
      <c r="BW15" s="3" t="s">
        <v>92</v>
      </c>
      <c r="BX15" s="3" t="s">
        <v>92</v>
      </c>
      <c r="BY15" s="3" t="s">
        <v>92</v>
      </c>
      <c r="BZ15" s="3" t="s">
        <v>92</v>
      </c>
      <c r="CA15" s="3" t="s">
        <v>92</v>
      </c>
      <c r="CB15" s="3" t="s">
        <v>92</v>
      </c>
      <c r="CC15" s="3" t="s">
        <v>92</v>
      </c>
      <c r="CD15" s="3" t="s">
        <v>92</v>
      </c>
      <c r="CF15" s="13" t="s">
        <v>102</v>
      </c>
    </row>
    <row r="16" spans="1:89" x14ac:dyDescent="0.15">
      <c r="A16" s="1" t="s">
        <v>90</v>
      </c>
      <c r="B16" s="1" t="s">
        <v>100</v>
      </c>
      <c r="C16" s="1" t="s">
        <v>92</v>
      </c>
      <c r="D16" s="1">
        <v>1500</v>
      </c>
      <c r="E16" s="1" t="s">
        <v>93</v>
      </c>
      <c r="F16" s="1">
        <v>0.05</v>
      </c>
      <c r="G16" s="1">
        <v>240</v>
      </c>
      <c r="H16" s="3">
        <v>600</v>
      </c>
      <c r="I16" s="1" t="s">
        <v>92</v>
      </c>
      <c r="J16" s="1">
        <v>1.5</v>
      </c>
      <c r="M16" s="5">
        <v>40</v>
      </c>
      <c r="N16" s="5" t="s">
        <v>92</v>
      </c>
      <c r="O16" s="1">
        <v>4</v>
      </c>
      <c r="S16" s="54">
        <v>3.93</v>
      </c>
      <c r="W16" s="54">
        <v>76.849999999999994</v>
      </c>
      <c r="AA16" s="54">
        <v>0.05</v>
      </c>
      <c r="AE16" s="54">
        <v>0.34</v>
      </c>
      <c r="AI16" s="54">
        <v>44.75</v>
      </c>
      <c r="AM16" s="54">
        <v>6.31</v>
      </c>
      <c r="AQ16" s="59">
        <v>1.68</v>
      </c>
      <c r="AR16" s="4"/>
      <c r="AS16" s="4"/>
      <c r="AT16" s="4"/>
      <c r="AU16" s="56">
        <v>42.94</v>
      </c>
      <c r="AV16" s="54">
        <v>18.47</v>
      </c>
      <c r="AZ16" s="5">
        <f t="shared" si="7"/>
        <v>87.700000000000017</v>
      </c>
      <c r="BA16" s="5">
        <f t="shared" si="4"/>
        <v>12.299999999999983</v>
      </c>
      <c r="BB16" s="5">
        <f>44.1-BD16</f>
        <v>30.700000000000003</v>
      </c>
      <c r="BC16" s="5">
        <v>43.6</v>
      </c>
      <c r="BD16" s="5">
        <v>13.4</v>
      </c>
      <c r="BE16" s="5" t="s">
        <v>101</v>
      </c>
      <c r="BF16" s="5">
        <f t="shared" si="5"/>
        <v>42.999999999999986</v>
      </c>
      <c r="BG16" s="5"/>
      <c r="BH16" s="5" t="s">
        <v>92</v>
      </c>
      <c r="BI16" s="5" t="s">
        <v>92</v>
      </c>
      <c r="BJ16" s="5" t="s">
        <v>92</v>
      </c>
      <c r="BK16" s="5" t="s">
        <v>92</v>
      </c>
      <c r="BL16" s="1" t="s">
        <v>92</v>
      </c>
      <c r="BM16" s="3" t="s">
        <v>92</v>
      </c>
      <c r="BN16" s="8" t="s">
        <v>92</v>
      </c>
      <c r="BO16" s="8" t="s">
        <v>92</v>
      </c>
      <c r="BP16" s="1" t="s">
        <v>92</v>
      </c>
      <c r="BQ16" s="3" t="s">
        <v>92</v>
      </c>
      <c r="BR16" s="1" t="s">
        <v>92</v>
      </c>
      <c r="BS16" s="1" t="s">
        <v>92</v>
      </c>
      <c r="BT16" s="1" t="s">
        <v>92</v>
      </c>
      <c r="BU16" s="1" t="s">
        <v>92</v>
      </c>
      <c r="BV16" s="1" t="s">
        <v>92</v>
      </c>
      <c r="BW16" s="3" t="s">
        <v>92</v>
      </c>
      <c r="BX16" s="3" t="s">
        <v>92</v>
      </c>
      <c r="BY16" s="3" t="s">
        <v>92</v>
      </c>
      <c r="BZ16" s="3" t="s">
        <v>92</v>
      </c>
      <c r="CA16" s="3" t="s">
        <v>92</v>
      </c>
      <c r="CB16" s="3" t="s">
        <v>92</v>
      </c>
      <c r="CC16" s="3" t="s">
        <v>92</v>
      </c>
      <c r="CD16" s="3" t="s">
        <v>92</v>
      </c>
      <c r="CF16" s="13" t="s">
        <v>102</v>
      </c>
      <c r="CG16" s="1" t="s">
        <v>104</v>
      </c>
    </row>
    <row r="17" spans="1:85" x14ac:dyDescent="0.15">
      <c r="A17" s="1" t="s">
        <v>90</v>
      </c>
      <c r="B17" s="1" t="s">
        <v>100</v>
      </c>
      <c r="C17" s="1" t="s">
        <v>92</v>
      </c>
      <c r="D17" s="1">
        <v>1500</v>
      </c>
      <c r="E17" s="1" t="s">
        <v>93</v>
      </c>
      <c r="F17" s="1">
        <v>0.05</v>
      </c>
      <c r="G17" s="1">
        <v>300</v>
      </c>
      <c r="H17" s="3">
        <v>600</v>
      </c>
      <c r="I17" s="1" t="s">
        <v>92</v>
      </c>
      <c r="J17" s="1">
        <v>1.5</v>
      </c>
      <c r="M17" s="1">
        <v>32.33</v>
      </c>
      <c r="N17" s="5" t="s">
        <v>92</v>
      </c>
      <c r="O17" s="1">
        <v>5</v>
      </c>
      <c r="S17" s="54">
        <v>3.93</v>
      </c>
      <c r="W17" s="54">
        <v>76.849999999999994</v>
      </c>
      <c r="AA17" s="54">
        <v>0.05</v>
      </c>
      <c r="AE17" s="54">
        <v>0.34</v>
      </c>
      <c r="AI17" s="54">
        <v>44.75</v>
      </c>
      <c r="AM17" s="54">
        <v>6.31</v>
      </c>
      <c r="AQ17" s="59">
        <v>1.68</v>
      </c>
      <c r="AR17" s="4"/>
      <c r="AS17" s="4"/>
      <c r="AT17" s="4"/>
      <c r="AU17" s="56">
        <v>42.94</v>
      </c>
      <c r="AV17" s="54">
        <v>18.47</v>
      </c>
      <c r="AZ17" s="5">
        <f t="shared" si="7"/>
        <v>88.9</v>
      </c>
      <c r="BA17" s="5">
        <f t="shared" si="4"/>
        <v>11.099999999999994</v>
      </c>
      <c r="BB17" s="5">
        <f>50.5-BD17</f>
        <v>32.1</v>
      </c>
      <c r="BC17" s="5">
        <v>38.4</v>
      </c>
      <c r="BD17" s="5">
        <v>18.399999999999999</v>
      </c>
      <c r="BE17" s="5" t="s">
        <v>101</v>
      </c>
      <c r="BF17" s="5">
        <f t="shared" si="5"/>
        <v>43.199999999999996</v>
      </c>
      <c r="BG17" s="5"/>
      <c r="BH17" s="5" t="s">
        <v>92</v>
      </c>
      <c r="BI17" s="5" t="s">
        <v>92</v>
      </c>
      <c r="BJ17" s="5" t="s">
        <v>92</v>
      </c>
      <c r="BK17" s="5" t="s">
        <v>92</v>
      </c>
      <c r="BL17" s="1" t="s">
        <v>92</v>
      </c>
      <c r="BM17" s="3" t="s">
        <v>92</v>
      </c>
      <c r="BN17" s="8" t="s">
        <v>92</v>
      </c>
      <c r="BO17" s="8" t="s">
        <v>92</v>
      </c>
      <c r="BP17" s="1" t="s">
        <v>92</v>
      </c>
      <c r="BQ17" s="3" t="s">
        <v>92</v>
      </c>
      <c r="BR17" s="1" t="s">
        <v>92</v>
      </c>
      <c r="BS17" s="1" t="s">
        <v>92</v>
      </c>
      <c r="BT17" s="1" t="s">
        <v>92</v>
      </c>
      <c r="BU17" s="1" t="s">
        <v>92</v>
      </c>
      <c r="BV17" s="1" t="s">
        <v>92</v>
      </c>
      <c r="BW17" s="3" t="s">
        <v>92</v>
      </c>
      <c r="BX17" s="3" t="s">
        <v>92</v>
      </c>
      <c r="BY17" s="3" t="s">
        <v>92</v>
      </c>
      <c r="BZ17" s="3" t="s">
        <v>92</v>
      </c>
      <c r="CA17" s="3" t="s">
        <v>92</v>
      </c>
      <c r="CB17" s="3" t="s">
        <v>92</v>
      </c>
      <c r="CC17" s="3" t="s">
        <v>92</v>
      </c>
      <c r="CD17" s="3" t="s">
        <v>92</v>
      </c>
      <c r="CF17" s="13" t="s">
        <v>102</v>
      </c>
    </row>
    <row r="18" spans="1:85" x14ac:dyDescent="0.15">
      <c r="A18" s="1" t="s">
        <v>90</v>
      </c>
      <c r="B18" s="1" t="s">
        <v>100</v>
      </c>
      <c r="C18" s="1" t="s">
        <v>92</v>
      </c>
      <c r="D18" s="1">
        <v>1500</v>
      </c>
      <c r="E18" s="1" t="s">
        <v>93</v>
      </c>
      <c r="F18" s="1">
        <v>0.05</v>
      </c>
      <c r="G18" s="1">
        <v>360</v>
      </c>
      <c r="H18" s="3">
        <v>600</v>
      </c>
      <c r="I18" s="1" t="s">
        <v>92</v>
      </c>
      <c r="J18" s="1">
        <v>1.5</v>
      </c>
      <c r="M18" s="1">
        <v>24.5</v>
      </c>
      <c r="N18" s="5" t="s">
        <v>92</v>
      </c>
      <c r="O18" s="1">
        <v>6</v>
      </c>
      <c r="S18" s="54">
        <v>3.93</v>
      </c>
      <c r="W18" s="54">
        <v>76.849999999999994</v>
      </c>
      <c r="AA18" s="54">
        <v>0.05</v>
      </c>
      <c r="AE18" s="54">
        <v>0.34</v>
      </c>
      <c r="AI18" s="54">
        <v>44.75</v>
      </c>
      <c r="AM18" s="54">
        <v>6.31</v>
      </c>
      <c r="AQ18" s="59">
        <v>1.68</v>
      </c>
      <c r="AR18" s="4"/>
      <c r="AS18" s="4"/>
      <c r="AT18" s="4"/>
      <c r="AU18" s="56">
        <v>42.94</v>
      </c>
      <c r="AV18" s="54">
        <v>18.47</v>
      </c>
      <c r="AZ18" s="5">
        <f t="shared" si="7"/>
        <v>95.3</v>
      </c>
      <c r="BA18" s="5">
        <f t="shared" si="4"/>
        <v>4.7000000000000028</v>
      </c>
      <c r="BB18" s="5">
        <f>74.1-BD18</f>
        <v>51.899999999999991</v>
      </c>
      <c r="BC18" s="5">
        <v>21.2</v>
      </c>
      <c r="BD18" s="5">
        <v>22.2</v>
      </c>
      <c r="BE18" s="5" t="s">
        <v>101</v>
      </c>
      <c r="BF18" s="5">
        <f t="shared" si="5"/>
        <v>56.599999999999994</v>
      </c>
      <c r="BG18" s="5"/>
      <c r="BH18" s="10">
        <f t="shared" si="6"/>
        <v>25.287236999999994</v>
      </c>
      <c r="BI18" s="1">
        <v>0</v>
      </c>
      <c r="BJ18" s="1">
        <v>0</v>
      </c>
      <c r="BK18" s="1">
        <f>48.723*BB18/100</f>
        <v>25.287236999999994</v>
      </c>
      <c r="BL18" s="8">
        <f>22.652*BB18/100</f>
        <v>11.756387999999999</v>
      </c>
      <c r="BM18" s="3" t="s">
        <v>92</v>
      </c>
      <c r="BN18" s="8">
        <f>11.24*BB18/100</f>
        <v>5.8335599999999985</v>
      </c>
      <c r="BO18" s="8">
        <f>3.306*BB18/100</f>
        <v>1.7158139999999997</v>
      </c>
      <c r="BP18" s="1">
        <f>1.621*BB18/100</f>
        <v>0.84129899999999991</v>
      </c>
      <c r="BQ18" s="3" t="s">
        <v>92</v>
      </c>
      <c r="BR18" s="1">
        <f>29.852*BB18/100</f>
        <v>15.493187999999998</v>
      </c>
      <c r="BS18" s="1" t="s">
        <v>92</v>
      </c>
      <c r="BT18" s="1" t="s">
        <v>92</v>
      </c>
      <c r="BU18" s="1" t="s">
        <v>92</v>
      </c>
      <c r="BV18" s="1">
        <f>10.518*BB18/100</f>
        <v>5.4588419999999998</v>
      </c>
      <c r="BW18" s="3" t="s">
        <v>92</v>
      </c>
      <c r="BX18" s="3" t="s">
        <v>92</v>
      </c>
      <c r="BY18" s="3" t="s">
        <v>92</v>
      </c>
      <c r="BZ18" s="3" t="s">
        <v>92</v>
      </c>
      <c r="CA18" s="3" t="s">
        <v>92</v>
      </c>
      <c r="CB18" s="3" t="s">
        <v>92</v>
      </c>
      <c r="CC18" s="3" t="s">
        <v>92</v>
      </c>
      <c r="CD18" s="3" t="s">
        <v>92</v>
      </c>
      <c r="CF18" s="13" t="s">
        <v>102</v>
      </c>
    </row>
    <row r="19" spans="1:85" x14ac:dyDescent="0.15">
      <c r="A19" s="1" t="s">
        <v>90</v>
      </c>
      <c r="B19" s="1" t="s">
        <v>100</v>
      </c>
      <c r="C19" s="1" t="s">
        <v>92</v>
      </c>
      <c r="D19" s="1">
        <v>1500</v>
      </c>
      <c r="E19" s="1" t="s">
        <v>93</v>
      </c>
      <c r="F19" s="1">
        <v>0.05</v>
      </c>
      <c r="G19" s="1">
        <v>420</v>
      </c>
      <c r="H19" s="3">
        <v>600</v>
      </c>
      <c r="I19" s="1" t="s">
        <v>92</v>
      </c>
      <c r="J19" s="1">
        <v>1.5</v>
      </c>
      <c r="M19" s="5">
        <v>20</v>
      </c>
      <c r="N19" s="5" t="s">
        <v>92</v>
      </c>
      <c r="O19" s="1">
        <v>7</v>
      </c>
      <c r="S19" s="54">
        <v>3.93</v>
      </c>
      <c r="W19" s="54">
        <v>76.849999999999994</v>
      </c>
      <c r="AA19" s="54">
        <v>0.05</v>
      </c>
      <c r="AE19" s="54">
        <v>0.34</v>
      </c>
      <c r="AI19" s="54">
        <v>44.75</v>
      </c>
      <c r="AM19" s="54">
        <v>6.31</v>
      </c>
      <c r="AQ19" s="59">
        <v>1.68</v>
      </c>
      <c r="AR19" s="4"/>
      <c r="AS19" s="4"/>
      <c r="AT19" s="4"/>
      <c r="AU19" s="56">
        <v>42.94</v>
      </c>
      <c r="AV19" s="54">
        <v>18.47</v>
      </c>
      <c r="AZ19" s="5">
        <f t="shared" si="7"/>
        <v>91.6</v>
      </c>
      <c r="BA19" s="5">
        <f t="shared" si="4"/>
        <v>8.4000000000000057</v>
      </c>
      <c r="BB19" s="5">
        <f>70.8-BD19</f>
        <v>46.5</v>
      </c>
      <c r="BC19" s="5">
        <v>20.8</v>
      </c>
      <c r="BD19" s="5">
        <v>24.3</v>
      </c>
      <c r="BE19" s="5" t="s">
        <v>101</v>
      </c>
      <c r="BF19" s="5">
        <f t="shared" si="5"/>
        <v>54.900000000000006</v>
      </c>
      <c r="BG19" s="5"/>
      <c r="BH19" s="10" t="s">
        <v>92</v>
      </c>
      <c r="BI19" s="1" t="s">
        <v>92</v>
      </c>
      <c r="BJ19" s="1" t="s">
        <v>92</v>
      </c>
      <c r="BK19" s="1" t="s">
        <v>92</v>
      </c>
      <c r="BL19" s="8" t="s">
        <v>92</v>
      </c>
      <c r="BM19" s="3" t="s">
        <v>92</v>
      </c>
      <c r="BN19" s="8" t="s">
        <v>92</v>
      </c>
      <c r="BO19" s="8" t="s">
        <v>92</v>
      </c>
      <c r="BP19" s="1" t="s">
        <v>92</v>
      </c>
      <c r="BQ19" s="3" t="s">
        <v>92</v>
      </c>
      <c r="BR19" s="1" t="s">
        <v>92</v>
      </c>
      <c r="BS19" s="1" t="s">
        <v>92</v>
      </c>
      <c r="BT19" s="1" t="s">
        <v>92</v>
      </c>
      <c r="BU19" s="1" t="s">
        <v>92</v>
      </c>
      <c r="BV19" s="1" t="s">
        <v>92</v>
      </c>
      <c r="BW19" s="3" t="s">
        <v>92</v>
      </c>
      <c r="BX19" s="3" t="s">
        <v>92</v>
      </c>
      <c r="BY19" s="3" t="s">
        <v>92</v>
      </c>
      <c r="BZ19" s="3" t="s">
        <v>92</v>
      </c>
      <c r="CA19" s="3" t="s">
        <v>92</v>
      </c>
      <c r="CB19" s="3" t="s">
        <v>92</v>
      </c>
      <c r="CC19" s="3" t="s">
        <v>92</v>
      </c>
      <c r="CD19" s="3" t="s">
        <v>92</v>
      </c>
      <c r="CF19" s="13" t="s">
        <v>102</v>
      </c>
    </row>
    <row r="20" spans="1:85" s="28" customFormat="1" x14ac:dyDescent="0.15">
      <c r="A20" s="28" t="s">
        <v>90</v>
      </c>
      <c r="B20" s="28" t="s">
        <v>100</v>
      </c>
      <c r="C20" s="28" t="s">
        <v>92</v>
      </c>
      <c r="D20" s="28">
        <v>72.599999999999994</v>
      </c>
      <c r="E20" s="28" t="s">
        <v>105</v>
      </c>
      <c r="F20" s="28">
        <v>0.18</v>
      </c>
      <c r="G20" s="28" t="s">
        <v>92</v>
      </c>
      <c r="H20" s="29">
        <v>400</v>
      </c>
      <c r="I20" s="28" t="s">
        <v>92</v>
      </c>
      <c r="J20" s="28">
        <v>0.42</v>
      </c>
      <c r="M20" s="28">
        <v>0.1</v>
      </c>
      <c r="N20" s="31" t="s">
        <v>92</v>
      </c>
      <c r="O20" s="28" t="s">
        <v>92</v>
      </c>
      <c r="S20" s="54">
        <v>10.88</v>
      </c>
      <c r="W20" s="54">
        <v>86.46</v>
      </c>
      <c r="AA20" s="54">
        <v>0.05</v>
      </c>
      <c r="AE20" s="54">
        <v>0.68</v>
      </c>
      <c r="AI20" s="54">
        <v>46.33</v>
      </c>
      <c r="AM20" s="54">
        <v>7.88</v>
      </c>
      <c r="AQ20" s="59">
        <v>0.56000000000000005</v>
      </c>
      <c r="AR20" s="32"/>
      <c r="AS20" s="32"/>
      <c r="AT20" s="32"/>
      <c r="AU20" s="56">
        <v>45.18</v>
      </c>
      <c r="AV20" s="54" t="s">
        <v>92</v>
      </c>
      <c r="AZ20" s="31">
        <f t="shared" si="7"/>
        <v>80.8</v>
      </c>
      <c r="BA20" s="31">
        <f t="shared" si="4"/>
        <v>19.200000000000003</v>
      </c>
      <c r="BB20" s="31">
        <f>75-BC20</f>
        <v>51.9</v>
      </c>
      <c r="BC20" s="31">
        <v>23.1</v>
      </c>
      <c r="BD20" s="31">
        <v>5.8</v>
      </c>
      <c r="BE20" s="31" t="s">
        <v>101</v>
      </c>
      <c r="BF20" s="31">
        <f t="shared" si="5"/>
        <v>71.099999999999994</v>
      </c>
      <c r="BG20" s="31"/>
      <c r="BH20" s="31">
        <f t="shared" si="6"/>
        <v>18.061199999999999</v>
      </c>
      <c r="BI20" s="28">
        <v>0</v>
      </c>
      <c r="BJ20" s="28">
        <v>0</v>
      </c>
      <c r="BK20" s="28">
        <f>34.8*BB20/100</f>
        <v>18.061199999999999</v>
      </c>
      <c r="BL20" s="28">
        <f>(53-34.8)*BB20/100</f>
        <v>9.445800000000002</v>
      </c>
      <c r="BM20" s="29" t="s">
        <v>92</v>
      </c>
      <c r="BN20" s="28">
        <f>(78.7-73.5)*BB20/100</f>
        <v>2.6988000000000016</v>
      </c>
      <c r="BO20" s="28">
        <f>(92.6-87)*BB20/100</f>
        <v>2.906399999999997</v>
      </c>
      <c r="BP20" s="28">
        <f>(84.4-78.7)*BB20/100</f>
        <v>2.9583000000000017</v>
      </c>
      <c r="BQ20" s="28">
        <f>(73.5-64.8)*BB20/100</f>
        <v>4.5153000000000016</v>
      </c>
      <c r="BR20" s="28" t="s">
        <v>92</v>
      </c>
      <c r="BS20" s="28" t="s">
        <v>92</v>
      </c>
      <c r="BT20" s="28">
        <f>(64.8-53)*BB20/100</f>
        <v>6.1241999999999983</v>
      </c>
      <c r="BU20" s="28" t="s">
        <v>92</v>
      </c>
      <c r="BV20" s="28">
        <f>(87-84.4)*BB20/100</f>
        <v>1.349399999999997</v>
      </c>
      <c r="BW20" s="29" t="s">
        <v>92</v>
      </c>
      <c r="BX20" s="29" t="s">
        <v>92</v>
      </c>
      <c r="BY20" s="29" t="s">
        <v>92</v>
      </c>
      <c r="BZ20" s="29" t="s">
        <v>92</v>
      </c>
      <c r="CA20" s="29" t="s">
        <v>92</v>
      </c>
      <c r="CB20" s="29" t="s">
        <v>92</v>
      </c>
      <c r="CC20" s="29" t="s">
        <v>92</v>
      </c>
      <c r="CD20" s="28">
        <f>(100-92.6)*BB20/100</f>
        <v>3.8406000000000029</v>
      </c>
      <c r="CF20" s="28" t="s">
        <v>106</v>
      </c>
    </row>
    <row r="21" spans="1:85" x14ac:dyDescent="0.15">
      <c r="A21" s="1" t="s">
        <v>90</v>
      </c>
      <c r="B21" s="1" t="s">
        <v>100</v>
      </c>
      <c r="C21" s="1" t="s">
        <v>92</v>
      </c>
      <c r="D21" s="1">
        <v>72.599999999999994</v>
      </c>
      <c r="E21" s="1" t="s">
        <v>105</v>
      </c>
      <c r="F21" s="1">
        <v>0.18</v>
      </c>
      <c r="G21" s="1" t="s">
        <v>92</v>
      </c>
      <c r="H21" s="3">
        <v>450</v>
      </c>
      <c r="I21" s="1" t="s">
        <v>92</v>
      </c>
      <c r="J21" s="1">
        <v>0.42</v>
      </c>
      <c r="M21" s="1">
        <v>0.1</v>
      </c>
      <c r="N21" s="5" t="s">
        <v>92</v>
      </c>
      <c r="O21" s="1" t="s">
        <v>92</v>
      </c>
      <c r="S21" s="54">
        <v>10.88</v>
      </c>
      <c r="W21" s="54">
        <v>86.46</v>
      </c>
      <c r="AA21" s="54">
        <v>0.05</v>
      </c>
      <c r="AE21" s="54">
        <v>0.68</v>
      </c>
      <c r="AI21" s="54">
        <v>46.33</v>
      </c>
      <c r="AM21" s="54">
        <v>7.88</v>
      </c>
      <c r="AQ21" s="59">
        <v>0.56000000000000005</v>
      </c>
      <c r="AR21" s="4"/>
      <c r="AS21" s="4"/>
      <c r="AT21" s="4"/>
      <c r="AU21" s="56">
        <v>45.18</v>
      </c>
      <c r="AV21" s="54" t="s">
        <v>92</v>
      </c>
      <c r="AZ21" s="5">
        <f t="shared" si="7"/>
        <v>81.100000000000009</v>
      </c>
      <c r="BA21" s="5">
        <f t="shared" si="4"/>
        <v>18.899999999999991</v>
      </c>
      <c r="BB21" s="5">
        <f>71.9-BC21</f>
        <v>52.800000000000004</v>
      </c>
      <c r="BC21" s="5">
        <v>19.100000000000001</v>
      </c>
      <c r="BD21" s="5">
        <v>9.1999999999999993</v>
      </c>
      <c r="BE21" s="5" t="s">
        <v>101</v>
      </c>
      <c r="BF21" s="5">
        <f t="shared" si="5"/>
        <v>71.699999999999989</v>
      </c>
      <c r="BG21" s="5"/>
      <c r="BH21" s="10">
        <f>BI21+BJ21+BK21</f>
        <v>19.0608</v>
      </c>
      <c r="BI21" s="1">
        <v>0</v>
      </c>
      <c r="BJ21" s="1">
        <v>0</v>
      </c>
      <c r="BK21" s="1">
        <f>36.1*BB21/100</f>
        <v>19.0608</v>
      </c>
      <c r="BL21" s="8">
        <f>(51.4-36.1)*BB21/100</f>
        <v>8.0783999999999985</v>
      </c>
      <c r="BM21" s="3" t="s">
        <v>92</v>
      </c>
      <c r="BN21" s="8">
        <f>(79.2-74)*BB21/100</f>
        <v>2.7456000000000018</v>
      </c>
      <c r="BO21" s="8">
        <f>(93.1-87.9)*BB21/100</f>
        <v>2.7455999999999943</v>
      </c>
      <c r="BP21" s="1">
        <f>(86.1-79.2)*BB21/100</f>
        <v>3.6431999999999958</v>
      </c>
      <c r="BQ21" s="5">
        <f>(74-64)*BB21/100</f>
        <v>5.28</v>
      </c>
      <c r="BR21" s="1" t="s">
        <v>92</v>
      </c>
      <c r="BS21" s="1" t="s">
        <v>92</v>
      </c>
      <c r="BT21" s="1">
        <f>(64-51.4)*BB21/100</f>
        <v>6.6528000000000009</v>
      </c>
      <c r="BU21" s="1" t="s">
        <v>92</v>
      </c>
      <c r="BV21" s="1">
        <f>(87.9-86.1)*BB21/100</f>
        <v>0.95040000000000602</v>
      </c>
      <c r="BW21" s="3" t="s">
        <v>92</v>
      </c>
      <c r="BX21" s="3" t="s">
        <v>92</v>
      </c>
      <c r="BY21" s="3" t="s">
        <v>92</v>
      </c>
      <c r="BZ21" s="3" t="s">
        <v>92</v>
      </c>
      <c r="CA21" s="3" t="s">
        <v>92</v>
      </c>
      <c r="CB21" s="3" t="s">
        <v>92</v>
      </c>
      <c r="CC21" s="3" t="s">
        <v>92</v>
      </c>
      <c r="CD21" s="1">
        <f>(100-93.1)*BB21/100</f>
        <v>3.6432000000000033</v>
      </c>
      <c r="CF21" s="13" t="s">
        <v>106</v>
      </c>
    </row>
    <row r="22" spans="1:85" x14ac:dyDescent="0.15">
      <c r="A22" s="1" t="s">
        <v>90</v>
      </c>
      <c r="B22" s="1" t="s">
        <v>100</v>
      </c>
      <c r="C22" s="1" t="s">
        <v>92</v>
      </c>
      <c r="D22" s="1">
        <v>72.599999999999994</v>
      </c>
      <c r="E22" s="1" t="s">
        <v>105</v>
      </c>
      <c r="F22" s="1">
        <v>0.18</v>
      </c>
      <c r="G22" s="1" t="s">
        <v>92</v>
      </c>
      <c r="H22" s="3">
        <v>500</v>
      </c>
      <c r="I22" s="1" t="s">
        <v>92</v>
      </c>
      <c r="J22" s="1">
        <v>0.42</v>
      </c>
      <c r="M22" s="1">
        <v>0.1</v>
      </c>
      <c r="N22" s="5" t="s">
        <v>92</v>
      </c>
      <c r="O22" s="1" t="s">
        <v>92</v>
      </c>
      <c r="S22" s="54">
        <v>10.88</v>
      </c>
      <c r="W22" s="54">
        <v>86.46</v>
      </c>
      <c r="AA22" s="54">
        <v>0.05</v>
      </c>
      <c r="AE22" s="54">
        <v>0.68</v>
      </c>
      <c r="AI22" s="54">
        <v>46.33</v>
      </c>
      <c r="AM22" s="54">
        <v>7.88</v>
      </c>
      <c r="AQ22" s="59">
        <v>0.56000000000000005</v>
      </c>
      <c r="AR22" s="4"/>
      <c r="AS22" s="4"/>
      <c r="AT22" s="4"/>
      <c r="AU22" s="56">
        <v>45.18</v>
      </c>
      <c r="AV22" s="54" t="s">
        <v>92</v>
      </c>
      <c r="AZ22" s="5">
        <f t="shared" si="7"/>
        <v>81.3</v>
      </c>
      <c r="BA22" s="5">
        <f t="shared" si="4"/>
        <v>18.700000000000003</v>
      </c>
      <c r="BB22" s="5">
        <f>70.5-BC22</f>
        <v>54.7</v>
      </c>
      <c r="BC22" s="5">
        <v>15.8</v>
      </c>
      <c r="BD22" s="5">
        <v>10.8</v>
      </c>
      <c r="BE22" s="5" t="s">
        <v>101</v>
      </c>
      <c r="BF22" s="5">
        <f t="shared" si="5"/>
        <v>73.400000000000006</v>
      </c>
      <c r="BG22" s="5"/>
      <c r="BH22" s="10">
        <f t="shared" si="6"/>
        <v>20.512499999999999</v>
      </c>
      <c r="BI22" s="1">
        <v>0</v>
      </c>
      <c r="BJ22" s="1">
        <v>0</v>
      </c>
      <c r="BK22" s="1">
        <f>37.5*BB22/100</f>
        <v>20.512499999999999</v>
      </c>
      <c r="BL22" s="8">
        <f>(51.8-37.5)*BB22/100</f>
        <v>7.8220999999999989</v>
      </c>
      <c r="BM22" s="3" t="s">
        <v>92</v>
      </c>
      <c r="BN22" s="8">
        <f>(79.2-73.1)*BB22/100</f>
        <v>3.3367000000000049</v>
      </c>
      <c r="BO22" s="8">
        <f>(92.7-88.3)*BB22/100</f>
        <v>2.4068000000000032</v>
      </c>
      <c r="BP22" s="1">
        <f>(86.6-79.2)*BB22/100</f>
        <v>4.0477999999999961</v>
      </c>
      <c r="BQ22" s="1">
        <f>(73.1-63.6)*BB22/100</f>
        <v>5.1964999999999968</v>
      </c>
      <c r="BR22" s="1" t="s">
        <v>92</v>
      </c>
      <c r="BS22" s="1" t="s">
        <v>92</v>
      </c>
      <c r="BT22" s="1">
        <f>(63.6-51.8)*BB22/100</f>
        <v>6.4546000000000028</v>
      </c>
      <c r="BU22" s="1" t="s">
        <v>92</v>
      </c>
      <c r="BV22" s="1">
        <f>(88.3-86.6)*BB22/100</f>
        <v>0.92990000000000161</v>
      </c>
      <c r="BW22" s="3" t="s">
        <v>92</v>
      </c>
      <c r="BX22" s="3" t="s">
        <v>92</v>
      </c>
      <c r="BY22" s="3" t="s">
        <v>92</v>
      </c>
      <c r="BZ22" s="3" t="s">
        <v>92</v>
      </c>
      <c r="CA22" s="3" t="s">
        <v>92</v>
      </c>
      <c r="CB22" s="3" t="s">
        <v>92</v>
      </c>
      <c r="CC22" s="3" t="s">
        <v>92</v>
      </c>
      <c r="CD22" s="1">
        <f>(100-92.6)*BB22/100</f>
        <v>4.0478000000000032</v>
      </c>
      <c r="CF22" s="13" t="s">
        <v>106</v>
      </c>
    </row>
    <row r="23" spans="1:85" x14ac:dyDescent="0.15">
      <c r="A23" s="1" t="s">
        <v>90</v>
      </c>
      <c r="B23" s="1" t="s">
        <v>100</v>
      </c>
      <c r="C23" s="1" t="s">
        <v>92</v>
      </c>
      <c r="D23" s="1">
        <v>72.599999999999994</v>
      </c>
      <c r="E23" s="1" t="s">
        <v>105</v>
      </c>
      <c r="F23" s="1">
        <v>0.18</v>
      </c>
      <c r="G23" s="1" t="s">
        <v>92</v>
      </c>
      <c r="H23" s="3">
        <v>550</v>
      </c>
      <c r="I23" s="1" t="s">
        <v>92</v>
      </c>
      <c r="J23" s="1">
        <v>0.42</v>
      </c>
      <c r="M23" s="1">
        <v>0.1</v>
      </c>
      <c r="N23" s="5" t="s">
        <v>92</v>
      </c>
      <c r="O23" s="1" t="s">
        <v>92</v>
      </c>
      <c r="S23" s="54">
        <v>10.88</v>
      </c>
      <c r="W23" s="54">
        <v>86.46</v>
      </c>
      <c r="AA23" s="54">
        <v>0.05</v>
      </c>
      <c r="AE23" s="54">
        <v>0.68</v>
      </c>
      <c r="AI23" s="54">
        <v>46.33</v>
      </c>
      <c r="AM23" s="54">
        <v>7.88</v>
      </c>
      <c r="AQ23" s="59">
        <v>0.56000000000000005</v>
      </c>
      <c r="AR23" s="4"/>
      <c r="AS23" s="4"/>
      <c r="AT23" s="4"/>
      <c r="AU23" s="56">
        <v>45.18</v>
      </c>
      <c r="AV23" s="54" t="s">
        <v>92</v>
      </c>
      <c r="AZ23" s="5">
        <f t="shared" si="7"/>
        <v>75.8</v>
      </c>
      <c r="BA23" s="5">
        <f t="shared" si="4"/>
        <v>24.200000000000003</v>
      </c>
      <c r="BB23" s="5">
        <f>64.1-BC23</f>
        <v>50.3</v>
      </c>
      <c r="BC23" s="5">
        <v>13.8</v>
      </c>
      <c r="BD23" s="5">
        <v>11.7</v>
      </c>
      <c r="BE23" s="5" t="s">
        <v>101</v>
      </c>
      <c r="BF23" s="5">
        <f t="shared" si="5"/>
        <v>74.5</v>
      </c>
      <c r="BG23" s="5"/>
      <c r="BH23" s="10">
        <f t="shared" si="6"/>
        <v>21.478099999999998</v>
      </c>
      <c r="BI23" s="1">
        <v>0</v>
      </c>
      <c r="BJ23" s="1">
        <v>0</v>
      </c>
      <c r="BK23" s="1">
        <f>42.7*BB23/100</f>
        <v>21.478099999999998</v>
      </c>
      <c r="BL23" s="8">
        <f>(56.6-42.7)*BB23/100</f>
        <v>6.991699999999998</v>
      </c>
      <c r="BM23" s="3" t="s">
        <v>92</v>
      </c>
      <c r="BN23" s="10">
        <f>(81.9-74.9)*BB23/100</f>
        <v>3.5209999999999995</v>
      </c>
      <c r="BO23" s="8">
        <f>(93.6-89.7)*BB23/100</f>
        <v>1.9616999999999956</v>
      </c>
      <c r="BP23" s="1">
        <f>(88.4-81.9)*BB23/100</f>
        <v>3.2694999999999999</v>
      </c>
      <c r="BQ23" s="1">
        <f>(74.9-67.1)*BB23/100</f>
        <v>3.9234000000000053</v>
      </c>
      <c r="BR23" s="1" t="s">
        <v>92</v>
      </c>
      <c r="BS23" s="1" t="s">
        <v>92</v>
      </c>
      <c r="BT23" s="1">
        <f>(67.1-56.6)*BB23/100</f>
        <v>5.2814999999999968</v>
      </c>
      <c r="BU23" s="1" t="s">
        <v>92</v>
      </c>
      <c r="BV23" s="1">
        <f>(89.7-88.4)*BB23/100</f>
        <v>0.65389999999999859</v>
      </c>
      <c r="BW23" s="3" t="s">
        <v>92</v>
      </c>
      <c r="BX23" s="3" t="s">
        <v>92</v>
      </c>
      <c r="BY23" s="3" t="s">
        <v>92</v>
      </c>
      <c r="BZ23" s="3" t="s">
        <v>92</v>
      </c>
      <c r="CA23" s="3" t="s">
        <v>92</v>
      </c>
      <c r="CB23" s="3" t="s">
        <v>92</v>
      </c>
      <c r="CC23" s="3" t="s">
        <v>92</v>
      </c>
      <c r="CD23" s="1">
        <f>(100-92.6)*BB23/100</f>
        <v>3.7222000000000026</v>
      </c>
      <c r="CF23" s="13" t="s">
        <v>106</v>
      </c>
      <c r="CG23" s="1" t="s">
        <v>107</v>
      </c>
    </row>
    <row r="24" spans="1:85" x14ac:dyDescent="0.15">
      <c r="A24" s="1" t="s">
        <v>90</v>
      </c>
      <c r="B24" s="1" t="s">
        <v>100</v>
      </c>
      <c r="C24" s="1" t="s">
        <v>92</v>
      </c>
      <c r="D24" s="1">
        <v>72.599999999999994</v>
      </c>
      <c r="E24" s="1" t="s">
        <v>105</v>
      </c>
      <c r="F24" s="1">
        <v>0.18</v>
      </c>
      <c r="G24" s="1" t="s">
        <v>92</v>
      </c>
      <c r="H24" s="3">
        <v>600</v>
      </c>
      <c r="I24" s="1" t="s">
        <v>92</v>
      </c>
      <c r="J24" s="1">
        <v>0.42</v>
      </c>
      <c r="M24" s="1">
        <v>0.1</v>
      </c>
      <c r="N24" s="5" t="s">
        <v>92</v>
      </c>
      <c r="O24" s="1" t="s">
        <v>92</v>
      </c>
      <c r="S24" s="54">
        <v>10.88</v>
      </c>
      <c r="W24" s="54">
        <v>86.46</v>
      </c>
      <c r="AA24" s="54">
        <v>0.05</v>
      </c>
      <c r="AE24" s="54">
        <v>0.68</v>
      </c>
      <c r="AI24" s="54">
        <v>46.33</v>
      </c>
      <c r="AM24" s="54">
        <v>7.88</v>
      </c>
      <c r="AQ24" s="59">
        <v>0.56000000000000005</v>
      </c>
      <c r="AR24" s="4"/>
      <c r="AS24" s="4"/>
      <c r="AT24" s="4"/>
      <c r="AU24" s="56">
        <v>45.18</v>
      </c>
      <c r="AV24" s="54" t="s">
        <v>92</v>
      </c>
      <c r="AZ24" s="5">
        <f t="shared" si="7"/>
        <v>72.400000000000006</v>
      </c>
      <c r="BA24" s="5">
        <f t="shared" si="4"/>
        <v>27.599999999999994</v>
      </c>
      <c r="BB24" s="5">
        <f>57.7-BC24</f>
        <v>46.400000000000006</v>
      </c>
      <c r="BC24" s="5">
        <v>11.3</v>
      </c>
      <c r="BD24" s="5">
        <v>14.7</v>
      </c>
      <c r="BE24" s="5" t="s">
        <v>101</v>
      </c>
      <c r="BF24" s="5">
        <f t="shared" si="5"/>
        <v>74</v>
      </c>
      <c r="BG24" s="5"/>
      <c r="BH24" s="10">
        <f t="shared" si="6"/>
        <v>21.065600000000003</v>
      </c>
      <c r="BI24" s="1">
        <v>0</v>
      </c>
      <c r="BJ24" s="1">
        <v>0</v>
      </c>
      <c r="BK24" s="1">
        <f>45.4*BB24/100</f>
        <v>21.065600000000003</v>
      </c>
      <c r="BL24" s="8">
        <f>8*BB24/100</f>
        <v>3.7120000000000006</v>
      </c>
      <c r="BM24" s="3" t="s">
        <v>92</v>
      </c>
      <c r="BN24" s="8">
        <f>(81.5-75.8)*BB24/100</f>
        <v>2.6448000000000018</v>
      </c>
      <c r="BO24" s="8">
        <f>(92.3-88.9)*BB24/100</f>
        <v>1.5775999999999961</v>
      </c>
      <c r="BP24" s="1">
        <f>(84.1-81.5)*BB24/100</f>
        <v>1.2063999999999975</v>
      </c>
      <c r="BQ24" s="1">
        <f>(75.8-68.9)*BB24/100</f>
        <v>3.2015999999999964</v>
      </c>
      <c r="BR24" s="1" t="s">
        <v>92</v>
      </c>
      <c r="BS24" s="1" t="s">
        <v>92</v>
      </c>
      <c r="BT24" s="1">
        <f>(68.9-59.7)*BB24/100</f>
        <v>4.2688000000000015</v>
      </c>
      <c r="BU24" s="1" t="s">
        <v>92</v>
      </c>
      <c r="BV24" s="1">
        <f>(88.9-84.1)*BB24/100</f>
        <v>2.2272000000000056</v>
      </c>
      <c r="BW24" s="3" t="s">
        <v>92</v>
      </c>
      <c r="BX24" s="3" t="s">
        <v>92</v>
      </c>
      <c r="BY24" s="3" t="s">
        <v>92</v>
      </c>
      <c r="BZ24" s="3" t="s">
        <v>92</v>
      </c>
      <c r="CA24" s="3" t="s">
        <v>92</v>
      </c>
      <c r="CB24" s="3" t="s">
        <v>92</v>
      </c>
      <c r="CC24" s="3" t="s">
        <v>92</v>
      </c>
      <c r="CD24" s="1">
        <f>(100-93.1)*BB24/100</f>
        <v>3.2016000000000031</v>
      </c>
      <c r="CF24" s="13" t="s">
        <v>106</v>
      </c>
    </row>
    <row r="25" spans="1:85" x14ac:dyDescent="0.15">
      <c r="A25" s="1" t="s">
        <v>90</v>
      </c>
      <c r="B25" s="1" t="s">
        <v>100</v>
      </c>
      <c r="C25" s="1" t="s">
        <v>92</v>
      </c>
      <c r="D25" s="1">
        <v>72.599999999999994</v>
      </c>
      <c r="E25" s="1" t="s">
        <v>108</v>
      </c>
      <c r="F25" s="1">
        <v>0.18</v>
      </c>
      <c r="G25" s="1" t="s">
        <v>92</v>
      </c>
      <c r="H25" s="3">
        <v>400</v>
      </c>
      <c r="I25" s="1" t="s">
        <v>92</v>
      </c>
      <c r="J25" s="1">
        <v>0.42</v>
      </c>
      <c r="M25" s="1">
        <v>0.1</v>
      </c>
      <c r="N25" s="5" t="s">
        <v>92</v>
      </c>
      <c r="O25" s="1" t="s">
        <v>92</v>
      </c>
      <c r="S25" s="54">
        <v>10.88</v>
      </c>
      <c r="W25" s="54">
        <v>86.46</v>
      </c>
      <c r="AA25" s="54">
        <v>0.05</v>
      </c>
      <c r="AE25" s="54">
        <v>0.68</v>
      </c>
      <c r="AI25" s="54">
        <v>46.33</v>
      </c>
      <c r="AM25" s="54">
        <v>7.88</v>
      </c>
      <c r="AQ25" s="59">
        <v>0.56000000000000005</v>
      </c>
      <c r="AR25" s="4"/>
      <c r="AS25" s="4"/>
      <c r="AT25" s="4"/>
      <c r="AU25" s="56">
        <v>45.18</v>
      </c>
      <c r="AV25" s="54" t="s">
        <v>92</v>
      </c>
      <c r="AZ25" s="5">
        <f t="shared" si="7"/>
        <v>80.7</v>
      </c>
      <c r="BA25" s="5">
        <f t="shared" si="4"/>
        <v>19.299999999999997</v>
      </c>
      <c r="BB25" s="5">
        <f>74.6-BC25</f>
        <v>51.999999999999993</v>
      </c>
      <c r="BC25" s="5">
        <v>22.6</v>
      </c>
      <c r="BD25" s="5">
        <f>80.7-74.6</f>
        <v>6.1000000000000085</v>
      </c>
      <c r="BE25" s="5" t="s">
        <v>101</v>
      </c>
      <c r="BF25" s="5">
        <f t="shared" si="5"/>
        <v>71.299999999999983</v>
      </c>
      <c r="BG25" s="5"/>
      <c r="BH25" s="10">
        <f t="shared" si="6"/>
        <v>17.315999999999995</v>
      </c>
      <c r="BI25" s="1">
        <v>0</v>
      </c>
      <c r="BJ25" s="1">
        <v>0</v>
      </c>
      <c r="BK25" s="1">
        <f>33.3*BB25/100</f>
        <v>17.315999999999995</v>
      </c>
      <c r="BL25" s="10">
        <f>(46.3-33.3)*BB25/100</f>
        <v>6.7599999999999989</v>
      </c>
      <c r="BM25" s="3" t="s">
        <v>92</v>
      </c>
      <c r="BN25" s="8">
        <f>(75.9-71.6)*BB25/100</f>
        <v>2.2360000000000055</v>
      </c>
      <c r="BO25" s="8">
        <f>(92.9-88.1)*BB25/100</f>
        <v>2.4960000000000058</v>
      </c>
      <c r="BP25" s="1">
        <f>(84.6-75.9)*BB25/100</f>
        <v>4.5239999999999938</v>
      </c>
      <c r="BQ25" s="1">
        <f>(71.6-62)*BB25/100</f>
        <v>4.9919999999999964</v>
      </c>
      <c r="BR25" s="1" t="s">
        <v>92</v>
      </c>
      <c r="BS25" s="1" t="s">
        <v>92</v>
      </c>
      <c r="BT25" s="1">
        <f>(62-46.3)*BB25/100</f>
        <v>8.1640000000000015</v>
      </c>
      <c r="BU25" s="1" t="s">
        <v>92</v>
      </c>
      <c r="BV25" s="1">
        <f>(88.1-84.6)*BB25/100</f>
        <v>1.8199999999999996</v>
      </c>
      <c r="BW25" s="3" t="s">
        <v>92</v>
      </c>
      <c r="BX25" s="3" t="s">
        <v>92</v>
      </c>
      <c r="BY25" s="3" t="s">
        <v>92</v>
      </c>
      <c r="BZ25" s="3" t="s">
        <v>92</v>
      </c>
      <c r="CA25" s="3" t="s">
        <v>92</v>
      </c>
      <c r="CB25" s="3" t="s">
        <v>92</v>
      </c>
      <c r="CC25" s="3" t="s">
        <v>92</v>
      </c>
      <c r="CD25" s="1">
        <f>(100-92.6)*BB25/100</f>
        <v>3.8480000000000025</v>
      </c>
      <c r="CF25" s="13" t="s">
        <v>106</v>
      </c>
      <c r="CG25" s="7" t="s">
        <v>109</v>
      </c>
    </row>
    <row r="26" spans="1:85" x14ac:dyDescent="0.15">
      <c r="A26" s="1" t="s">
        <v>90</v>
      </c>
      <c r="B26" s="1" t="s">
        <v>100</v>
      </c>
      <c r="C26" s="1" t="s">
        <v>92</v>
      </c>
      <c r="D26" s="1">
        <v>72.599999999999994</v>
      </c>
      <c r="E26" s="1" t="s">
        <v>108</v>
      </c>
      <c r="F26" s="1">
        <v>0.18</v>
      </c>
      <c r="G26" s="1" t="s">
        <v>92</v>
      </c>
      <c r="H26" s="3">
        <v>450</v>
      </c>
      <c r="I26" s="1" t="s">
        <v>92</v>
      </c>
      <c r="J26" s="1">
        <v>0.42</v>
      </c>
      <c r="M26" s="1">
        <v>0.1</v>
      </c>
      <c r="N26" s="5" t="s">
        <v>92</v>
      </c>
      <c r="O26" s="1" t="s">
        <v>92</v>
      </c>
      <c r="S26" s="54">
        <v>10.88</v>
      </c>
      <c r="W26" s="54">
        <v>86.46</v>
      </c>
      <c r="AA26" s="54">
        <v>0.05</v>
      </c>
      <c r="AE26" s="54">
        <v>0.68</v>
      </c>
      <c r="AI26" s="54">
        <v>46.33</v>
      </c>
      <c r="AM26" s="54">
        <v>7.88</v>
      </c>
      <c r="AQ26" s="59">
        <v>0.56000000000000005</v>
      </c>
      <c r="AR26" s="4"/>
      <c r="AS26" s="4"/>
      <c r="AT26" s="4"/>
      <c r="AU26" s="56">
        <v>45.18</v>
      </c>
      <c r="AV26" s="54" t="s">
        <v>92</v>
      </c>
      <c r="AZ26" s="5">
        <f t="shared" si="7"/>
        <v>80.900000000000006</v>
      </c>
      <c r="BA26" s="5">
        <f t="shared" si="4"/>
        <v>19.099999999999994</v>
      </c>
      <c r="BB26" s="5">
        <f>71.8-BC26</f>
        <v>52.8</v>
      </c>
      <c r="BC26" s="5">
        <v>19</v>
      </c>
      <c r="BD26" s="5">
        <f>80.9-71.8</f>
        <v>9.1000000000000085</v>
      </c>
      <c r="BE26" s="5" t="s">
        <v>101</v>
      </c>
      <c r="BF26" s="5">
        <f t="shared" si="5"/>
        <v>71.899999999999991</v>
      </c>
      <c r="BG26" s="5"/>
      <c r="BH26" s="10">
        <f t="shared" si="6"/>
        <v>19.219199999999997</v>
      </c>
      <c r="BI26" s="1">
        <v>0</v>
      </c>
      <c r="BJ26" s="1">
        <v>0</v>
      </c>
      <c r="BK26" s="1">
        <f>36.4*BB26/100</f>
        <v>19.219199999999997</v>
      </c>
      <c r="BL26" s="8">
        <f>(52.5-36.4)*BB26/100</f>
        <v>8.5007999999999999</v>
      </c>
      <c r="BM26" s="3" t="s">
        <v>92</v>
      </c>
      <c r="BN26" s="8">
        <f>(80.3-70.7)*BB26/100</f>
        <v>5.0687999999999969</v>
      </c>
      <c r="BO26" s="8">
        <f>(91.6-88.1)*BB26/100</f>
        <v>1.8479999999999999</v>
      </c>
      <c r="BP26" s="1">
        <f>(86.8-80.3)*BB26/100</f>
        <v>3.4319999999999999</v>
      </c>
      <c r="BQ26" s="1">
        <f>(70.7-64.6)*BB26/100</f>
        <v>3.2208000000000045</v>
      </c>
      <c r="BR26" s="1" t="s">
        <v>92</v>
      </c>
      <c r="BS26" s="1" t="s">
        <v>92</v>
      </c>
      <c r="BT26" s="1">
        <f>(64.6-52.5)*BB26/100</f>
        <v>6.3887999999999963</v>
      </c>
      <c r="BU26" s="1" t="s">
        <v>92</v>
      </c>
      <c r="BV26" s="1">
        <f>(88.1-86.8)*BB26/100</f>
        <v>0.68639999999999846</v>
      </c>
      <c r="BW26" s="3" t="s">
        <v>92</v>
      </c>
      <c r="BX26" s="3" t="s">
        <v>92</v>
      </c>
      <c r="BY26" s="3" t="s">
        <v>92</v>
      </c>
      <c r="BZ26" s="3" t="s">
        <v>92</v>
      </c>
      <c r="CA26" s="3" t="s">
        <v>92</v>
      </c>
      <c r="CB26" s="3" t="s">
        <v>92</v>
      </c>
      <c r="CC26" s="3" t="s">
        <v>92</v>
      </c>
      <c r="CD26" s="1">
        <f>(100-92.6)*BB26/100</f>
        <v>3.9072000000000027</v>
      </c>
      <c r="CF26" s="13" t="s">
        <v>106</v>
      </c>
    </row>
    <row r="27" spans="1:85" x14ac:dyDescent="0.15">
      <c r="A27" s="1" t="s">
        <v>90</v>
      </c>
      <c r="B27" s="1" t="s">
        <v>100</v>
      </c>
      <c r="C27" s="1" t="s">
        <v>92</v>
      </c>
      <c r="D27" s="1">
        <v>72.599999999999994</v>
      </c>
      <c r="E27" s="1" t="s">
        <v>108</v>
      </c>
      <c r="F27" s="1">
        <v>0.18</v>
      </c>
      <c r="G27" s="1" t="s">
        <v>92</v>
      </c>
      <c r="H27" s="3">
        <v>500</v>
      </c>
      <c r="I27" s="1" t="s">
        <v>92</v>
      </c>
      <c r="J27" s="1">
        <v>0.42</v>
      </c>
      <c r="M27" s="1">
        <v>0.1</v>
      </c>
      <c r="N27" s="5" t="s">
        <v>92</v>
      </c>
      <c r="O27" s="1" t="s">
        <v>92</v>
      </c>
      <c r="S27" s="54">
        <v>10.88</v>
      </c>
      <c r="W27" s="54">
        <v>86.46</v>
      </c>
      <c r="AA27" s="54">
        <v>0.05</v>
      </c>
      <c r="AE27" s="54">
        <v>0.68</v>
      </c>
      <c r="AI27" s="54">
        <v>46.33</v>
      </c>
      <c r="AM27" s="54">
        <v>7.88</v>
      </c>
      <c r="AQ27" s="59">
        <v>0.56000000000000005</v>
      </c>
      <c r="AR27" s="4"/>
      <c r="AS27" s="4"/>
      <c r="AT27" s="4"/>
      <c r="AU27" s="56">
        <v>45.18</v>
      </c>
      <c r="AV27" s="54" t="s">
        <v>92</v>
      </c>
      <c r="AZ27" s="5">
        <f t="shared" si="7"/>
        <v>79.5</v>
      </c>
      <c r="BA27" s="5">
        <f t="shared" si="4"/>
        <v>20.5</v>
      </c>
      <c r="BB27" s="5">
        <f>68.1-BC27</f>
        <v>54.399999999999991</v>
      </c>
      <c r="BC27" s="5">
        <v>13.7</v>
      </c>
      <c r="BD27" s="5">
        <f>79.5-68.1</f>
        <v>11.400000000000006</v>
      </c>
      <c r="BE27" s="5" t="s">
        <v>101</v>
      </c>
      <c r="BF27" s="5">
        <f t="shared" si="5"/>
        <v>74.899999999999991</v>
      </c>
      <c r="BG27" s="5"/>
      <c r="BH27" s="10">
        <f t="shared" si="6"/>
        <v>21.705599999999993</v>
      </c>
      <c r="BI27" s="1">
        <v>0</v>
      </c>
      <c r="BJ27" s="1">
        <v>0</v>
      </c>
      <c r="BK27" s="1">
        <f>39.9*BB27/100</f>
        <v>21.705599999999993</v>
      </c>
      <c r="BL27" s="8">
        <f>(55.5-39.9)*BB27/100</f>
        <v>8.4863999999999997</v>
      </c>
      <c r="BM27" s="3" t="s">
        <v>92</v>
      </c>
      <c r="BN27" s="10">
        <f>(81.6-71.6)*BB27/100</f>
        <v>5.4399999999999986</v>
      </c>
      <c r="BO27" s="8">
        <f>(92.1-89.9)*BB27/100</f>
        <v>1.1967999999999936</v>
      </c>
      <c r="BP27" s="1">
        <f>(87.7-81.6)*BB27/100</f>
        <v>3.3184000000000045</v>
      </c>
      <c r="BQ27" s="1">
        <f>(71.6-67.3)*BB27/100</f>
        <v>2.3391999999999982</v>
      </c>
      <c r="BR27" s="1" t="s">
        <v>92</v>
      </c>
      <c r="BS27" s="1" t="s">
        <v>92</v>
      </c>
      <c r="BT27" s="1">
        <f>(67.3-55.5)*BB27/100</f>
        <v>6.4191999999999974</v>
      </c>
      <c r="BU27" s="1" t="s">
        <v>92</v>
      </c>
      <c r="BV27" s="1">
        <f>(89.9-87.7)*BB27/100</f>
        <v>1.1968000000000014</v>
      </c>
      <c r="BW27" s="3" t="s">
        <v>92</v>
      </c>
      <c r="BX27" s="3" t="s">
        <v>92</v>
      </c>
      <c r="BY27" s="3" t="s">
        <v>92</v>
      </c>
      <c r="BZ27" s="3" t="s">
        <v>92</v>
      </c>
      <c r="CA27" s="3" t="s">
        <v>92</v>
      </c>
      <c r="CB27" s="3" t="s">
        <v>92</v>
      </c>
      <c r="CC27" s="3" t="s">
        <v>92</v>
      </c>
      <c r="CD27" s="1">
        <f>(100-93.1)*BB27/100</f>
        <v>3.7536000000000023</v>
      </c>
      <c r="CF27" s="13" t="s">
        <v>106</v>
      </c>
    </row>
    <row r="28" spans="1:85" x14ac:dyDescent="0.15">
      <c r="A28" s="1" t="s">
        <v>90</v>
      </c>
      <c r="B28" s="1" t="s">
        <v>100</v>
      </c>
      <c r="C28" s="1" t="s">
        <v>92</v>
      </c>
      <c r="D28" s="1">
        <v>72.599999999999994</v>
      </c>
      <c r="E28" s="1" t="s">
        <v>108</v>
      </c>
      <c r="F28" s="1">
        <v>0.18</v>
      </c>
      <c r="G28" s="1" t="s">
        <v>92</v>
      </c>
      <c r="H28" s="3">
        <v>550</v>
      </c>
      <c r="I28" s="1" t="s">
        <v>92</v>
      </c>
      <c r="J28" s="1">
        <v>0.42</v>
      </c>
      <c r="M28" s="1">
        <v>0.1</v>
      </c>
      <c r="N28" s="5" t="s">
        <v>92</v>
      </c>
      <c r="O28" s="1" t="s">
        <v>92</v>
      </c>
      <c r="S28" s="54">
        <v>10.88</v>
      </c>
      <c r="W28" s="54">
        <v>86.46</v>
      </c>
      <c r="AA28" s="54">
        <v>0.05</v>
      </c>
      <c r="AE28" s="54">
        <v>0.68</v>
      </c>
      <c r="AI28" s="54">
        <v>46.33</v>
      </c>
      <c r="AM28" s="54">
        <v>7.88</v>
      </c>
      <c r="AQ28" s="59">
        <v>0.56000000000000005</v>
      </c>
      <c r="AR28" s="4"/>
      <c r="AS28" s="4"/>
      <c r="AT28" s="4"/>
      <c r="AU28" s="56">
        <v>45.18</v>
      </c>
      <c r="AV28" s="54" t="s">
        <v>92</v>
      </c>
      <c r="AZ28" s="5">
        <f t="shared" si="7"/>
        <v>74.2</v>
      </c>
      <c r="BA28" s="5">
        <f t="shared" si="4"/>
        <v>25.799999999999997</v>
      </c>
      <c r="BB28" s="5">
        <f>60.3-BC28</f>
        <v>48.599999999999994</v>
      </c>
      <c r="BC28" s="5">
        <v>11.7</v>
      </c>
      <c r="BD28" s="5">
        <f>74.2-60.3</f>
        <v>13.900000000000006</v>
      </c>
      <c r="BE28" s="5" t="s">
        <v>101</v>
      </c>
      <c r="BF28" s="5">
        <f t="shared" si="5"/>
        <v>74.399999999999991</v>
      </c>
      <c r="BG28" s="5"/>
      <c r="BH28" s="10">
        <f t="shared" si="6"/>
        <v>20.897999999999996</v>
      </c>
      <c r="BI28" s="1">
        <v>0</v>
      </c>
      <c r="BJ28" s="1">
        <v>0</v>
      </c>
      <c r="BK28" s="5">
        <f>43*BB28/100</f>
        <v>20.897999999999996</v>
      </c>
      <c r="BL28" s="8">
        <f>(56.9-43)*BB28/100</f>
        <v>6.7553999999999981</v>
      </c>
      <c r="BM28" s="3" t="s">
        <v>92</v>
      </c>
      <c r="BN28" s="8">
        <f>(83-70.8)*BB28/100</f>
        <v>5.9292000000000007</v>
      </c>
      <c r="BO28" s="8">
        <f>(94.7-92.1)*BB28/100</f>
        <v>1.2636000000000041</v>
      </c>
      <c r="BP28" s="1">
        <f>(89.5-83)*BB28/100</f>
        <v>3.1589999999999998</v>
      </c>
      <c r="BQ28" s="1">
        <f>(70.8-66)*BB28/100</f>
        <v>2.3327999999999984</v>
      </c>
      <c r="BR28" s="1" t="s">
        <v>92</v>
      </c>
      <c r="BS28" s="1" t="s">
        <v>92</v>
      </c>
      <c r="BT28" s="1">
        <f>(66-56.9)*BB28/100</f>
        <v>4.4226000000000001</v>
      </c>
      <c r="BU28" s="1" t="s">
        <v>92</v>
      </c>
      <c r="BV28" s="1">
        <f>(92.1-89.5)*BB28/100</f>
        <v>1.2635999999999972</v>
      </c>
      <c r="BW28" s="3" t="s">
        <v>92</v>
      </c>
      <c r="BX28" s="3" t="s">
        <v>92</v>
      </c>
      <c r="BY28" s="3" t="s">
        <v>92</v>
      </c>
      <c r="BZ28" s="3" t="s">
        <v>92</v>
      </c>
      <c r="CA28" s="3" t="s">
        <v>92</v>
      </c>
      <c r="CB28" s="3" t="s">
        <v>92</v>
      </c>
      <c r="CC28" s="3" t="s">
        <v>92</v>
      </c>
      <c r="CD28" s="1">
        <f>(100-92.6)*BB28/100</f>
        <v>3.5964000000000023</v>
      </c>
      <c r="CF28" s="13" t="s">
        <v>106</v>
      </c>
    </row>
    <row r="29" spans="1:85" x14ac:dyDescent="0.15">
      <c r="A29" s="1" t="s">
        <v>90</v>
      </c>
      <c r="B29" s="1" t="s">
        <v>100</v>
      </c>
      <c r="C29" s="1" t="s">
        <v>92</v>
      </c>
      <c r="D29" s="1">
        <v>72.599999999999994</v>
      </c>
      <c r="E29" s="1" t="s">
        <v>108</v>
      </c>
      <c r="F29" s="1">
        <v>0.18</v>
      </c>
      <c r="G29" s="1" t="s">
        <v>92</v>
      </c>
      <c r="H29" s="3">
        <v>600</v>
      </c>
      <c r="I29" s="1" t="s">
        <v>92</v>
      </c>
      <c r="J29" s="1">
        <v>0.42</v>
      </c>
      <c r="M29" s="1">
        <v>0.1</v>
      </c>
      <c r="N29" s="5" t="s">
        <v>92</v>
      </c>
      <c r="O29" s="1" t="s">
        <v>92</v>
      </c>
      <c r="S29" s="54">
        <v>10.88</v>
      </c>
      <c r="W29" s="54">
        <v>86.46</v>
      </c>
      <c r="AA29" s="54">
        <v>0.05</v>
      </c>
      <c r="AE29" s="54">
        <v>0.68</v>
      </c>
      <c r="AI29" s="54">
        <v>46.33</v>
      </c>
      <c r="AM29" s="54">
        <v>7.88</v>
      </c>
      <c r="AQ29" s="59">
        <v>0.56000000000000005</v>
      </c>
      <c r="AR29" s="4"/>
      <c r="AS29" s="4"/>
      <c r="AT29" s="4"/>
      <c r="AU29" s="56">
        <v>45.18</v>
      </c>
      <c r="AV29" s="54" t="s">
        <v>92</v>
      </c>
      <c r="AZ29" s="5">
        <f t="shared" si="7"/>
        <v>70.900000000000006</v>
      </c>
      <c r="BA29" s="5">
        <f t="shared" si="4"/>
        <v>29.099999999999994</v>
      </c>
      <c r="BB29" s="5">
        <f>54.5-BC29</f>
        <v>45.31</v>
      </c>
      <c r="BC29" s="5">
        <v>9.19</v>
      </c>
      <c r="BD29" s="5">
        <f>70.9-54.5</f>
        <v>16.400000000000006</v>
      </c>
      <c r="BE29" s="5" t="s">
        <v>101</v>
      </c>
      <c r="BF29" s="5">
        <f t="shared" si="5"/>
        <v>74.41</v>
      </c>
      <c r="BG29" s="5"/>
      <c r="BH29" s="10">
        <f t="shared" si="6"/>
        <v>20.661359999999998</v>
      </c>
      <c r="BI29" s="1">
        <v>0</v>
      </c>
      <c r="BJ29" s="1">
        <v>0</v>
      </c>
      <c r="BK29" s="1">
        <f>45.6*BB29/100</f>
        <v>20.661359999999998</v>
      </c>
      <c r="BL29" s="8">
        <f>(56.5-45.6)*BB29/100</f>
        <v>4.93879</v>
      </c>
      <c r="BM29" s="3" t="s">
        <v>92</v>
      </c>
      <c r="BN29" s="8">
        <f>(79.5-71.7)*BB29/100</f>
        <v>3.5341799999999988</v>
      </c>
      <c r="BO29" s="10">
        <f>(94.8-87.8)*BB29/100</f>
        <v>3.1717</v>
      </c>
      <c r="BP29" s="1">
        <f>(85.6-79.5)*BB29/100</f>
        <v>2.7639099999999974</v>
      </c>
      <c r="BQ29" s="1">
        <f>(71.7-65.6)*BB29/100</f>
        <v>2.7639100000000041</v>
      </c>
      <c r="BR29" s="1" t="s">
        <v>92</v>
      </c>
      <c r="BS29" s="1" t="s">
        <v>92</v>
      </c>
      <c r="BT29" s="1">
        <f>(65.6-56.5)*BB29/100</f>
        <v>4.1232099999999976</v>
      </c>
      <c r="BU29" s="1" t="s">
        <v>92</v>
      </c>
      <c r="BV29" s="1">
        <f>(87.8-85.6)*BB29/100</f>
        <v>0.99682000000000126</v>
      </c>
      <c r="BW29" s="3" t="s">
        <v>92</v>
      </c>
      <c r="BX29" s="3" t="s">
        <v>92</v>
      </c>
      <c r="BY29" s="3" t="s">
        <v>92</v>
      </c>
      <c r="BZ29" s="3" t="s">
        <v>92</v>
      </c>
      <c r="CA29" s="3" t="s">
        <v>92</v>
      </c>
      <c r="CB29" s="3" t="s">
        <v>92</v>
      </c>
      <c r="CC29" s="3" t="s">
        <v>92</v>
      </c>
      <c r="CD29" s="1">
        <f>(100-92.6)*BB29/100</f>
        <v>3.3529400000000025</v>
      </c>
      <c r="CF29" s="13" t="s">
        <v>106</v>
      </c>
    </row>
    <row r="30" spans="1:85" s="28" customFormat="1" x14ac:dyDescent="0.15">
      <c r="A30" s="28" t="s">
        <v>90</v>
      </c>
      <c r="B30" s="28" t="s">
        <v>110</v>
      </c>
      <c r="C30" s="28" t="s">
        <v>92</v>
      </c>
      <c r="D30" s="28" t="s">
        <v>92</v>
      </c>
      <c r="E30" s="28" t="s">
        <v>93</v>
      </c>
      <c r="F30" s="28">
        <v>0.03</v>
      </c>
      <c r="G30" s="28" t="s">
        <v>92</v>
      </c>
      <c r="H30" s="29">
        <v>400</v>
      </c>
      <c r="I30" s="28" t="s">
        <v>92</v>
      </c>
      <c r="J30" s="28">
        <v>0.7</v>
      </c>
      <c r="M30" s="28" t="s">
        <v>92</v>
      </c>
      <c r="N30" s="31" t="s">
        <v>92</v>
      </c>
      <c r="O30" s="28" t="s">
        <v>92</v>
      </c>
      <c r="S30" s="54">
        <v>8.14</v>
      </c>
      <c r="W30" s="54">
        <v>77.28</v>
      </c>
      <c r="AA30" s="54">
        <v>0.17</v>
      </c>
      <c r="AE30" s="54">
        <v>0.3</v>
      </c>
      <c r="AI30" s="54">
        <v>49.21</v>
      </c>
      <c r="AM30" s="54">
        <v>5.22</v>
      </c>
      <c r="AQ30" s="54">
        <v>0.04</v>
      </c>
      <c r="AU30" s="54">
        <v>45.36</v>
      </c>
      <c r="AV30" s="54">
        <v>17.2</v>
      </c>
      <c r="AZ30" s="31" t="e">
        <f>BB30+BC30+BD30</f>
        <v>#VALUE!</v>
      </c>
      <c r="BA30" s="31" t="e">
        <f t="shared" si="4"/>
        <v>#VALUE!</v>
      </c>
      <c r="BB30" s="31" t="s">
        <v>92</v>
      </c>
      <c r="BC30" s="31">
        <v>32.299999999999997</v>
      </c>
      <c r="BD30" s="31" t="s">
        <v>92</v>
      </c>
      <c r="BE30" s="31"/>
      <c r="BF30" s="31" t="e">
        <f>BB30+BA30</f>
        <v>#VALUE!</v>
      </c>
      <c r="BG30" s="31"/>
      <c r="BH30" s="31">
        <f t="shared" si="6"/>
        <v>0</v>
      </c>
      <c r="BI30" s="28">
        <v>0</v>
      </c>
      <c r="BJ30" s="28">
        <v>0</v>
      </c>
      <c r="BK30" s="31">
        <v>0</v>
      </c>
      <c r="BL30" s="31" t="s">
        <v>92</v>
      </c>
      <c r="BM30" s="29" t="s">
        <v>92</v>
      </c>
      <c r="BN30" s="31" t="s">
        <v>92</v>
      </c>
      <c r="BO30" s="31" t="s">
        <v>92</v>
      </c>
      <c r="BP30" s="31" t="s">
        <v>92</v>
      </c>
      <c r="BQ30" s="31" t="s">
        <v>92</v>
      </c>
      <c r="BR30" s="31" t="s">
        <v>92</v>
      </c>
      <c r="BS30" s="31" t="s">
        <v>92</v>
      </c>
      <c r="BT30" s="31" t="s">
        <v>92</v>
      </c>
      <c r="BU30" s="31" t="s">
        <v>92</v>
      </c>
      <c r="BV30" s="31" t="s">
        <v>92</v>
      </c>
      <c r="BW30" s="29" t="s">
        <v>92</v>
      </c>
      <c r="BX30" s="29" t="s">
        <v>92</v>
      </c>
      <c r="BY30" s="29" t="s">
        <v>92</v>
      </c>
      <c r="BZ30" s="29" t="s">
        <v>92</v>
      </c>
      <c r="CA30" s="29" t="s">
        <v>92</v>
      </c>
      <c r="CB30" s="29" t="s">
        <v>92</v>
      </c>
      <c r="CC30" s="29" t="s">
        <v>92</v>
      </c>
      <c r="CD30" s="31" t="s">
        <v>92</v>
      </c>
      <c r="CF30" s="28" t="s">
        <v>111</v>
      </c>
    </row>
    <row r="31" spans="1:85" x14ac:dyDescent="0.15">
      <c r="A31" s="1" t="s">
        <v>90</v>
      </c>
      <c r="B31" s="1" t="s">
        <v>110</v>
      </c>
      <c r="C31" s="1" t="s">
        <v>92</v>
      </c>
      <c r="D31" s="1" t="s">
        <v>92</v>
      </c>
      <c r="E31" s="1" t="s">
        <v>93</v>
      </c>
      <c r="F31" s="1">
        <v>0.03</v>
      </c>
      <c r="G31" s="1" t="s">
        <v>92</v>
      </c>
      <c r="H31" s="3">
        <v>500</v>
      </c>
      <c r="I31" s="1" t="s">
        <v>92</v>
      </c>
      <c r="J31" s="1">
        <v>0.7</v>
      </c>
      <c r="M31" s="1" t="s">
        <v>92</v>
      </c>
      <c r="N31" s="5" t="s">
        <v>92</v>
      </c>
      <c r="O31" s="1" t="s">
        <v>92</v>
      </c>
      <c r="S31" s="54">
        <v>8.14</v>
      </c>
      <c r="W31" s="54">
        <v>77.28</v>
      </c>
      <c r="AA31" s="54">
        <v>0.17</v>
      </c>
      <c r="AE31" s="54">
        <v>0.3</v>
      </c>
      <c r="AI31" s="54">
        <v>49.21</v>
      </c>
      <c r="AM31" s="54">
        <v>5.22</v>
      </c>
      <c r="AQ31" s="54">
        <v>0.04</v>
      </c>
      <c r="AU31" s="54">
        <v>45.36</v>
      </c>
      <c r="AV31" s="54">
        <v>17.2</v>
      </c>
      <c r="AZ31" s="5" t="e">
        <f t="shared" si="7"/>
        <v>#VALUE!</v>
      </c>
      <c r="BA31" s="5" t="e">
        <f t="shared" si="4"/>
        <v>#VALUE!</v>
      </c>
      <c r="BB31" s="5" t="s">
        <v>92</v>
      </c>
      <c r="BC31" s="5">
        <v>25.2</v>
      </c>
      <c r="BD31" s="5" t="s">
        <v>92</v>
      </c>
      <c r="BE31" s="5"/>
      <c r="BF31" s="5" t="e">
        <f t="shared" si="5"/>
        <v>#VALUE!</v>
      </c>
      <c r="BG31" s="5"/>
      <c r="BH31" s="10">
        <f t="shared" si="6"/>
        <v>0</v>
      </c>
      <c r="BI31" s="1">
        <v>0</v>
      </c>
      <c r="BJ31" s="1">
        <v>0</v>
      </c>
      <c r="BK31" s="5">
        <v>0</v>
      </c>
      <c r="BL31" s="10" t="s">
        <v>92</v>
      </c>
      <c r="BM31" s="3" t="s">
        <v>92</v>
      </c>
      <c r="BN31" s="10" t="s">
        <v>92</v>
      </c>
      <c r="BO31" s="10" t="s">
        <v>92</v>
      </c>
      <c r="BP31" s="5" t="s">
        <v>92</v>
      </c>
      <c r="BQ31" s="5" t="s">
        <v>92</v>
      </c>
      <c r="BR31" s="5" t="s">
        <v>92</v>
      </c>
      <c r="BS31" s="5" t="s">
        <v>92</v>
      </c>
      <c r="BT31" s="5" t="s">
        <v>92</v>
      </c>
      <c r="BU31" s="5" t="s">
        <v>92</v>
      </c>
      <c r="BV31" s="5" t="s">
        <v>92</v>
      </c>
      <c r="BW31" s="3" t="s">
        <v>92</v>
      </c>
      <c r="BX31" s="3" t="s">
        <v>92</v>
      </c>
      <c r="BY31" s="3" t="s">
        <v>92</v>
      </c>
      <c r="BZ31" s="3" t="s">
        <v>92</v>
      </c>
      <c r="CA31" s="3" t="s">
        <v>92</v>
      </c>
      <c r="CB31" s="3" t="s">
        <v>92</v>
      </c>
      <c r="CC31" s="3" t="s">
        <v>92</v>
      </c>
      <c r="CD31" s="5" t="s">
        <v>92</v>
      </c>
      <c r="CF31" s="13" t="s">
        <v>111</v>
      </c>
    </row>
    <row r="32" spans="1:85" x14ac:dyDescent="0.15">
      <c r="A32" s="1" t="s">
        <v>90</v>
      </c>
      <c r="B32" s="1" t="s">
        <v>110</v>
      </c>
      <c r="C32" s="1" t="s">
        <v>92</v>
      </c>
      <c r="D32" s="1" t="s">
        <v>92</v>
      </c>
      <c r="E32" s="1" t="s">
        <v>93</v>
      </c>
      <c r="F32" s="1">
        <v>0.03</v>
      </c>
      <c r="G32" s="1" t="s">
        <v>92</v>
      </c>
      <c r="H32" s="3">
        <v>600</v>
      </c>
      <c r="I32" s="1" t="s">
        <v>92</v>
      </c>
      <c r="J32" s="1">
        <v>0.7</v>
      </c>
      <c r="M32" s="1" t="s">
        <v>92</v>
      </c>
      <c r="N32" s="5" t="s">
        <v>92</v>
      </c>
      <c r="O32" s="1" t="s">
        <v>92</v>
      </c>
      <c r="S32" s="54">
        <v>8.14</v>
      </c>
      <c r="W32" s="54">
        <v>77.28</v>
      </c>
      <c r="AA32" s="54">
        <v>0.17</v>
      </c>
      <c r="AE32" s="54">
        <v>0.3</v>
      </c>
      <c r="AI32" s="54">
        <v>49.21</v>
      </c>
      <c r="AM32" s="54">
        <v>5.22</v>
      </c>
      <c r="AQ32" s="54">
        <v>0.04</v>
      </c>
      <c r="AU32" s="54">
        <v>45.36</v>
      </c>
      <c r="AV32" s="54">
        <v>17.2</v>
      </c>
      <c r="AZ32" s="5" t="e">
        <f t="shared" si="7"/>
        <v>#VALUE!</v>
      </c>
      <c r="BA32" s="5" t="e">
        <f t="shared" si="4"/>
        <v>#VALUE!</v>
      </c>
      <c r="BB32" s="5" t="s">
        <v>92</v>
      </c>
      <c r="BC32" s="5">
        <v>21.6</v>
      </c>
      <c r="BD32" s="5" t="s">
        <v>92</v>
      </c>
      <c r="BE32" s="5"/>
      <c r="BF32" s="5" t="e">
        <f t="shared" si="5"/>
        <v>#VALUE!</v>
      </c>
      <c r="BG32" s="5"/>
      <c r="BH32" s="10">
        <f t="shared" si="6"/>
        <v>0</v>
      </c>
      <c r="BI32" s="1">
        <v>0</v>
      </c>
      <c r="BJ32" s="1">
        <v>0</v>
      </c>
      <c r="BK32" s="5">
        <v>0</v>
      </c>
      <c r="BL32" s="10" t="s">
        <v>92</v>
      </c>
      <c r="BM32" s="3" t="s">
        <v>92</v>
      </c>
      <c r="BN32" s="10" t="s">
        <v>92</v>
      </c>
      <c r="BO32" s="10" t="s">
        <v>92</v>
      </c>
      <c r="BP32" s="5" t="s">
        <v>92</v>
      </c>
      <c r="BQ32" s="5" t="s">
        <v>92</v>
      </c>
      <c r="BR32" s="5" t="s">
        <v>92</v>
      </c>
      <c r="BS32" s="5" t="s">
        <v>92</v>
      </c>
      <c r="BT32" s="5" t="s">
        <v>92</v>
      </c>
      <c r="BU32" s="5" t="s">
        <v>92</v>
      </c>
      <c r="BV32" s="5" t="s">
        <v>92</v>
      </c>
      <c r="BW32" s="3" t="s">
        <v>92</v>
      </c>
      <c r="BX32" s="3" t="s">
        <v>92</v>
      </c>
      <c r="BY32" s="3" t="s">
        <v>92</v>
      </c>
      <c r="BZ32" s="3" t="s">
        <v>92</v>
      </c>
      <c r="CA32" s="3" t="s">
        <v>92</v>
      </c>
      <c r="CB32" s="3" t="s">
        <v>92</v>
      </c>
      <c r="CC32" s="3" t="s">
        <v>92</v>
      </c>
      <c r="CD32" s="5" t="s">
        <v>92</v>
      </c>
      <c r="CF32" s="13" t="s">
        <v>111</v>
      </c>
    </row>
    <row r="33" spans="1:85" x14ac:dyDescent="0.15">
      <c r="A33" s="1" t="s">
        <v>90</v>
      </c>
      <c r="B33" s="1" t="s">
        <v>110</v>
      </c>
      <c r="C33" s="1" t="s">
        <v>92</v>
      </c>
      <c r="D33" s="1" t="s">
        <v>92</v>
      </c>
      <c r="E33" s="1" t="s">
        <v>93</v>
      </c>
      <c r="F33" s="1">
        <v>0.03</v>
      </c>
      <c r="G33" s="1" t="s">
        <v>92</v>
      </c>
      <c r="H33" s="3">
        <v>700</v>
      </c>
      <c r="I33" s="1" t="s">
        <v>92</v>
      </c>
      <c r="J33" s="1">
        <v>0.7</v>
      </c>
      <c r="M33" s="1" t="s">
        <v>92</v>
      </c>
      <c r="N33" s="5" t="s">
        <v>92</v>
      </c>
      <c r="O33" s="1" t="s">
        <v>92</v>
      </c>
      <c r="S33" s="54">
        <v>8.14</v>
      </c>
      <c r="W33" s="54">
        <v>77.28</v>
      </c>
      <c r="AA33" s="54">
        <v>0.17</v>
      </c>
      <c r="AE33" s="54">
        <v>0.3</v>
      </c>
      <c r="AI33" s="54">
        <v>49.21</v>
      </c>
      <c r="AM33" s="54">
        <v>5.22</v>
      </c>
      <c r="AQ33" s="54">
        <v>0.04</v>
      </c>
      <c r="AU33" s="54">
        <v>45.36</v>
      </c>
      <c r="AV33" s="54">
        <v>17.2</v>
      </c>
      <c r="AZ33" s="5" t="e">
        <f t="shared" si="7"/>
        <v>#VALUE!</v>
      </c>
      <c r="BA33" s="5" t="e">
        <f t="shared" si="4"/>
        <v>#VALUE!</v>
      </c>
      <c r="BB33" s="5" t="s">
        <v>92</v>
      </c>
      <c r="BC33" s="5">
        <v>17.3</v>
      </c>
      <c r="BD33" s="5" t="s">
        <v>92</v>
      </c>
      <c r="BE33" s="5"/>
      <c r="BF33" s="5" t="e">
        <f t="shared" si="5"/>
        <v>#VALUE!</v>
      </c>
      <c r="BG33" s="5"/>
      <c r="BH33" s="10">
        <f t="shared" si="6"/>
        <v>0</v>
      </c>
      <c r="BI33" s="1">
        <v>0</v>
      </c>
      <c r="BJ33" s="1">
        <v>0</v>
      </c>
      <c r="BK33" s="5">
        <v>0</v>
      </c>
      <c r="BL33" s="10" t="s">
        <v>92</v>
      </c>
      <c r="BM33" s="3" t="s">
        <v>92</v>
      </c>
      <c r="BN33" s="10" t="s">
        <v>92</v>
      </c>
      <c r="BO33" s="10" t="s">
        <v>92</v>
      </c>
      <c r="BP33" s="5" t="s">
        <v>92</v>
      </c>
      <c r="BQ33" s="5" t="s">
        <v>92</v>
      </c>
      <c r="BR33" s="5" t="s">
        <v>92</v>
      </c>
      <c r="BS33" s="5" t="s">
        <v>92</v>
      </c>
      <c r="BT33" s="5" t="s">
        <v>92</v>
      </c>
      <c r="BU33" s="5" t="s">
        <v>92</v>
      </c>
      <c r="BV33" s="5" t="s">
        <v>92</v>
      </c>
      <c r="BW33" s="3" t="s">
        <v>92</v>
      </c>
      <c r="BX33" s="3" t="s">
        <v>92</v>
      </c>
      <c r="BY33" s="3" t="s">
        <v>92</v>
      </c>
      <c r="BZ33" s="3" t="s">
        <v>92</v>
      </c>
      <c r="CA33" s="3" t="s">
        <v>92</v>
      </c>
      <c r="CB33" s="3" t="s">
        <v>92</v>
      </c>
      <c r="CC33" s="3" t="s">
        <v>92</v>
      </c>
      <c r="CD33" s="5" t="s">
        <v>92</v>
      </c>
      <c r="CF33" s="13" t="s">
        <v>111</v>
      </c>
    </row>
    <row r="34" spans="1:85" x14ac:dyDescent="0.15">
      <c r="A34" s="1" t="s">
        <v>90</v>
      </c>
      <c r="B34" s="1" t="s">
        <v>110</v>
      </c>
      <c r="C34" s="1" t="s">
        <v>92</v>
      </c>
      <c r="D34" s="1" t="s">
        <v>92</v>
      </c>
      <c r="E34" s="1" t="s">
        <v>93</v>
      </c>
      <c r="F34" s="1">
        <v>0.03</v>
      </c>
      <c r="G34" s="1" t="s">
        <v>92</v>
      </c>
      <c r="H34" s="3">
        <v>800</v>
      </c>
      <c r="I34" s="1" t="s">
        <v>92</v>
      </c>
      <c r="J34" s="1">
        <v>0.7</v>
      </c>
      <c r="M34" s="1" t="s">
        <v>92</v>
      </c>
      <c r="N34" s="5" t="s">
        <v>92</v>
      </c>
      <c r="O34" s="1" t="s">
        <v>92</v>
      </c>
      <c r="S34" s="54">
        <v>8.14</v>
      </c>
      <c r="W34" s="54">
        <v>77.28</v>
      </c>
      <c r="AA34" s="54">
        <v>0.17</v>
      </c>
      <c r="AE34" s="54">
        <v>0.3</v>
      </c>
      <c r="AI34" s="54">
        <v>49.21</v>
      </c>
      <c r="AM34" s="54">
        <v>5.22</v>
      </c>
      <c r="AQ34" s="54">
        <v>0.04</v>
      </c>
      <c r="AU34" s="54">
        <v>45.36</v>
      </c>
      <c r="AV34" s="54">
        <v>17.2</v>
      </c>
      <c r="AZ34" s="5" t="e">
        <f t="shared" si="7"/>
        <v>#VALUE!</v>
      </c>
      <c r="BA34" s="5" t="e">
        <f t="shared" si="4"/>
        <v>#VALUE!</v>
      </c>
      <c r="BB34" s="5" t="s">
        <v>92</v>
      </c>
      <c r="BC34" s="5">
        <v>17.2</v>
      </c>
      <c r="BD34" s="5" t="s">
        <v>92</v>
      </c>
      <c r="BE34" s="5"/>
      <c r="BF34" s="5" t="e">
        <f t="shared" si="5"/>
        <v>#VALUE!</v>
      </c>
      <c r="BG34" s="5"/>
      <c r="BH34" s="10">
        <f t="shared" si="6"/>
        <v>0</v>
      </c>
      <c r="BI34" s="1">
        <v>0</v>
      </c>
      <c r="BJ34" s="1">
        <v>0</v>
      </c>
      <c r="BK34" s="5">
        <v>0</v>
      </c>
      <c r="BL34" s="10" t="s">
        <v>92</v>
      </c>
      <c r="BM34" s="3" t="s">
        <v>92</v>
      </c>
      <c r="BN34" s="10" t="s">
        <v>92</v>
      </c>
      <c r="BO34" s="10" t="s">
        <v>92</v>
      </c>
      <c r="BP34" s="5" t="s">
        <v>92</v>
      </c>
      <c r="BQ34" s="5" t="s">
        <v>92</v>
      </c>
      <c r="BR34" s="5" t="s">
        <v>92</v>
      </c>
      <c r="BS34" s="5" t="s">
        <v>92</v>
      </c>
      <c r="BT34" s="5" t="s">
        <v>92</v>
      </c>
      <c r="BU34" s="5" t="s">
        <v>92</v>
      </c>
      <c r="BV34" s="5" t="s">
        <v>92</v>
      </c>
      <c r="BW34" s="3" t="s">
        <v>92</v>
      </c>
      <c r="BX34" s="3" t="s">
        <v>92</v>
      </c>
      <c r="BY34" s="3" t="s">
        <v>92</v>
      </c>
      <c r="BZ34" s="3" t="s">
        <v>92</v>
      </c>
      <c r="CA34" s="3" t="s">
        <v>92</v>
      </c>
      <c r="CB34" s="3" t="s">
        <v>92</v>
      </c>
      <c r="CC34" s="3" t="s">
        <v>92</v>
      </c>
      <c r="CD34" s="5" t="s">
        <v>92</v>
      </c>
      <c r="CF34" s="13" t="s">
        <v>111</v>
      </c>
    </row>
    <row r="35" spans="1:85" x14ac:dyDescent="0.15">
      <c r="A35" s="1" t="s">
        <v>90</v>
      </c>
      <c r="B35" s="1" t="s">
        <v>91</v>
      </c>
      <c r="C35" s="1">
        <v>5500</v>
      </c>
      <c r="D35" s="1" t="s">
        <v>92</v>
      </c>
      <c r="E35" s="1" t="s">
        <v>93</v>
      </c>
      <c r="F35" s="1">
        <v>75</v>
      </c>
      <c r="G35" s="1">
        <f>((C35/1000)/(F35))*60</f>
        <v>4.4000000000000004</v>
      </c>
      <c r="H35" s="3">
        <v>500</v>
      </c>
      <c r="I35" s="1" t="s">
        <v>92</v>
      </c>
      <c r="J35" s="1">
        <v>0.3</v>
      </c>
      <c r="K35" s="1" t="s">
        <v>112</v>
      </c>
      <c r="L35" s="1">
        <f>(0.3+0.45)/2</f>
        <v>0.375</v>
      </c>
      <c r="M35" s="1">
        <v>50</v>
      </c>
      <c r="N35" s="5" t="s">
        <v>92</v>
      </c>
      <c r="O35" s="1" t="s">
        <v>92</v>
      </c>
      <c r="S35" s="54">
        <v>7.84</v>
      </c>
      <c r="W35" s="54">
        <v>73.52</v>
      </c>
      <c r="AA35" s="54">
        <v>0.21</v>
      </c>
      <c r="AE35" s="54">
        <v>1.88</v>
      </c>
      <c r="AI35" s="54">
        <v>47.21</v>
      </c>
      <c r="AM35" s="54">
        <v>6.25</v>
      </c>
      <c r="AQ35" s="54">
        <v>0.05</v>
      </c>
      <c r="AU35" s="54">
        <v>44.4</v>
      </c>
      <c r="AV35" s="54">
        <v>19.41</v>
      </c>
      <c r="AZ35" s="5">
        <f t="shared" si="7"/>
        <v>100</v>
      </c>
      <c r="BA35" s="5">
        <f t="shared" si="4"/>
        <v>0</v>
      </c>
      <c r="BB35" s="5">
        <v>62.4</v>
      </c>
      <c r="BC35" s="5">
        <v>19.399999999999999</v>
      </c>
      <c r="BD35" s="5">
        <v>18.2</v>
      </c>
      <c r="BE35" s="5" t="s">
        <v>96</v>
      </c>
      <c r="BF35" s="5">
        <f t="shared" si="5"/>
        <v>62.4</v>
      </c>
      <c r="BG35" s="5"/>
      <c r="BH35" s="10">
        <f t="shared" si="6"/>
        <v>0</v>
      </c>
      <c r="BI35" s="1">
        <v>0</v>
      </c>
      <c r="BJ35" s="1">
        <v>0</v>
      </c>
      <c r="BK35" s="5">
        <v>0</v>
      </c>
      <c r="BL35" s="10" t="s">
        <v>92</v>
      </c>
      <c r="BM35" s="5" t="s">
        <v>92</v>
      </c>
      <c r="BN35" s="10" t="s">
        <v>92</v>
      </c>
      <c r="BO35" s="10" t="s">
        <v>92</v>
      </c>
      <c r="BP35" s="5" t="s">
        <v>92</v>
      </c>
      <c r="BQ35" s="5" t="s">
        <v>92</v>
      </c>
      <c r="BR35" s="5" t="s">
        <v>92</v>
      </c>
      <c r="BS35" s="5" t="s">
        <v>92</v>
      </c>
      <c r="BT35" s="5" t="s">
        <v>92</v>
      </c>
      <c r="BU35" s="5" t="s">
        <v>92</v>
      </c>
      <c r="BV35" s="5" t="s">
        <v>92</v>
      </c>
      <c r="BW35" s="3" t="s">
        <v>92</v>
      </c>
      <c r="BX35" s="3" t="s">
        <v>92</v>
      </c>
      <c r="BY35" s="3" t="s">
        <v>92</v>
      </c>
      <c r="BZ35" s="3" t="s">
        <v>92</v>
      </c>
      <c r="CA35" s="3" t="s">
        <v>92</v>
      </c>
      <c r="CB35" s="3" t="s">
        <v>92</v>
      </c>
      <c r="CC35" s="3" t="s">
        <v>92</v>
      </c>
      <c r="CD35" s="5" t="s">
        <v>92</v>
      </c>
      <c r="CF35" s="13" t="s">
        <v>113</v>
      </c>
    </row>
    <row r="36" spans="1:85" s="28" customFormat="1" x14ac:dyDescent="0.15">
      <c r="A36" s="28" t="s">
        <v>90</v>
      </c>
      <c r="B36" s="28" t="s">
        <v>91</v>
      </c>
      <c r="C36" s="28">
        <v>5500</v>
      </c>
      <c r="D36" s="28" t="s">
        <v>92</v>
      </c>
      <c r="E36" s="28" t="s">
        <v>93</v>
      </c>
      <c r="F36" s="28">
        <v>75</v>
      </c>
      <c r="G36" s="28">
        <f>((C36/1000)/(F36))*60</f>
        <v>4.4000000000000004</v>
      </c>
      <c r="H36" s="29">
        <v>500</v>
      </c>
      <c r="I36" s="28">
        <v>350</v>
      </c>
      <c r="J36" s="28">
        <v>0.3</v>
      </c>
      <c r="K36" s="28" t="s">
        <v>112</v>
      </c>
      <c r="L36" s="28">
        <f>(0.3+0.45)/2</f>
        <v>0.375</v>
      </c>
      <c r="M36" s="28">
        <v>50</v>
      </c>
      <c r="N36" s="31" t="s">
        <v>92</v>
      </c>
      <c r="O36" s="28" t="s">
        <v>92</v>
      </c>
      <c r="S36" s="54">
        <v>7.84</v>
      </c>
      <c r="W36" s="54">
        <v>73.52</v>
      </c>
      <c r="AA36" s="54">
        <v>0.21</v>
      </c>
      <c r="AE36" s="54">
        <v>1.88</v>
      </c>
      <c r="AI36" s="54">
        <v>47.21</v>
      </c>
      <c r="AM36" s="54">
        <v>6.25</v>
      </c>
      <c r="AQ36" s="54">
        <v>0.05</v>
      </c>
      <c r="AU36" s="54">
        <v>44.4</v>
      </c>
      <c r="AV36" s="54">
        <v>19.41</v>
      </c>
      <c r="AZ36" s="31">
        <f t="shared" si="7"/>
        <v>100</v>
      </c>
      <c r="BA36" s="31">
        <f t="shared" si="4"/>
        <v>0</v>
      </c>
      <c r="BB36" s="31">
        <v>52.8</v>
      </c>
      <c r="BC36" s="31">
        <v>25.3</v>
      </c>
      <c r="BD36" s="31">
        <v>21.9</v>
      </c>
      <c r="BE36" s="31" t="s">
        <v>96</v>
      </c>
      <c r="BF36" s="31">
        <f t="shared" si="5"/>
        <v>52.8</v>
      </c>
      <c r="BG36" s="31"/>
      <c r="BH36" s="31">
        <f t="shared" si="6"/>
        <v>0</v>
      </c>
      <c r="BI36" s="28">
        <v>0</v>
      </c>
      <c r="BJ36" s="28">
        <v>0</v>
      </c>
      <c r="BK36" s="31">
        <v>0</v>
      </c>
      <c r="BL36" s="31" t="s">
        <v>92</v>
      </c>
      <c r="BM36" s="31" t="s">
        <v>92</v>
      </c>
      <c r="BN36" s="31" t="s">
        <v>92</v>
      </c>
      <c r="BO36" s="31" t="s">
        <v>92</v>
      </c>
      <c r="BP36" s="31" t="s">
        <v>92</v>
      </c>
      <c r="BQ36" s="31" t="s">
        <v>92</v>
      </c>
      <c r="BR36" s="31" t="s">
        <v>92</v>
      </c>
      <c r="BS36" s="31" t="s">
        <v>92</v>
      </c>
      <c r="BT36" s="31" t="s">
        <v>92</v>
      </c>
      <c r="BU36" s="31" t="s">
        <v>92</v>
      </c>
      <c r="BV36" s="31" t="s">
        <v>92</v>
      </c>
      <c r="BW36" s="29" t="s">
        <v>92</v>
      </c>
      <c r="BX36" s="29" t="s">
        <v>92</v>
      </c>
      <c r="BY36" s="29" t="s">
        <v>92</v>
      </c>
      <c r="BZ36" s="29" t="s">
        <v>92</v>
      </c>
      <c r="CA36" s="29" t="s">
        <v>92</v>
      </c>
      <c r="CB36" s="29" t="s">
        <v>92</v>
      </c>
      <c r="CC36" s="29" t="s">
        <v>92</v>
      </c>
      <c r="CD36" s="31" t="s">
        <v>92</v>
      </c>
      <c r="CF36" s="28" t="s">
        <v>113</v>
      </c>
    </row>
    <row r="37" spans="1:85" x14ac:dyDescent="0.15">
      <c r="A37" s="1" t="s">
        <v>90</v>
      </c>
      <c r="B37" s="1" t="s">
        <v>91</v>
      </c>
      <c r="C37" s="1">
        <v>5500</v>
      </c>
      <c r="D37" s="1" t="s">
        <v>92</v>
      </c>
      <c r="E37" s="1" t="s">
        <v>93</v>
      </c>
      <c r="F37" s="1">
        <v>75</v>
      </c>
      <c r="G37" s="1">
        <f>((C37/1000)/(F37))*60</f>
        <v>4.4000000000000004</v>
      </c>
      <c r="H37" s="3">
        <v>500</v>
      </c>
      <c r="I37" s="1">
        <v>400</v>
      </c>
      <c r="J37" s="1">
        <v>0.3</v>
      </c>
      <c r="K37" s="1" t="s">
        <v>112</v>
      </c>
      <c r="L37" s="1">
        <f>(0.3+0.45)/2</f>
        <v>0.375</v>
      </c>
      <c r="M37" s="1">
        <v>50</v>
      </c>
      <c r="N37" s="5" t="s">
        <v>92</v>
      </c>
      <c r="O37" s="1" t="s">
        <v>92</v>
      </c>
      <c r="S37" s="54">
        <v>7.84</v>
      </c>
      <c r="W37" s="54">
        <v>73.52</v>
      </c>
      <c r="AA37" s="54">
        <v>0.21</v>
      </c>
      <c r="AE37" s="54">
        <v>1.88</v>
      </c>
      <c r="AI37" s="54">
        <v>47.21</v>
      </c>
      <c r="AM37" s="54">
        <v>6.25</v>
      </c>
      <c r="AQ37" s="54">
        <v>0.05</v>
      </c>
      <c r="AU37" s="54">
        <v>44.4</v>
      </c>
      <c r="AV37" s="54">
        <v>19.41</v>
      </c>
      <c r="AZ37" s="5">
        <f t="shared" si="7"/>
        <v>100.00000000000001</v>
      </c>
      <c r="BA37" s="5">
        <f t="shared" si="4"/>
        <v>0</v>
      </c>
      <c r="BB37" s="5">
        <v>58.7</v>
      </c>
      <c r="BC37" s="5">
        <v>22.1</v>
      </c>
      <c r="BD37" s="5">
        <v>19.2</v>
      </c>
      <c r="BE37" s="5" t="s">
        <v>96</v>
      </c>
      <c r="BF37" s="5">
        <f t="shared" si="5"/>
        <v>58.7</v>
      </c>
      <c r="BG37" s="5"/>
      <c r="BH37" s="10">
        <f t="shared" si="6"/>
        <v>0</v>
      </c>
      <c r="BI37" s="1">
        <v>0</v>
      </c>
      <c r="BJ37" s="1">
        <v>0</v>
      </c>
      <c r="BK37" s="5">
        <v>0</v>
      </c>
      <c r="BL37" s="10" t="s">
        <v>92</v>
      </c>
      <c r="BM37" s="5" t="s">
        <v>92</v>
      </c>
      <c r="BN37" s="10" t="s">
        <v>92</v>
      </c>
      <c r="BO37" s="10" t="s">
        <v>92</v>
      </c>
      <c r="BP37" s="5" t="s">
        <v>92</v>
      </c>
      <c r="BQ37" s="5" t="s">
        <v>92</v>
      </c>
      <c r="BR37" s="5" t="s">
        <v>92</v>
      </c>
      <c r="BS37" s="5" t="s">
        <v>92</v>
      </c>
      <c r="BT37" s="5" t="s">
        <v>92</v>
      </c>
      <c r="BU37" s="5" t="s">
        <v>92</v>
      </c>
      <c r="BV37" s="5" t="s">
        <v>92</v>
      </c>
      <c r="BW37" s="3" t="s">
        <v>92</v>
      </c>
      <c r="BX37" s="3" t="s">
        <v>92</v>
      </c>
      <c r="BY37" s="3" t="s">
        <v>92</v>
      </c>
      <c r="BZ37" s="3" t="s">
        <v>92</v>
      </c>
      <c r="CA37" s="3" t="s">
        <v>92</v>
      </c>
      <c r="CB37" s="3" t="s">
        <v>92</v>
      </c>
      <c r="CC37" s="3" t="s">
        <v>92</v>
      </c>
      <c r="CD37" s="5" t="s">
        <v>92</v>
      </c>
      <c r="CF37" s="13" t="s">
        <v>113</v>
      </c>
      <c r="CG37" s="1" t="s">
        <v>114</v>
      </c>
    </row>
    <row r="38" spans="1:85" x14ac:dyDescent="0.15">
      <c r="A38" s="1" t="s">
        <v>90</v>
      </c>
      <c r="B38" s="1" t="s">
        <v>91</v>
      </c>
      <c r="C38" s="1">
        <v>5500</v>
      </c>
      <c r="D38" s="1" t="s">
        <v>92</v>
      </c>
      <c r="E38" s="1" t="s">
        <v>93</v>
      </c>
      <c r="F38" s="1">
        <v>75</v>
      </c>
      <c r="G38" s="1">
        <f>((C38/1000)/(F38))*60</f>
        <v>4.4000000000000004</v>
      </c>
      <c r="H38" s="3">
        <v>500</v>
      </c>
      <c r="I38" s="1">
        <v>450</v>
      </c>
      <c r="J38" s="1">
        <v>0.3</v>
      </c>
      <c r="K38" s="1" t="s">
        <v>112</v>
      </c>
      <c r="L38" s="1">
        <f>(0.3+0.45)/2</f>
        <v>0.375</v>
      </c>
      <c r="M38" s="1">
        <v>50</v>
      </c>
      <c r="N38" s="5" t="s">
        <v>92</v>
      </c>
      <c r="O38" s="1" t="s">
        <v>92</v>
      </c>
      <c r="S38" s="54">
        <v>7.84</v>
      </c>
      <c r="W38" s="54">
        <v>73.52</v>
      </c>
      <c r="AA38" s="54">
        <v>0.21</v>
      </c>
      <c r="AE38" s="54">
        <v>1.88</v>
      </c>
      <c r="AI38" s="54">
        <v>47.21</v>
      </c>
      <c r="AM38" s="54">
        <v>6.25</v>
      </c>
      <c r="AQ38" s="54">
        <v>0.05</v>
      </c>
      <c r="AU38" s="54">
        <v>44.4</v>
      </c>
      <c r="AV38" s="54">
        <v>19.41</v>
      </c>
      <c r="AZ38" s="5">
        <f t="shared" si="7"/>
        <v>100</v>
      </c>
      <c r="BA38" s="5">
        <f t="shared" si="4"/>
        <v>0</v>
      </c>
      <c r="BB38" s="5">
        <v>53.5</v>
      </c>
      <c r="BC38" s="5">
        <v>20.8</v>
      </c>
      <c r="BD38" s="5">
        <v>25.7</v>
      </c>
      <c r="BE38" s="5" t="s">
        <v>96</v>
      </c>
      <c r="BF38" s="5">
        <f t="shared" si="5"/>
        <v>53.5</v>
      </c>
      <c r="BG38" s="5"/>
      <c r="BH38" s="10">
        <f t="shared" si="6"/>
        <v>0</v>
      </c>
      <c r="BI38" s="1">
        <v>0</v>
      </c>
      <c r="BJ38" s="1">
        <v>0</v>
      </c>
      <c r="BK38" s="5">
        <v>0</v>
      </c>
      <c r="BL38" s="10" t="s">
        <v>92</v>
      </c>
      <c r="BM38" s="5" t="s">
        <v>92</v>
      </c>
      <c r="BN38" s="10" t="s">
        <v>92</v>
      </c>
      <c r="BO38" s="10" t="s">
        <v>92</v>
      </c>
      <c r="BP38" s="5" t="s">
        <v>92</v>
      </c>
      <c r="BQ38" s="5" t="s">
        <v>92</v>
      </c>
      <c r="BR38" s="5" t="s">
        <v>92</v>
      </c>
      <c r="BS38" s="5" t="s">
        <v>92</v>
      </c>
      <c r="BT38" s="5" t="s">
        <v>92</v>
      </c>
      <c r="BU38" s="5" t="s">
        <v>92</v>
      </c>
      <c r="BV38" s="5" t="s">
        <v>92</v>
      </c>
      <c r="BW38" s="3" t="s">
        <v>92</v>
      </c>
      <c r="BX38" s="3" t="s">
        <v>92</v>
      </c>
      <c r="BY38" s="3" t="s">
        <v>92</v>
      </c>
      <c r="BZ38" s="3" t="s">
        <v>92</v>
      </c>
      <c r="CA38" s="3" t="s">
        <v>92</v>
      </c>
      <c r="CB38" s="3" t="s">
        <v>92</v>
      </c>
      <c r="CC38" s="3" t="s">
        <v>92</v>
      </c>
      <c r="CD38" s="5" t="s">
        <v>92</v>
      </c>
      <c r="CF38" s="13" t="s">
        <v>113</v>
      </c>
    </row>
    <row r="39" spans="1:85" ht="10.5" customHeight="1" x14ac:dyDescent="0.15">
      <c r="A39" s="1" t="s">
        <v>90</v>
      </c>
      <c r="B39" s="1" t="s">
        <v>91</v>
      </c>
      <c r="C39" s="1">
        <v>5500</v>
      </c>
      <c r="D39" s="1" t="s">
        <v>92</v>
      </c>
      <c r="E39" s="1" t="s">
        <v>93</v>
      </c>
      <c r="F39" s="1">
        <v>75</v>
      </c>
      <c r="G39" s="1">
        <f>((C39/1000)/(F39))*60</f>
        <v>4.4000000000000004</v>
      </c>
      <c r="H39" s="3">
        <v>500</v>
      </c>
      <c r="I39" s="1">
        <v>500</v>
      </c>
      <c r="J39" s="1">
        <v>0.3</v>
      </c>
      <c r="K39" s="1" t="s">
        <v>112</v>
      </c>
      <c r="L39" s="1">
        <f>(0.3+0.45)/2</f>
        <v>0.375</v>
      </c>
      <c r="M39" s="1">
        <v>50</v>
      </c>
      <c r="N39" s="5" t="s">
        <v>92</v>
      </c>
      <c r="O39" s="1" t="s">
        <v>92</v>
      </c>
      <c r="S39" s="54">
        <v>7.84</v>
      </c>
      <c r="W39" s="54">
        <v>73.52</v>
      </c>
      <c r="AA39" s="54">
        <v>0.21</v>
      </c>
      <c r="AE39" s="54">
        <v>1.88</v>
      </c>
      <c r="AI39" s="54">
        <v>47.21</v>
      </c>
      <c r="AM39" s="54">
        <v>6.25</v>
      </c>
      <c r="AQ39" s="54">
        <v>0.05</v>
      </c>
      <c r="AU39" s="54">
        <v>44.4</v>
      </c>
      <c r="AV39" s="54">
        <v>19.41</v>
      </c>
      <c r="AZ39" s="5">
        <f t="shared" si="7"/>
        <v>100</v>
      </c>
      <c r="BA39" s="5">
        <f t="shared" si="4"/>
        <v>0</v>
      </c>
      <c r="BB39" s="5">
        <v>52.1</v>
      </c>
      <c r="BC39" s="5">
        <v>21.2</v>
      </c>
      <c r="BD39" s="5">
        <v>26.7</v>
      </c>
      <c r="BE39" s="5" t="s">
        <v>96</v>
      </c>
      <c r="BF39" s="5">
        <f t="shared" si="5"/>
        <v>52.1</v>
      </c>
      <c r="BG39" s="5"/>
      <c r="BH39" s="10">
        <f t="shared" si="6"/>
        <v>0</v>
      </c>
      <c r="BI39" s="1">
        <v>0</v>
      </c>
      <c r="BJ39" s="1">
        <v>0</v>
      </c>
      <c r="BK39" s="5">
        <v>0</v>
      </c>
      <c r="BL39" s="10" t="s">
        <v>92</v>
      </c>
      <c r="BM39" s="5" t="s">
        <v>92</v>
      </c>
      <c r="BN39" s="10" t="s">
        <v>92</v>
      </c>
      <c r="BO39" s="10" t="s">
        <v>92</v>
      </c>
      <c r="BP39" s="5" t="s">
        <v>92</v>
      </c>
      <c r="BQ39" s="5" t="s">
        <v>92</v>
      </c>
      <c r="BR39" s="5" t="s">
        <v>92</v>
      </c>
      <c r="BS39" s="5" t="s">
        <v>92</v>
      </c>
      <c r="BT39" s="5" t="s">
        <v>92</v>
      </c>
      <c r="BU39" s="5" t="s">
        <v>92</v>
      </c>
      <c r="BV39" s="5" t="s">
        <v>92</v>
      </c>
      <c r="BW39" s="3" t="s">
        <v>92</v>
      </c>
      <c r="BX39" s="3" t="s">
        <v>92</v>
      </c>
      <c r="BY39" s="3" t="s">
        <v>92</v>
      </c>
      <c r="BZ39" s="3" t="s">
        <v>92</v>
      </c>
      <c r="CA39" s="3" t="s">
        <v>92</v>
      </c>
      <c r="CB39" s="3" t="s">
        <v>92</v>
      </c>
      <c r="CC39" s="3" t="s">
        <v>92</v>
      </c>
      <c r="CD39" s="5" t="s">
        <v>92</v>
      </c>
      <c r="CF39" s="13" t="s">
        <v>113</v>
      </c>
    </row>
    <row r="40" spans="1:85" x14ac:dyDescent="0.15">
      <c r="A40" s="1" t="s">
        <v>90</v>
      </c>
      <c r="B40" s="1" t="s">
        <v>115</v>
      </c>
      <c r="C40" s="1" t="s">
        <v>92</v>
      </c>
      <c r="D40" s="1" t="s">
        <v>92</v>
      </c>
      <c r="E40" s="1" t="s">
        <v>93</v>
      </c>
      <c r="F40" s="1">
        <v>1</v>
      </c>
      <c r="G40" s="1" t="s">
        <v>92</v>
      </c>
      <c r="H40" s="3">
        <v>500</v>
      </c>
      <c r="I40" s="1" t="s">
        <v>92</v>
      </c>
      <c r="J40" s="1">
        <v>0.75</v>
      </c>
      <c r="M40" s="1" t="s">
        <v>92</v>
      </c>
      <c r="N40" s="5" t="s">
        <v>92</v>
      </c>
      <c r="O40" s="1" t="s">
        <v>92</v>
      </c>
      <c r="S40" s="54">
        <v>1.93</v>
      </c>
      <c r="W40" s="54">
        <v>81.59</v>
      </c>
      <c r="AA40" s="54">
        <v>0</v>
      </c>
      <c r="AE40" s="54">
        <v>0.52</v>
      </c>
      <c r="AI40" s="54">
        <v>46.631999999999998</v>
      </c>
      <c r="AM40" s="54">
        <v>6.4340000000000002</v>
      </c>
      <c r="AQ40" s="54">
        <v>0.19700000000000001</v>
      </c>
      <c r="AU40" s="54">
        <v>46.737000000000002</v>
      </c>
      <c r="AV40" s="54" t="s">
        <v>92</v>
      </c>
      <c r="AZ40" s="5">
        <f t="shared" si="7"/>
        <v>100.5</v>
      </c>
      <c r="BA40" s="5">
        <f t="shared" si="4"/>
        <v>-0.5</v>
      </c>
      <c r="BB40" s="1">
        <v>54.2</v>
      </c>
      <c r="BC40" s="1">
        <v>23</v>
      </c>
      <c r="BD40" s="1">
        <v>23.3</v>
      </c>
      <c r="BE40" s="5" t="s">
        <v>96</v>
      </c>
      <c r="BF40" s="5">
        <f t="shared" si="5"/>
        <v>53.7</v>
      </c>
      <c r="BG40" s="5"/>
      <c r="BH40" s="10">
        <f t="shared" si="6"/>
        <v>0</v>
      </c>
      <c r="BI40" s="1">
        <v>0</v>
      </c>
      <c r="BJ40" s="1">
        <v>0</v>
      </c>
      <c r="BK40" s="5">
        <v>0</v>
      </c>
      <c r="BL40" s="8">
        <v>4.2300000000000004</v>
      </c>
      <c r="BM40" s="1">
        <v>9.31</v>
      </c>
      <c r="BN40" s="8">
        <v>0</v>
      </c>
      <c r="BO40" s="8">
        <v>1.51</v>
      </c>
      <c r="BP40" s="5" t="s">
        <v>92</v>
      </c>
      <c r="BQ40" s="5" t="s">
        <v>92</v>
      </c>
      <c r="BR40" s="5" t="s">
        <v>92</v>
      </c>
      <c r="BS40" s="5" t="s">
        <v>92</v>
      </c>
      <c r="BT40" s="1">
        <v>6.23</v>
      </c>
      <c r="BV40" s="1">
        <v>0</v>
      </c>
      <c r="BW40" s="3" t="s">
        <v>92</v>
      </c>
      <c r="BX40" s="3" t="s">
        <v>92</v>
      </c>
      <c r="BY40" s="3" t="s">
        <v>92</v>
      </c>
      <c r="BZ40" s="3" t="s">
        <v>92</v>
      </c>
      <c r="CA40" s="3" t="s">
        <v>92</v>
      </c>
      <c r="CB40" s="3" t="s">
        <v>92</v>
      </c>
      <c r="CC40" s="3" t="s">
        <v>92</v>
      </c>
      <c r="CD40" s="1">
        <v>1.37</v>
      </c>
      <c r="CF40" s="13" t="s">
        <v>116</v>
      </c>
    </row>
    <row r="41" spans="1:85" x14ac:dyDescent="0.15">
      <c r="A41" s="1" t="s">
        <v>90</v>
      </c>
      <c r="B41" s="1" t="s">
        <v>115</v>
      </c>
      <c r="C41" s="1" t="s">
        <v>92</v>
      </c>
      <c r="D41" s="1" t="s">
        <v>92</v>
      </c>
      <c r="E41" s="1" t="s">
        <v>93</v>
      </c>
      <c r="F41" s="1">
        <v>1</v>
      </c>
      <c r="G41" s="1" t="s">
        <v>92</v>
      </c>
      <c r="H41" s="3">
        <v>550</v>
      </c>
      <c r="I41" s="1" t="s">
        <v>92</v>
      </c>
      <c r="J41" s="1">
        <v>0.75</v>
      </c>
      <c r="M41" s="1" t="s">
        <v>92</v>
      </c>
      <c r="N41" s="5" t="s">
        <v>92</v>
      </c>
      <c r="O41" s="1" t="s">
        <v>92</v>
      </c>
      <c r="S41" s="54">
        <v>1.93</v>
      </c>
      <c r="W41" s="54">
        <v>81.59</v>
      </c>
      <c r="AA41" s="54">
        <v>0</v>
      </c>
      <c r="AE41" s="54">
        <v>0.52</v>
      </c>
      <c r="AI41" s="54">
        <v>46.631999999999998</v>
      </c>
      <c r="AM41" s="54">
        <v>6.4340000000000002</v>
      </c>
      <c r="AQ41" s="54">
        <v>0.19700000000000001</v>
      </c>
      <c r="AU41" s="54">
        <v>46.737000000000002</v>
      </c>
      <c r="AV41" s="54" t="s">
        <v>92</v>
      </c>
      <c r="AZ41" s="5">
        <f t="shared" si="7"/>
        <v>100.7</v>
      </c>
      <c r="BA41" s="5">
        <f t="shared" si="4"/>
        <v>-0.70000000000000284</v>
      </c>
      <c r="BB41" s="1">
        <v>54.7</v>
      </c>
      <c r="BC41" s="1">
        <v>21.8</v>
      </c>
      <c r="BD41" s="1">
        <v>24.2</v>
      </c>
      <c r="BE41" s="5" t="s">
        <v>96</v>
      </c>
      <c r="BF41" s="5">
        <f t="shared" si="5"/>
        <v>54</v>
      </c>
      <c r="BG41" s="5"/>
      <c r="BH41" s="10">
        <f t="shared" si="6"/>
        <v>0</v>
      </c>
      <c r="BI41" s="1">
        <v>0</v>
      </c>
      <c r="BJ41" s="1">
        <v>0</v>
      </c>
      <c r="BK41" s="5">
        <v>0</v>
      </c>
      <c r="BL41" s="8">
        <v>5.2</v>
      </c>
      <c r="BM41" s="1">
        <v>5.8</v>
      </c>
      <c r="BN41" s="8">
        <v>1.18</v>
      </c>
      <c r="BO41" s="8">
        <v>0.5</v>
      </c>
      <c r="BP41" s="5" t="s">
        <v>92</v>
      </c>
      <c r="BQ41" s="5" t="s">
        <v>92</v>
      </c>
      <c r="BR41" s="5" t="s">
        <v>92</v>
      </c>
      <c r="BS41" s="5" t="s">
        <v>92</v>
      </c>
      <c r="BT41" s="1">
        <v>5.86</v>
      </c>
      <c r="BV41" s="1">
        <v>0.39</v>
      </c>
      <c r="BW41" s="3" t="s">
        <v>92</v>
      </c>
      <c r="BX41" s="3" t="s">
        <v>92</v>
      </c>
      <c r="BY41" s="3" t="s">
        <v>92</v>
      </c>
      <c r="BZ41" s="3" t="s">
        <v>92</v>
      </c>
      <c r="CA41" s="3" t="s">
        <v>92</v>
      </c>
      <c r="CB41" s="3" t="s">
        <v>92</v>
      </c>
      <c r="CC41" s="3" t="s">
        <v>92</v>
      </c>
      <c r="CD41" s="1">
        <v>1.87</v>
      </c>
      <c r="CF41" s="13" t="s">
        <v>116</v>
      </c>
      <c r="CG41" s="1" t="s">
        <v>98</v>
      </c>
    </row>
    <row r="42" spans="1:85" s="28" customFormat="1" x14ac:dyDescent="0.15">
      <c r="A42" s="28" t="s">
        <v>90</v>
      </c>
      <c r="B42" s="28" t="s">
        <v>115</v>
      </c>
      <c r="C42" s="28" t="s">
        <v>92</v>
      </c>
      <c r="D42" s="28" t="s">
        <v>92</v>
      </c>
      <c r="E42" s="28" t="s">
        <v>93</v>
      </c>
      <c r="F42" s="28">
        <v>1</v>
      </c>
      <c r="G42" s="28" t="s">
        <v>92</v>
      </c>
      <c r="H42" s="29">
        <v>600</v>
      </c>
      <c r="I42" s="28" t="s">
        <v>92</v>
      </c>
      <c r="J42" s="28">
        <v>0.75</v>
      </c>
      <c r="M42" s="28" t="s">
        <v>92</v>
      </c>
      <c r="N42" s="31" t="s">
        <v>92</v>
      </c>
      <c r="O42" s="28" t="s">
        <v>92</v>
      </c>
      <c r="S42" s="54">
        <v>1.93</v>
      </c>
      <c r="W42" s="54">
        <v>81.59</v>
      </c>
      <c r="AA42" s="54">
        <v>0</v>
      </c>
      <c r="AE42" s="54">
        <v>0.52</v>
      </c>
      <c r="AI42" s="54">
        <v>46.631999999999998</v>
      </c>
      <c r="AM42" s="54">
        <v>6.4340000000000002</v>
      </c>
      <c r="AQ42" s="54">
        <v>0.19700000000000001</v>
      </c>
      <c r="AU42" s="54">
        <v>46.737000000000002</v>
      </c>
      <c r="AV42" s="54" t="s">
        <v>92</v>
      </c>
      <c r="AZ42" s="31">
        <f t="shared" si="7"/>
        <v>100.3</v>
      </c>
      <c r="BA42" s="31">
        <f t="shared" si="4"/>
        <v>-0.29999999999999716</v>
      </c>
      <c r="BB42" s="28">
        <v>55.6</v>
      </c>
      <c r="BC42" s="28">
        <v>19.399999999999999</v>
      </c>
      <c r="BD42" s="28">
        <v>25.3</v>
      </c>
      <c r="BE42" s="31" t="s">
        <v>96</v>
      </c>
      <c r="BF42" s="31">
        <f t="shared" si="5"/>
        <v>55.300000000000004</v>
      </c>
      <c r="BG42" s="31"/>
      <c r="BH42" s="31">
        <f t="shared" si="6"/>
        <v>0</v>
      </c>
      <c r="BI42" s="28">
        <v>0</v>
      </c>
      <c r="BJ42" s="28">
        <v>0</v>
      </c>
      <c r="BK42" s="31">
        <v>0</v>
      </c>
      <c r="BL42" s="28">
        <v>10.92</v>
      </c>
      <c r="BM42" s="28">
        <v>0</v>
      </c>
      <c r="BN42" s="28">
        <v>15.19</v>
      </c>
      <c r="BO42" s="28">
        <v>3.38</v>
      </c>
      <c r="BP42" s="31" t="s">
        <v>92</v>
      </c>
      <c r="BQ42" s="31" t="s">
        <v>92</v>
      </c>
      <c r="BR42" s="31" t="s">
        <v>92</v>
      </c>
      <c r="BS42" s="31" t="s">
        <v>92</v>
      </c>
      <c r="BT42" s="28">
        <v>7.74</v>
      </c>
      <c r="BV42" s="28">
        <v>1.54</v>
      </c>
      <c r="BW42" s="29" t="s">
        <v>92</v>
      </c>
      <c r="BX42" s="29" t="s">
        <v>92</v>
      </c>
      <c r="BY42" s="29" t="s">
        <v>92</v>
      </c>
      <c r="BZ42" s="29" t="s">
        <v>92</v>
      </c>
      <c r="CA42" s="29" t="s">
        <v>92</v>
      </c>
      <c r="CB42" s="29" t="s">
        <v>92</v>
      </c>
      <c r="CC42" s="29" t="s">
        <v>92</v>
      </c>
      <c r="CD42" s="28">
        <v>9.32</v>
      </c>
      <c r="CF42" s="28" t="s">
        <v>116</v>
      </c>
    </row>
    <row r="43" spans="1:85" x14ac:dyDescent="0.15">
      <c r="A43" s="1" t="s">
        <v>90</v>
      </c>
      <c r="B43" s="1" t="s">
        <v>115</v>
      </c>
      <c r="C43" s="1" t="s">
        <v>92</v>
      </c>
      <c r="D43" s="1" t="s">
        <v>92</v>
      </c>
      <c r="E43" s="1" t="s">
        <v>93</v>
      </c>
      <c r="F43" s="1">
        <v>1</v>
      </c>
      <c r="G43" s="1" t="s">
        <v>92</v>
      </c>
      <c r="H43" s="3">
        <v>650</v>
      </c>
      <c r="I43" s="1" t="s">
        <v>92</v>
      </c>
      <c r="J43" s="1">
        <v>0.75</v>
      </c>
      <c r="M43" s="1" t="s">
        <v>92</v>
      </c>
      <c r="N43" s="5" t="s">
        <v>92</v>
      </c>
      <c r="O43" s="1" t="s">
        <v>92</v>
      </c>
      <c r="S43" s="54">
        <v>1.93</v>
      </c>
      <c r="W43" s="54">
        <v>81.59</v>
      </c>
      <c r="AA43" s="54">
        <v>0</v>
      </c>
      <c r="AE43" s="54">
        <v>0.52</v>
      </c>
      <c r="AI43" s="54">
        <v>46.631999999999998</v>
      </c>
      <c r="AM43" s="54">
        <v>6.4340000000000002</v>
      </c>
      <c r="AQ43" s="54">
        <v>0.19700000000000001</v>
      </c>
      <c r="AU43" s="54">
        <v>46.737000000000002</v>
      </c>
      <c r="AV43" s="54" t="s">
        <v>92</v>
      </c>
      <c r="AZ43" s="5">
        <f t="shared" si="7"/>
        <v>100.7</v>
      </c>
      <c r="BA43" s="5">
        <f t="shared" si="4"/>
        <v>-0.70000000000000284</v>
      </c>
      <c r="BB43" s="1">
        <v>52.9</v>
      </c>
      <c r="BC43" s="1">
        <v>19.600000000000001</v>
      </c>
      <c r="BD43" s="1">
        <v>28.2</v>
      </c>
      <c r="BE43" s="5" t="s">
        <v>96</v>
      </c>
      <c r="BF43" s="5">
        <f t="shared" si="5"/>
        <v>52.199999999999996</v>
      </c>
      <c r="BG43" s="5"/>
      <c r="BH43" s="10">
        <f t="shared" si="6"/>
        <v>0</v>
      </c>
      <c r="BI43" s="1">
        <v>0</v>
      </c>
      <c r="BJ43" s="1">
        <v>0</v>
      </c>
      <c r="BK43" s="5">
        <v>0</v>
      </c>
      <c r="BL43" s="8">
        <v>9.27</v>
      </c>
      <c r="BM43" s="1">
        <v>7.01</v>
      </c>
      <c r="BN43" s="8">
        <v>0</v>
      </c>
      <c r="BO43" s="8">
        <v>0</v>
      </c>
      <c r="BP43" s="5" t="s">
        <v>92</v>
      </c>
      <c r="BQ43" s="5" t="s">
        <v>92</v>
      </c>
      <c r="BR43" s="5" t="s">
        <v>92</v>
      </c>
      <c r="BS43" s="5" t="s">
        <v>92</v>
      </c>
      <c r="BT43" s="1">
        <v>8.3000000000000007</v>
      </c>
      <c r="BV43" s="1">
        <v>10.27</v>
      </c>
      <c r="BW43" s="3" t="s">
        <v>92</v>
      </c>
      <c r="BX43" s="3" t="s">
        <v>92</v>
      </c>
      <c r="BY43" s="3" t="s">
        <v>92</v>
      </c>
      <c r="BZ43" s="3" t="s">
        <v>92</v>
      </c>
      <c r="CA43" s="3" t="s">
        <v>92</v>
      </c>
      <c r="CB43" s="3" t="s">
        <v>92</v>
      </c>
      <c r="CC43" s="3" t="s">
        <v>92</v>
      </c>
      <c r="CD43" s="1">
        <v>0</v>
      </c>
      <c r="CF43" s="13" t="s">
        <v>116</v>
      </c>
    </row>
    <row r="44" spans="1:85" ht="13.5" customHeight="1" x14ac:dyDescent="0.15">
      <c r="A44" s="1" t="s">
        <v>90</v>
      </c>
      <c r="B44" s="1" t="s">
        <v>115</v>
      </c>
      <c r="C44" s="1" t="s">
        <v>92</v>
      </c>
      <c r="D44" s="1" t="s">
        <v>92</v>
      </c>
      <c r="E44" s="1" t="s">
        <v>93</v>
      </c>
      <c r="F44" s="1">
        <v>1</v>
      </c>
      <c r="G44" s="1" t="s">
        <v>92</v>
      </c>
      <c r="H44" s="3">
        <v>700</v>
      </c>
      <c r="I44" s="1" t="s">
        <v>92</v>
      </c>
      <c r="J44" s="1">
        <v>0.75</v>
      </c>
      <c r="M44" s="1" t="s">
        <v>92</v>
      </c>
      <c r="N44" s="5" t="s">
        <v>92</v>
      </c>
      <c r="O44" s="1" t="s">
        <v>92</v>
      </c>
      <c r="S44" s="54">
        <v>1.93</v>
      </c>
      <c r="W44" s="54">
        <v>81.59</v>
      </c>
      <c r="AA44" s="54">
        <v>0</v>
      </c>
      <c r="AE44" s="54">
        <v>0.52</v>
      </c>
      <c r="AI44" s="54">
        <v>46.631999999999998</v>
      </c>
      <c r="AM44" s="54">
        <v>6.4340000000000002</v>
      </c>
      <c r="AQ44" s="54">
        <v>0.19700000000000001</v>
      </c>
      <c r="AU44" s="54">
        <v>46.737000000000002</v>
      </c>
      <c r="AV44" s="54" t="s">
        <v>92</v>
      </c>
      <c r="AZ44" s="5">
        <f t="shared" si="7"/>
        <v>100.30000000000001</v>
      </c>
      <c r="BA44" s="5">
        <f t="shared" si="4"/>
        <v>-0.30000000000001137</v>
      </c>
      <c r="BB44" s="1">
        <v>51.8</v>
      </c>
      <c r="BC44" s="1">
        <v>19.600000000000001</v>
      </c>
      <c r="BD44" s="1">
        <v>28.9</v>
      </c>
      <c r="BE44" s="5" t="s">
        <v>96</v>
      </c>
      <c r="BF44" s="5">
        <f t="shared" si="5"/>
        <v>51.499999999999986</v>
      </c>
      <c r="BG44" s="5"/>
      <c r="BH44" s="10">
        <f t="shared" si="6"/>
        <v>0</v>
      </c>
      <c r="BI44" s="1">
        <v>0</v>
      </c>
      <c r="BJ44" s="1">
        <v>0</v>
      </c>
      <c r="BK44" s="5">
        <v>0</v>
      </c>
      <c r="BL44" s="8">
        <v>16.420000000000002</v>
      </c>
      <c r="BM44" s="1">
        <v>2.8</v>
      </c>
      <c r="BN44" s="8">
        <v>0</v>
      </c>
      <c r="BO44" s="8">
        <v>1.63</v>
      </c>
      <c r="BP44" s="5" t="s">
        <v>92</v>
      </c>
      <c r="BQ44" s="5" t="s">
        <v>92</v>
      </c>
      <c r="BR44" s="5" t="s">
        <v>92</v>
      </c>
      <c r="BS44" s="5" t="s">
        <v>92</v>
      </c>
      <c r="BT44" s="1">
        <v>7.68</v>
      </c>
      <c r="BV44" s="1">
        <v>1.6</v>
      </c>
      <c r="BW44" s="3" t="s">
        <v>92</v>
      </c>
      <c r="BX44" s="3" t="s">
        <v>92</v>
      </c>
      <c r="BY44" s="3" t="s">
        <v>92</v>
      </c>
      <c r="BZ44" s="3" t="s">
        <v>92</v>
      </c>
      <c r="CA44" s="3" t="s">
        <v>92</v>
      </c>
      <c r="CB44" s="3" t="s">
        <v>92</v>
      </c>
      <c r="CC44" s="3" t="s">
        <v>92</v>
      </c>
      <c r="CD44" s="1">
        <v>5.1100000000000003</v>
      </c>
      <c r="CF44" s="13" t="s">
        <v>116</v>
      </c>
    </row>
    <row r="45" spans="1:85" s="28" customFormat="1" x14ac:dyDescent="0.15">
      <c r="A45" s="28" t="s">
        <v>117</v>
      </c>
      <c r="B45" s="28" t="s">
        <v>91</v>
      </c>
      <c r="C45" s="28" t="s">
        <v>92</v>
      </c>
      <c r="D45" s="28" t="s">
        <v>92</v>
      </c>
      <c r="E45" s="28" t="s">
        <v>93</v>
      </c>
      <c r="F45" s="28">
        <v>3</v>
      </c>
      <c r="G45" s="28" t="s">
        <v>92</v>
      </c>
      <c r="H45" s="29">
        <f>673-273</f>
        <v>400</v>
      </c>
      <c r="I45" s="28" t="s">
        <v>92</v>
      </c>
      <c r="J45" s="28">
        <v>0.7</v>
      </c>
      <c r="K45" s="28" t="s">
        <v>118</v>
      </c>
      <c r="L45" s="28">
        <v>0.04</v>
      </c>
      <c r="M45" s="28">
        <v>2.5</v>
      </c>
      <c r="N45" s="31" t="s">
        <v>92</v>
      </c>
      <c r="O45" s="28" t="s">
        <v>92</v>
      </c>
      <c r="S45" s="54">
        <v>7.6</v>
      </c>
      <c r="W45" s="54">
        <v>92.2</v>
      </c>
      <c r="AA45" s="54" t="s">
        <v>92</v>
      </c>
      <c r="AE45" s="54">
        <v>0.2</v>
      </c>
      <c r="AI45" s="54">
        <v>44.8</v>
      </c>
      <c r="AM45" s="54">
        <v>5.9</v>
      </c>
      <c r="AQ45" s="54">
        <v>0.1</v>
      </c>
      <c r="AU45" s="54">
        <v>46.2</v>
      </c>
      <c r="AV45" s="54" t="s">
        <v>92</v>
      </c>
      <c r="AZ45" s="31">
        <f t="shared" si="7"/>
        <v>99.600000000000009</v>
      </c>
      <c r="BA45" s="31">
        <f t="shared" si="4"/>
        <v>0.39999999999999147</v>
      </c>
      <c r="BB45" s="28">
        <v>51.1</v>
      </c>
      <c r="BC45" s="28">
        <v>27.8</v>
      </c>
      <c r="BD45" s="28">
        <v>20.7</v>
      </c>
      <c r="BE45" s="31" t="s">
        <v>96</v>
      </c>
      <c r="BF45" s="31">
        <f t="shared" si="5"/>
        <v>51.499999999999993</v>
      </c>
      <c r="BG45" s="31"/>
      <c r="BH45" s="31">
        <f t="shared" si="6"/>
        <v>0</v>
      </c>
      <c r="BI45" s="28">
        <v>0</v>
      </c>
      <c r="BJ45" s="28">
        <v>0</v>
      </c>
      <c r="BK45" s="31">
        <v>0</v>
      </c>
      <c r="BL45" s="28" t="s">
        <v>92</v>
      </c>
      <c r="BM45" s="28" t="s">
        <v>92</v>
      </c>
      <c r="BN45" s="28" t="s">
        <v>92</v>
      </c>
      <c r="BO45" s="28" t="s">
        <v>92</v>
      </c>
      <c r="BP45" s="28" t="s">
        <v>92</v>
      </c>
      <c r="BQ45" s="28" t="s">
        <v>92</v>
      </c>
      <c r="BR45" s="28" t="s">
        <v>92</v>
      </c>
      <c r="BS45" s="28" t="s">
        <v>92</v>
      </c>
      <c r="BT45" s="28" t="s">
        <v>92</v>
      </c>
      <c r="BU45" s="28" t="s">
        <v>92</v>
      </c>
      <c r="BV45" s="28" t="s">
        <v>92</v>
      </c>
      <c r="BW45" s="29" t="s">
        <v>92</v>
      </c>
      <c r="BX45" s="29" t="s">
        <v>92</v>
      </c>
      <c r="BY45" s="29" t="s">
        <v>92</v>
      </c>
      <c r="BZ45" s="29" t="s">
        <v>92</v>
      </c>
      <c r="CA45" s="29" t="s">
        <v>92</v>
      </c>
      <c r="CB45" s="29" t="s">
        <v>92</v>
      </c>
      <c r="CC45" s="29" t="s">
        <v>92</v>
      </c>
      <c r="CD45" s="28" t="s">
        <v>92</v>
      </c>
      <c r="CF45" s="28" t="s">
        <v>119</v>
      </c>
    </row>
    <row r="46" spans="1:85" x14ac:dyDescent="0.15">
      <c r="A46" s="1" t="s">
        <v>117</v>
      </c>
      <c r="B46" s="1" t="s">
        <v>91</v>
      </c>
      <c r="C46" s="1" t="s">
        <v>92</v>
      </c>
      <c r="D46" s="1" t="s">
        <v>92</v>
      </c>
      <c r="E46" s="1" t="s">
        <v>93</v>
      </c>
      <c r="F46" s="1">
        <v>3</v>
      </c>
      <c r="G46" s="1" t="s">
        <v>92</v>
      </c>
      <c r="H46" s="3">
        <f>723-273</f>
        <v>450</v>
      </c>
      <c r="I46" s="1" t="s">
        <v>92</v>
      </c>
      <c r="J46" s="1">
        <v>0.7</v>
      </c>
      <c r="K46" s="1" t="s">
        <v>118</v>
      </c>
      <c r="L46" s="1">
        <v>0.04</v>
      </c>
      <c r="M46" s="1">
        <v>2.5</v>
      </c>
      <c r="N46" s="5" t="s">
        <v>92</v>
      </c>
      <c r="O46" s="1" t="s">
        <v>92</v>
      </c>
      <c r="S46" s="54">
        <v>7.6</v>
      </c>
      <c r="W46" s="54">
        <v>92.2</v>
      </c>
      <c r="AA46" s="54" t="s">
        <v>92</v>
      </c>
      <c r="AE46" s="54">
        <v>0.2</v>
      </c>
      <c r="AI46" s="54">
        <v>44.8</v>
      </c>
      <c r="AM46" s="54">
        <v>5.9</v>
      </c>
      <c r="AQ46" s="54">
        <v>0.1</v>
      </c>
      <c r="AU46" s="54">
        <v>46.2</v>
      </c>
      <c r="AV46" s="54" t="s">
        <v>92</v>
      </c>
      <c r="AZ46" s="5">
        <f t="shared" si="7"/>
        <v>99.8</v>
      </c>
      <c r="BA46" s="5">
        <f t="shared" si="4"/>
        <v>0.20000000000000284</v>
      </c>
      <c r="BB46" s="1">
        <v>52.2</v>
      </c>
      <c r="BC46" s="1">
        <v>21.9</v>
      </c>
      <c r="BD46" s="1">
        <v>25.7</v>
      </c>
      <c r="BE46" s="5" t="s">
        <v>96</v>
      </c>
      <c r="BF46" s="5">
        <f t="shared" si="5"/>
        <v>52.400000000000006</v>
      </c>
      <c r="BG46" s="5"/>
      <c r="BH46" s="10">
        <f t="shared" si="6"/>
        <v>0</v>
      </c>
      <c r="BI46" s="1">
        <v>0</v>
      </c>
      <c r="BJ46" s="1">
        <v>0</v>
      </c>
      <c r="BK46" s="5">
        <v>0</v>
      </c>
      <c r="BL46" s="8" t="s">
        <v>92</v>
      </c>
      <c r="BM46" s="1" t="s">
        <v>92</v>
      </c>
      <c r="BN46" s="8" t="s">
        <v>92</v>
      </c>
      <c r="BO46" s="8" t="s">
        <v>92</v>
      </c>
      <c r="BP46" s="1" t="s">
        <v>92</v>
      </c>
      <c r="BQ46" s="1" t="s">
        <v>92</v>
      </c>
      <c r="BR46" s="1" t="s">
        <v>92</v>
      </c>
      <c r="BS46" s="1" t="s">
        <v>92</v>
      </c>
      <c r="BT46" s="1" t="s">
        <v>92</v>
      </c>
      <c r="BU46" s="1" t="s">
        <v>92</v>
      </c>
      <c r="BV46" s="1" t="s">
        <v>92</v>
      </c>
      <c r="BW46" s="3" t="s">
        <v>92</v>
      </c>
      <c r="BX46" s="3" t="s">
        <v>92</v>
      </c>
      <c r="BY46" s="3" t="s">
        <v>92</v>
      </c>
      <c r="BZ46" s="3" t="s">
        <v>92</v>
      </c>
      <c r="CA46" s="3" t="s">
        <v>92</v>
      </c>
      <c r="CB46" s="3" t="s">
        <v>92</v>
      </c>
      <c r="CC46" s="3" t="s">
        <v>92</v>
      </c>
      <c r="CD46" s="1" t="s">
        <v>92</v>
      </c>
      <c r="CF46" s="13" t="s">
        <v>119</v>
      </c>
    </row>
    <row r="47" spans="1:85" x14ac:dyDescent="0.15">
      <c r="A47" s="1" t="s">
        <v>117</v>
      </c>
      <c r="B47" s="1" t="s">
        <v>91</v>
      </c>
      <c r="C47" s="1" t="s">
        <v>92</v>
      </c>
      <c r="D47" s="1" t="s">
        <v>92</v>
      </c>
      <c r="E47" s="1" t="s">
        <v>93</v>
      </c>
      <c r="F47" s="1">
        <v>3</v>
      </c>
      <c r="G47" s="1" t="s">
        <v>92</v>
      </c>
      <c r="H47" s="3">
        <f>773-273</f>
        <v>500</v>
      </c>
      <c r="I47" s="1" t="s">
        <v>92</v>
      </c>
      <c r="J47" s="1">
        <v>0.7</v>
      </c>
      <c r="K47" s="1" t="s">
        <v>118</v>
      </c>
      <c r="L47" s="1">
        <v>0.04</v>
      </c>
      <c r="M47" s="1">
        <v>2.5</v>
      </c>
      <c r="N47" s="5" t="s">
        <v>92</v>
      </c>
      <c r="O47" s="1" t="s">
        <v>92</v>
      </c>
      <c r="S47" s="54">
        <v>7.6</v>
      </c>
      <c r="W47" s="54">
        <v>92.2</v>
      </c>
      <c r="AA47" s="54" t="s">
        <v>92</v>
      </c>
      <c r="AE47" s="54">
        <v>0.2</v>
      </c>
      <c r="AI47" s="54">
        <v>44.8</v>
      </c>
      <c r="AM47" s="54">
        <v>5.9</v>
      </c>
      <c r="AQ47" s="54">
        <v>0.1</v>
      </c>
      <c r="AU47" s="54">
        <v>46.2</v>
      </c>
      <c r="AV47" s="54" t="s">
        <v>92</v>
      </c>
      <c r="AZ47" s="5">
        <f t="shared" si="7"/>
        <v>99.9</v>
      </c>
      <c r="BA47" s="5">
        <f t="shared" si="4"/>
        <v>9.9999999999994316E-2</v>
      </c>
      <c r="BB47" s="1">
        <v>45.5</v>
      </c>
      <c r="BC47" s="1">
        <v>17.8</v>
      </c>
      <c r="BD47" s="1">
        <v>36.6</v>
      </c>
      <c r="BE47" s="5" t="s">
        <v>96</v>
      </c>
      <c r="BF47" s="5">
        <f t="shared" si="5"/>
        <v>45.599999999999994</v>
      </c>
      <c r="BG47" s="5"/>
      <c r="BH47" s="10">
        <f t="shared" si="6"/>
        <v>0</v>
      </c>
      <c r="BI47" s="1">
        <v>0</v>
      </c>
      <c r="BJ47" s="1">
        <v>0</v>
      </c>
      <c r="BK47" s="5">
        <v>0</v>
      </c>
      <c r="BL47" s="8" t="s">
        <v>92</v>
      </c>
      <c r="BM47" s="1" t="s">
        <v>92</v>
      </c>
      <c r="BN47" s="8" t="s">
        <v>92</v>
      </c>
      <c r="BO47" s="8" t="s">
        <v>92</v>
      </c>
      <c r="BP47" s="1" t="s">
        <v>92</v>
      </c>
      <c r="BQ47" s="1" t="s">
        <v>92</v>
      </c>
      <c r="BR47" s="1" t="s">
        <v>92</v>
      </c>
      <c r="BS47" s="1" t="s">
        <v>92</v>
      </c>
      <c r="BT47" s="1" t="s">
        <v>92</v>
      </c>
      <c r="BU47" s="1" t="s">
        <v>92</v>
      </c>
      <c r="BV47" s="1" t="s">
        <v>92</v>
      </c>
      <c r="BW47" s="3" t="s">
        <v>92</v>
      </c>
      <c r="BX47" s="3" t="s">
        <v>92</v>
      </c>
      <c r="BY47" s="3" t="s">
        <v>92</v>
      </c>
      <c r="BZ47" s="3" t="s">
        <v>92</v>
      </c>
      <c r="CA47" s="3" t="s">
        <v>92</v>
      </c>
      <c r="CB47" s="3" t="s">
        <v>92</v>
      </c>
      <c r="CC47" s="3" t="s">
        <v>92</v>
      </c>
      <c r="CD47" s="1" t="s">
        <v>92</v>
      </c>
      <c r="CF47" s="13" t="s">
        <v>119</v>
      </c>
    </row>
    <row r="48" spans="1:85" x14ac:dyDescent="0.15">
      <c r="A48" s="1" t="s">
        <v>117</v>
      </c>
      <c r="B48" s="1" t="s">
        <v>91</v>
      </c>
      <c r="C48" s="1" t="s">
        <v>92</v>
      </c>
      <c r="D48" s="1" t="s">
        <v>92</v>
      </c>
      <c r="E48" s="1" t="s">
        <v>93</v>
      </c>
      <c r="F48" s="1">
        <v>3</v>
      </c>
      <c r="G48" s="1" t="s">
        <v>92</v>
      </c>
      <c r="H48" s="3">
        <f>823-273</f>
        <v>550</v>
      </c>
      <c r="I48" s="1" t="s">
        <v>92</v>
      </c>
      <c r="J48" s="1">
        <v>0.7</v>
      </c>
      <c r="K48" s="1" t="s">
        <v>118</v>
      </c>
      <c r="L48" s="1">
        <v>0.04</v>
      </c>
      <c r="M48" s="1">
        <v>2.5</v>
      </c>
      <c r="N48" s="5" t="s">
        <v>92</v>
      </c>
      <c r="O48" s="1" t="s">
        <v>92</v>
      </c>
      <c r="S48" s="54">
        <v>7.6</v>
      </c>
      <c r="W48" s="54">
        <v>92.2</v>
      </c>
      <c r="AA48" s="54" t="s">
        <v>92</v>
      </c>
      <c r="AE48" s="54">
        <v>0.2</v>
      </c>
      <c r="AI48" s="54">
        <v>44.8</v>
      </c>
      <c r="AM48" s="54">
        <v>5.9</v>
      </c>
      <c r="AQ48" s="54">
        <v>0.1</v>
      </c>
      <c r="AU48" s="54">
        <v>46.2</v>
      </c>
      <c r="AV48" s="54" t="s">
        <v>92</v>
      </c>
      <c r="AZ48" s="5">
        <f t="shared" si="7"/>
        <v>100.9</v>
      </c>
      <c r="BA48" s="5">
        <f t="shared" si="4"/>
        <v>-0.90000000000000568</v>
      </c>
      <c r="BB48" s="5">
        <v>43</v>
      </c>
      <c r="BC48" s="1">
        <v>14.9</v>
      </c>
      <c r="BD48" s="5">
        <v>43</v>
      </c>
      <c r="BE48" s="5" t="s">
        <v>96</v>
      </c>
      <c r="BF48" s="5">
        <f t="shared" si="5"/>
        <v>42.099999999999994</v>
      </c>
      <c r="BG48" s="5"/>
      <c r="BH48" s="10">
        <f t="shared" si="6"/>
        <v>0</v>
      </c>
      <c r="BI48" s="1">
        <v>0</v>
      </c>
      <c r="BJ48" s="1">
        <v>0</v>
      </c>
      <c r="BK48" s="5">
        <v>0</v>
      </c>
      <c r="BL48" s="8" t="s">
        <v>92</v>
      </c>
      <c r="BM48" s="1" t="s">
        <v>92</v>
      </c>
      <c r="BN48" s="8" t="s">
        <v>92</v>
      </c>
      <c r="BO48" s="8" t="s">
        <v>92</v>
      </c>
      <c r="BP48" s="1" t="s">
        <v>92</v>
      </c>
      <c r="BQ48" s="1" t="s">
        <v>92</v>
      </c>
      <c r="BR48" s="1" t="s">
        <v>92</v>
      </c>
      <c r="BS48" s="1" t="s">
        <v>92</v>
      </c>
      <c r="BT48" s="1" t="s">
        <v>92</v>
      </c>
      <c r="BU48" s="1" t="s">
        <v>92</v>
      </c>
      <c r="BV48" s="1" t="s">
        <v>92</v>
      </c>
      <c r="BW48" s="3" t="s">
        <v>92</v>
      </c>
      <c r="BX48" s="3" t="s">
        <v>92</v>
      </c>
      <c r="BY48" s="3" t="s">
        <v>92</v>
      </c>
      <c r="BZ48" s="3" t="s">
        <v>92</v>
      </c>
      <c r="CA48" s="3" t="s">
        <v>92</v>
      </c>
      <c r="CB48" s="3" t="s">
        <v>92</v>
      </c>
      <c r="CC48" s="3" t="s">
        <v>92</v>
      </c>
      <c r="CD48" s="1" t="s">
        <v>92</v>
      </c>
      <c r="CF48" s="13" t="s">
        <v>119</v>
      </c>
      <c r="CG48" s="1" t="s">
        <v>120</v>
      </c>
    </row>
    <row r="49" spans="1:85" x14ac:dyDescent="0.15">
      <c r="A49" s="1" t="s">
        <v>117</v>
      </c>
      <c r="B49" s="1" t="s">
        <v>91</v>
      </c>
      <c r="C49" s="1" t="s">
        <v>92</v>
      </c>
      <c r="D49" s="1" t="s">
        <v>92</v>
      </c>
      <c r="E49" s="1" t="s">
        <v>93</v>
      </c>
      <c r="F49" s="1">
        <v>2.5</v>
      </c>
      <c r="G49" s="1" t="s">
        <v>92</v>
      </c>
      <c r="H49" s="3">
        <v>400</v>
      </c>
      <c r="I49" s="1" t="s">
        <v>92</v>
      </c>
      <c r="J49" s="1">
        <v>0.3</v>
      </c>
      <c r="K49" s="1" t="s">
        <v>118</v>
      </c>
      <c r="L49" s="1">
        <v>0.04</v>
      </c>
      <c r="M49" s="1">
        <v>3</v>
      </c>
      <c r="N49" s="5" t="s">
        <v>92</v>
      </c>
      <c r="O49" s="1" t="s">
        <v>92</v>
      </c>
      <c r="S49" s="54">
        <v>7.6</v>
      </c>
      <c r="W49" s="54">
        <v>92.2</v>
      </c>
      <c r="AA49" s="54" t="s">
        <v>92</v>
      </c>
      <c r="AE49" s="54">
        <v>0.2</v>
      </c>
      <c r="AI49" s="54">
        <v>44.8</v>
      </c>
      <c r="AM49" s="54">
        <v>5.9</v>
      </c>
      <c r="AQ49" s="54">
        <v>0.1</v>
      </c>
      <c r="AU49" s="54">
        <v>46.2</v>
      </c>
      <c r="AV49" s="54" t="s">
        <v>92</v>
      </c>
      <c r="AZ49" s="5">
        <f t="shared" si="7"/>
        <v>100.5</v>
      </c>
      <c r="BA49" s="5">
        <f t="shared" si="4"/>
        <v>-0.5</v>
      </c>
      <c r="BB49" s="1">
        <v>46.5</v>
      </c>
      <c r="BC49" s="1">
        <v>23.3</v>
      </c>
      <c r="BD49" s="1">
        <v>30.7</v>
      </c>
      <c r="BE49" s="5" t="s">
        <v>96</v>
      </c>
      <c r="BF49" s="5">
        <f t="shared" si="5"/>
        <v>46</v>
      </c>
      <c r="BG49" s="5"/>
      <c r="BH49" s="10">
        <f t="shared" si="6"/>
        <v>0</v>
      </c>
      <c r="BI49" s="1">
        <v>0</v>
      </c>
      <c r="BJ49" s="1">
        <v>0</v>
      </c>
      <c r="BK49" s="5">
        <v>0</v>
      </c>
      <c r="BL49" s="8" t="s">
        <v>92</v>
      </c>
      <c r="BM49" s="1" t="s">
        <v>92</v>
      </c>
      <c r="BN49" s="8" t="s">
        <v>92</v>
      </c>
      <c r="BO49" s="8" t="s">
        <v>92</v>
      </c>
      <c r="BP49" s="1" t="s">
        <v>92</v>
      </c>
      <c r="BQ49" s="1" t="s">
        <v>92</v>
      </c>
      <c r="BR49" s="1" t="s">
        <v>92</v>
      </c>
      <c r="BS49" s="1" t="s">
        <v>92</v>
      </c>
      <c r="BT49" s="1" t="s">
        <v>92</v>
      </c>
      <c r="BU49" s="1" t="s">
        <v>92</v>
      </c>
      <c r="BV49" s="1" t="s">
        <v>92</v>
      </c>
      <c r="BW49" s="3" t="s">
        <v>92</v>
      </c>
      <c r="BX49" s="3" t="s">
        <v>92</v>
      </c>
      <c r="BY49" s="3" t="s">
        <v>92</v>
      </c>
      <c r="BZ49" s="3" t="s">
        <v>92</v>
      </c>
      <c r="CA49" s="3" t="s">
        <v>92</v>
      </c>
      <c r="CB49" s="3" t="s">
        <v>92</v>
      </c>
      <c r="CC49" s="3" t="s">
        <v>92</v>
      </c>
      <c r="CD49" s="1" t="s">
        <v>92</v>
      </c>
      <c r="CF49" s="13" t="s">
        <v>119</v>
      </c>
    </row>
    <row r="50" spans="1:85" x14ac:dyDescent="0.15">
      <c r="A50" s="1" t="s">
        <v>117</v>
      </c>
      <c r="B50" s="1" t="s">
        <v>91</v>
      </c>
      <c r="C50" s="1" t="s">
        <v>92</v>
      </c>
      <c r="D50" s="1" t="s">
        <v>92</v>
      </c>
      <c r="E50" s="1" t="s">
        <v>93</v>
      </c>
      <c r="F50" s="1">
        <v>2.5</v>
      </c>
      <c r="G50" s="1" t="s">
        <v>92</v>
      </c>
      <c r="H50" s="3">
        <v>400</v>
      </c>
      <c r="I50" s="1" t="s">
        <v>92</v>
      </c>
      <c r="J50" s="1">
        <v>0.7</v>
      </c>
      <c r="K50" s="1" t="s">
        <v>118</v>
      </c>
      <c r="L50" s="1">
        <v>0.04</v>
      </c>
      <c r="M50" s="1">
        <v>3</v>
      </c>
      <c r="N50" s="5" t="s">
        <v>92</v>
      </c>
      <c r="O50" s="1" t="s">
        <v>92</v>
      </c>
      <c r="S50" s="54">
        <v>7.6</v>
      </c>
      <c r="W50" s="54">
        <v>92.2</v>
      </c>
      <c r="AA50" s="54" t="s">
        <v>92</v>
      </c>
      <c r="AE50" s="54">
        <v>0.2</v>
      </c>
      <c r="AI50" s="54">
        <v>44.8</v>
      </c>
      <c r="AM50" s="54">
        <v>5.9</v>
      </c>
      <c r="AQ50" s="54">
        <v>0.1</v>
      </c>
      <c r="AU50" s="54">
        <v>46.2</v>
      </c>
      <c r="AV50" s="54" t="s">
        <v>92</v>
      </c>
      <c r="AZ50" s="5">
        <f t="shared" si="7"/>
        <v>101.2</v>
      </c>
      <c r="BA50" s="5">
        <f t="shared" si="4"/>
        <v>-1.2000000000000028</v>
      </c>
      <c r="BB50" s="1">
        <v>52.5</v>
      </c>
      <c r="BC50" s="1">
        <v>22.4</v>
      </c>
      <c r="BD50" s="1">
        <v>26.3</v>
      </c>
      <c r="BE50" s="5" t="s">
        <v>96</v>
      </c>
      <c r="BF50" s="5">
        <f t="shared" si="5"/>
        <v>51.3</v>
      </c>
      <c r="BG50" s="5"/>
      <c r="BH50" s="10">
        <f t="shared" si="6"/>
        <v>0</v>
      </c>
      <c r="BI50" s="1">
        <v>0</v>
      </c>
      <c r="BJ50" s="1">
        <v>0</v>
      </c>
      <c r="BK50" s="5">
        <v>0</v>
      </c>
      <c r="BL50" s="8" t="s">
        <v>92</v>
      </c>
      <c r="BM50" s="1" t="s">
        <v>92</v>
      </c>
      <c r="BN50" s="8" t="s">
        <v>92</v>
      </c>
      <c r="BO50" s="8" t="s">
        <v>92</v>
      </c>
      <c r="BP50" s="1" t="s">
        <v>92</v>
      </c>
      <c r="BQ50" s="1" t="s">
        <v>92</v>
      </c>
      <c r="BR50" s="1" t="s">
        <v>92</v>
      </c>
      <c r="BS50" s="1" t="s">
        <v>92</v>
      </c>
      <c r="BT50" s="1" t="s">
        <v>92</v>
      </c>
      <c r="BU50" s="1" t="s">
        <v>92</v>
      </c>
      <c r="BV50" s="1" t="s">
        <v>92</v>
      </c>
      <c r="BW50" s="3" t="s">
        <v>92</v>
      </c>
      <c r="BX50" s="3" t="s">
        <v>92</v>
      </c>
      <c r="BY50" s="3" t="s">
        <v>92</v>
      </c>
      <c r="BZ50" s="3" t="s">
        <v>92</v>
      </c>
      <c r="CA50" s="3" t="s">
        <v>92</v>
      </c>
      <c r="CB50" s="3" t="s">
        <v>92</v>
      </c>
      <c r="CC50" s="3" t="s">
        <v>92</v>
      </c>
      <c r="CD50" s="1" t="s">
        <v>92</v>
      </c>
      <c r="CF50" s="13" t="s">
        <v>119</v>
      </c>
    </row>
    <row r="51" spans="1:85" x14ac:dyDescent="0.15">
      <c r="A51" s="1" t="s">
        <v>117</v>
      </c>
      <c r="B51" s="1" t="s">
        <v>91</v>
      </c>
      <c r="C51" s="1" t="s">
        <v>92</v>
      </c>
      <c r="D51" s="1" t="s">
        <v>92</v>
      </c>
      <c r="E51" s="1" t="s">
        <v>93</v>
      </c>
      <c r="F51" s="1">
        <v>2</v>
      </c>
      <c r="G51" s="1" t="s">
        <v>92</v>
      </c>
      <c r="H51" s="3">
        <v>400</v>
      </c>
      <c r="I51" s="1" t="s">
        <v>92</v>
      </c>
      <c r="J51" s="1">
        <v>1</v>
      </c>
      <c r="K51" s="1" t="s">
        <v>118</v>
      </c>
      <c r="L51" s="1">
        <v>0.04</v>
      </c>
      <c r="M51" s="1">
        <v>2.5</v>
      </c>
      <c r="N51" s="5" t="s">
        <v>92</v>
      </c>
      <c r="O51" s="1" t="s">
        <v>92</v>
      </c>
      <c r="S51" s="54">
        <v>7.6</v>
      </c>
      <c r="W51" s="54">
        <v>92.2</v>
      </c>
      <c r="AA51" s="54" t="s">
        <v>92</v>
      </c>
      <c r="AE51" s="54">
        <v>0.2</v>
      </c>
      <c r="AI51" s="54">
        <v>44.8</v>
      </c>
      <c r="AM51" s="54">
        <v>5.9</v>
      </c>
      <c r="AQ51" s="54">
        <v>0.1</v>
      </c>
      <c r="AU51" s="54">
        <v>46.2</v>
      </c>
      <c r="AV51" s="54" t="s">
        <v>92</v>
      </c>
      <c r="AZ51" s="5">
        <f t="shared" si="7"/>
        <v>101.60000000000001</v>
      </c>
      <c r="BA51" s="5">
        <f t="shared" si="4"/>
        <v>-1.6000000000000085</v>
      </c>
      <c r="BB51" s="1">
        <v>51.6</v>
      </c>
      <c r="BC51" s="1">
        <v>23.8</v>
      </c>
      <c r="BD51" s="1">
        <v>26.2</v>
      </c>
      <c r="BE51" s="5" t="s">
        <v>96</v>
      </c>
      <c r="BF51" s="5">
        <f t="shared" si="5"/>
        <v>49.999999999999993</v>
      </c>
      <c r="BG51" s="5"/>
      <c r="BH51" s="10">
        <f t="shared" si="6"/>
        <v>0</v>
      </c>
      <c r="BI51" s="1">
        <v>0</v>
      </c>
      <c r="BJ51" s="1">
        <v>0</v>
      </c>
      <c r="BK51" s="5">
        <v>0</v>
      </c>
      <c r="BL51" s="8" t="s">
        <v>92</v>
      </c>
      <c r="BM51" s="1" t="s">
        <v>92</v>
      </c>
      <c r="BN51" s="8" t="s">
        <v>92</v>
      </c>
      <c r="BO51" s="8" t="s">
        <v>92</v>
      </c>
      <c r="BP51" s="1" t="s">
        <v>92</v>
      </c>
      <c r="BQ51" s="1" t="s">
        <v>92</v>
      </c>
      <c r="BR51" s="1" t="s">
        <v>92</v>
      </c>
      <c r="BS51" s="1" t="s">
        <v>92</v>
      </c>
      <c r="BT51" s="1" t="s">
        <v>92</v>
      </c>
      <c r="BU51" s="1" t="s">
        <v>92</v>
      </c>
      <c r="BV51" s="1" t="s">
        <v>92</v>
      </c>
      <c r="BW51" s="3" t="s">
        <v>92</v>
      </c>
      <c r="BX51" s="3" t="s">
        <v>92</v>
      </c>
      <c r="BY51" s="3" t="s">
        <v>92</v>
      </c>
      <c r="BZ51" s="3" t="s">
        <v>92</v>
      </c>
      <c r="CA51" s="3" t="s">
        <v>92</v>
      </c>
      <c r="CB51" s="3" t="s">
        <v>92</v>
      </c>
      <c r="CC51" s="3" t="s">
        <v>92</v>
      </c>
      <c r="CD51" s="1" t="s">
        <v>92</v>
      </c>
      <c r="CF51" s="13" t="s">
        <v>119</v>
      </c>
      <c r="CG51" s="7" t="s">
        <v>121</v>
      </c>
    </row>
    <row r="52" spans="1:85" x14ac:dyDescent="0.15">
      <c r="A52" s="1" t="s">
        <v>117</v>
      </c>
      <c r="B52" s="1" t="s">
        <v>91</v>
      </c>
      <c r="C52" s="1" t="s">
        <v>92</v>
      </c>
      <c r="D52" s="1" t="s">
        <v>92</v>
      </c>
      <c r="E52" s="1" t="s">
        <v>93</v>
      </c>
      <c r="F52" s="1">
        <v>4</v>
      </c>
      <c r="G52" s="1" t="s">
        <v>92</v>
      </c>
      <c r="H52" s="3">
        <v>400</v>
      </c>
      <c r="I52" s="1" t="s">
        <v>92</v>
      </c>
      <c r="J52" s="1">
        <v>0.7</v>
      </c>
      <c r="K52" s="1" t="s">
        <v>118</v>
      </c>
      <c r="L52" s="1">
        <v>0.04</v>
      </c>
      <c r="M52" s="1">
        <v>1.7</v>
      </c>
      <c r="N52" s="5" t="s">
        <v>92</v>
      </c>
      <c r="O52" s="1" t="s">
        <v>92</v>
      </c>
      <c r="S52" s="54">
        <v>7.6</v>
      </c>
      <c r="W52" s="54">
        <v>92.2</v>
      </c>
      <c r="AA52" s="54" t="s">
        <v>92</v>
      </c>
      <c r="AE52" s="54">
        <v>0.2</v>
      </c>
      <c r="AI52" s="54">
        <v>44.8</v>
      </c>
      <c r="AM52" s="54">
        <v>5.9</v>
      </c>
      <c r="AQ52" s="54">
        <v>0.1</v>
      </c>
      <c r="AU52" s="54">
        <v>46.2</v>
      </c>
      <c r="AV52" s="54" t="s">
        <v>92</v>
      </c>
      <c r="AZ52" s="5">
        <f t="shared" si="7"/>
        <v>100.3</v>
      </c>
      <c r="BA52" s="5">
        <f t="shared" si="4"/>
        <v>-0.29999999999999716</v>
      </c>
      <c r="BB52" s="1">
        <v>49</v>
      </c>
      <c r="BC52" s="1">
        <v>20.100000000000001</v>
      </c>
      <c r="BD52" s="1">
        <v>31.2</v>
      </c>
      <c r="BE52" s="5" t="s">
        <v>96</v>
      </c>
      <c r="BF52" s="5">
        <f t="shared" si="5"/>
        <v>48.7</v>
      </c>
      <c r="BG52" s="5"/>
      <c r="BH52" s="10">
        <f t="shared" si="6"/>
        <v>0</v>
      </c>
      <c r="BI52" s="1">
        <v>0</v>
      </c>
      <c r="BJ52" s="1">
        <v>0</v>
      </c>
      <c r="BK52" s="5">
        <v>0</v>
      </c>
      <c r="BL52" s="8" t="s">
        <v>92</v>
      </c>
      <c r="BM52" s="1" t="s">
        <v>92</v>
      </c>
      <c r="BN52" s="8" t="s">
        <v>92</v>
      </c>
      <c r="BO52" s="8" t="s">
        <v>92</v>
      </c>
      <c r="BP52" s="1" t="s">
        <v>92</v>
      </c>
      <c r="BQ52" s="1" t="s">
        <v>92</v>
      </c>
      <c r="BR52" s="1" t="s">
        <v>92</v>
      </c>
      <c r="BS52" s="1" t="s">
        <v>92</v>
      </c>
      <c r="BT52" s="1" t="s">
        <v>92</v>
      </c>
      <c r="BU52" s="1" t="s">
        <v>92</v>
      </c>
      <c r="BV52" s="1" t="s">
        <v>92</v>
      </c>
      <c r="BW52" s="3" t="s">
        <v>92</v>
      </c>
      <c r="BX52" s="3" t="s">
        <v>92</v>
      </c>
      <c r="BY52" s="3" t="s">
        <v>92</v>
      </c>
      <c r="BZ52" s="3" t="s">
        <v>92</v>
      </c>
      <c r="CA52" s="3" t="s">
        <v>92</v>
      </c>
      <c r="CB52" s="3" t="s">
        <v>92</v>
      </c>
      <c r="CC52" s="3" t="s">
        <v>92</v>
      </c>
      <c r="CD52" s="1" t="s">
        <v>92</v>
      </c>
      <c r="CF52" s="13" t="s">
        <v>119</v>
      </c>
    </row>
    <row r="53" spans="1:85" x14ac:dyDescent="0.15">
      <c r="A53" s="1" t="s">
        <v>117</v>
      </c>
      <c r="B53" s="1" t="s">
        <v>91</v>
      </c>
      <c r="C53" s="1" t="s">
        <v>92</v>
      </c>
      <c r="D53" s="1" t="s">
        <v>92</v>
      </c>
      <c r="E53" s="1" t="s">
        <v>93</v>
      </c>
      <c r="F53" s="1">
        <v>3</v>
      </c>
      <c r="G53" s="1" t="s">
        <v>92</v>
      </c>
      <c r="H53" s="3">
        <v>400</v>
      </c>
      <c r="I53" s="1" t="s">
        <v>92</v>
      </c>
      <c r="J53" s="1">
        <v>0.7</v>
      </c>
      <c r="K53" s="1" t="s">
        <v>118</v>
      </c>
      <c r="L53" s="1">
        <v>0.04</v>
      </c>
      <c r="M53" s="1">
        <v>2.5</v>
      </c>
      <c r="N53" s="5" t="s">
        <v>92</v>
      </c>
      <c r="O53" s="1" t="s">
        <v>92</v>
      </c>
      <c r="S53" s="54">
        <v>7.6</v>
      </c>
      <c r="W53" s="54">
        <v>92.2</v>
      </c>
      <c r="AA53" s="54" t="s">
        <v>92</v>
      </c>
      <c r="AE53" s="54">
        <v>0.2</v>
      </c>
      <c r="AI53" s="54">
        <v>44.8</v>
      </c>
      <c r="AM53" s="54">
        <v>5.9</v>
      </c>
      <c r="AQ53" s="54">
        <v>0.1</v>
      </c>
      <c r="AU53" s="54">
        <v>46.2</v>
      </c>
      <c r="AV53" s="54" t="s">
        <v>92</v>
      </c>
      <c r="AZ53" s="5">
        <f t="shared" si="7"/>
        <v>100.3</v>
      </c>
      <c r="BA53" s="5">
        <f t="shared" si="4"/>
        <v>-0.29999999999999716</v>
      </c>
      <c r="BB53" s="1">
        <v>52.6</v>
      </c>
      <c r="BC53" s="1">
        <v>21.9</v>
      </c>
      <c r="BD53" s="1">
        <v>25.8</v>
      </c>
      <c r="BE53" s="5" t="s">
        <v>96</v>
      </c>
      <c r="BF53" s="5">
        <f t="shared" si="5"/>
        <v>52.300000000000004</v>
      </c>
      <c r="BG53" s="5"/>
      <c r="BH53" s="10">
        <f t="shared" si="6"/>
        <v>0</v>
      </c>
      <c r="BI53" s="1">
        <v>0</v>
      </c>
      <c r="BJ53" s="1">
        <v>0</v>
      </c>
      <c r="BK53" s="5">
        <v>0</v>
      </c>
      <c r="BL53" s="8" t="s">
        <v>92</v>
      </c>
      <c r="BM53" s="1" t="s">
        <v>92</v>
      </c>
      <c r="BN53" s="8" t="s">
        <v>92</v>
      </c>
      <c r="BO53" s="8" t="s">
        <v>92</v>
      </c>
      <c r="BP53" s="1" t="s">
        <v>92</v>
      </c>
      <c r="BQ53" s="1" t="s">
        <v>92</v>
      </c>
      <c r="BR53" s="1" t="s">
        <v>92</v>
      </c>
      <c r="BS53" s="1" t="s">
        <v>92</v>
      </c>
      <c r="BT53" s="1" t="s">
        <v>92</v>
      </c>
      <c r="BU53" s="1" t="s">
        <v>92</v>
      </c>
      <c r="BV53" s="1" t="s">
        <v>92</v>
      </c>
      <c r="BW53" s="3" t="s">
        <v>92</v>
      </c>
      <c r="BX53" s="3" t="s">
        <v>92</v>
      </c>
      <c r="BY53" s="3" t="s">
        <v>92</v>
      </c>
      <c r="BZ53" s="3" t="s">
        <v>92</v>
      </c>
      <c r="CA53" s="3" t="s">
        <v>92</v>
      </c>
      <c r="CB53" s="3" t="s">
        <v>92</v>
      </c>
      <c r="CC53" s="3" t="s">
        <v>92</v>
      </c>
      <c r="CD53" s="1" t="s">
        <v>92</v>
      </c>
      <c r="CF53" s="13" t="s">
        <v>119</v>
      </c>
    </row>
    <row r="54" spans="1:85" x14ac:dyDescent="0.15">
      <c r="A54" s="1" t="s">
        <v>117</v>
      </c>
      <c r="B54" s="1" t="s">
        <v>91</v>
      </c>
      <c r="C54" s="1" t="s">
        <v>92</v>
      </c>
      <c r="D54" s="1" t="s">
        <v>92</v>
      </c>
      <c r="E54" s="1" t="s">
        <v>93</v>
      </c>
      <c r="F54" s="1">
        <v>3</v>
      </c>
      <c r="G54" s="1" t="s">
        <v>92</v>
      </c>
      <c r="H54" s="3">
        <v>400</v>
      </c>
      <c r="I54" s="1" t="s">
        <v>92</v>
      </c>
      <c r="J54" s="1">
        <v>0.7</v>
      </c>
      <c r="K54" s="1" t="s">
        <v>118</v>
      </c>
      <c r="L54" s="1">
        <v>0.04</v>
      </c>
      <c r="M54" s="1">
        <v>3.8</v>
      </c>
      <c r="N54" s="5" t="s">
        <v>92</v>
      </c>
      <c r="O54" s="1" t="s">
        <v>92</v>
      </c>
      <c r="S54" s="54">
        <v>7.6</v>
      </c>
      <c r="W54" s="54">
        <v>92.2</v>
      </c>
      <c r="AA54" s="54" t="s">
        <v>92</v>
      </c>
      <c r="AE54" s="54">
        <v>0.2</v>
      </c>
      <c r="AI54" s="54">
        <v>44.8</v>
      </c>
      <c r="AM54" s="54">
        <v>5.9</v>
      </c>
      <c r="AQ54" s="54">
        <v>0.1</v>
      </c>
      <c r="AU54" s="54">
        <v>46.2</v>
      </c>
      <c r="AV54" s="54" t="s">
        <v>92</v>
      </c>
      <c r="AZ54" s="5">
        <f t="shared" si="7"/>
        <v>100.6</v>
      </c>
      <c r="BA54" s="5">
        <f t="shared" si="4"/>
        <v>-0.59999999999999432</v>
      </c>
      <c r="BB54" s="1">
        <v>55.5</v>
      </c>
      <c r="BC54" s="1">
        <v>20.5</v>
      </c>
      <c r="BD54" s="1">
        <v>24.6</v>
      </c>
      <c r="BE54" s="5" t="s">
        <v>96</v>
      </c>
      <c r="BF54" s="5">
        <f t="shared" si="5"/>
        <v>54.900000000000006</v>
      </c>
      <c r="BG54" s="5"/>
      <c r="BH54" s="10">
        <f t="shared" si="6"/>
        <v>10.9</v>
      </c>
      <c r="BI54" s="1">
        <v>0</v>
      </c>
      <c r="BJ54" s="1">
        <v>0</v>
      </c>
      <c r="BK54" s="1">
        <f>0.4+2+1.9+1+0.8+0.7+1+1.1+1.4+0.6</f>
        <v>10.9</v>
      </c>
      <c r="BL54" s="8" t="s">
        <v>92</v>
      </c>
      <c r="BM54" s="1" t="s">
        <v>92</v>
      </c>
      <c r="BN54" s="8">
        <f>0.6+1.4+1.1</f>
        <v>3.1</v>
      </c>
      <c r="BO54" s="8">
        <f>1.7+0.4+5.2+4+1.4+0.5+2.4</f>
        <v>15.600000000000001</v>
      </c>
      <c r="BP54" s="1" t="s">
        <v>92</v>
      </c>
      <c r="BQ54" s="1" t="s">
        <v>92</v>
      </c>
      <c r="BR54" s="1">
        <f>0.6+2.4+0.5</f>
        <v>3.5</v>
      </c>
      <c r="BS54" s="1" t="s">
        <v>92</v>
      </c>
      <c r="BT54" s="1">
        <f>0.4+0.6+0.5</f>
        <v>1.5</v>
      </c>
      <c r="BU54" s="1" t="s">
        <v>92</v>
      </c>
      <c r="BV54" s="1" t="s">
        <v>92</v>
      </c>
      <c r="BW54" s="3" t="s">
        <v>92</v>
      </c>
      <c r="BX54" s="3" t="s">
        <v>92</v>
      </c>
      <c r="BY54" s="3" t="s">
        <v>92</v>
      </c>
      <c r="BZ54" s="3" t="s">
        <v>92</v>
      </c>
      <c r="CA54" s="3" t="s">
        <v>92</v>
      </c>
      <c r="CB54" s="3" t="s">
        <v>92</v>
      </c>
      <c r="CC54" s="3" t="s">
        <v>92</v>
      </c>
      <c r="CD54" s="1" t="s">
        <v>92</v>
      </c>
      <c r="CF54" s="13" t="s">
        <v>119</v>
      </c>
      <c r="CG54" s="1" t="s">
        <v>122</v>
      </c>
    </row>
    <row r="55" spans="1:85" s="28" customFormat="1" x14ac:dyDescent="0.15">
      <c r="A55" s="28" t="s">
        <v>117</v>
      </c>
      <c r="B55" s="28" t="s">
        <v>100</v>
      </c>
      <c r="C55" s="28" t="s">
        <v>92</v>
      </c>
      <c r="D55" s="28">
        <v>50</v>
      </c>
      <c r="E55" s="28" t="s">
        <v>93</v>
      </c>
      <c r="F55" s="28">
        <v>0.05</v>
      </c>
      <c r="G55" s="28">
        <f>((D55/1000)/(F55))*60</f>
        <v>60</v>
      </c>
      <c r="H55" s="29">
        <v>400</v>
      </c>
      <c r="I55" s="28" t="s">
        <v>92</v>
      </c>
      <c r="J55" s="28">
        <v>0.4</v>
      </c>
      <c r="M55" s="28" t="s">
        <v>92</v>
      </c>
      <c r="N55" s="31" t="s">
        <v>92</v>
      </c>
      <c r="O55" s="28" t="s">
        <v>92</v>
      </c>
      <c r="S55" s="54">
        <v>7.6</v>
      </c>
      <c r="W55" s="54">
        <v>92.2</v>
      </c>
      <c r="AA55" s="54" t="s">
        <v>92</v>
      </c>
      <c r="AE55" s="54">
        <v>0.2</v>
      </c>
      <c r="AI55" s="54">
        <v>44.8</v>
      </c>
      <c r="AM55" s="54">
        <v>5.9</v>
      </c>
      <c r="AQ55" s="54">
        <v>0.1</v>
      </c>
      <c r="AU55" s="54">
        <v>46.2</v>
      </c>
      <c r="AV55" s="54" t="s">
        <v>92</v>
      </c>
      <c r="AZ55" s="31">
        <f t="shared" si="7"/>
        <v>100</v>
      </c>
      <c r="BA55" s="31">
        <f t="shared" si="4"/>
        <v>0</v>
      </c>
      <c r="BB55" s="28">
        <v>54.2</v>
      </c>
      <c r="BC55" s="28">
        <v>22</v>
      </c>
      <c r="BD55" s="28">
        <v>23.8</v>
      </c>
      <c r="BE55" s="31" t="s">
        <v>96</v>
      </c>
      <c r="BF55" s="31">
        <f t="shared" si="5"/>
        <v>54.2</v>
      </c>
      <c r="BH55" s="31">
        <f t="shared" si="6"/>
        <v>28.780200000000004</v>
      </c>
      <c r="BI55" s="28">
        <v>0</v>
      </c>
      <c r="BJ55" s="28">
        <v>0</v>
      </c>
      <c r="BK55" s="28">
        <f>53.1*BB55/100</f>
        <v>28.780200000000004</v>
      </c>
      <c r="BL55" s="28" t="s">
        <v>92</v>
      </c>
      <c r="BM55" s="28" t="s">
        <v>92</v>
      </c>
      <c r="BN55" s="28" t="s">
        <v>92</v>
      </c>
      <c r="BO55" s="28" t="s">
        <v>92</v>
      </c>
      <c r="BP55" s="28">
        <f>16.9*BB55/100</f>
        <v>9.1598000000000006</v>
      </c>
      <c r="BQ55" s="28" t="s">
        <v>92</v>
      </c>
      <c r="BR55" s="28" t="s">
        <v>92</v>
      </c>
      <c r="BS55" s="28" t="s">
        <v>92</v>
      </c>
      <c r="BT55" s="28" t="s">
        <v>92</v>
      </c>
      <c r="BU55" s="28" t="s">
        <v>92</v>
      </c>
      <c r="BV55" s="28" t="s">
        <v>92</v>
      </c>
      <c r="BW55" s="29" t="s">
        <v>92</v>
      </c>
      <c r="BX55" s="29" t="s">
        <v>92</v>
      </c>
      <c r="BY55" s="29" t="s">
        <v>92</v>
      </c>
      <c r="BZ55" s="29" t="s">
        <v>92</v>
      </c>
      <c r="CA55" s="29" t="s">
        <v>92</v>
      </c>
      <c r="CB55" s="29" t="s">
        <v>92</v>
      </c>
      <c r="CC55" s="29" t="s">
        <v>92</v>
      </c>
      <c r="CD55" s="28" t="s">
        <v>92</v>
      </c>
      <c r="CF55" s="28" t="s">
        <v>123</v>
      </c>
    </row>
    <row r="56" spans="1:85" s="28" customFormat="1" x14ac:dyDescent="0.15">
      <c r="A56" s="28" t="s">
        <v>90</v>
      </c>
      <c r="B56" s="28" t="s">
        <v>124</v>
      </c>
      <c r="C56" s="28" t="s">
        <v>92</v>
      </c>
      <c r="D56" s="28" t="s">
        <v>92</v>
      </c>
      <c r="E56" s="28" t="s">
        <v>93</v>
      </c>
      <c r="F56" s="28">
        <v>0.1</v>
      </c>
      <c r="G56" s="28" t="s">
        <v>92</v>
      </c>
      <c r="H56" s="29">
        <v>400</v>
      </c>
      <c r="I56" s="28" t="s">
        <v>92</v>
      </c>
      <c r="J56" s="28" t="s">
        <v>125</v>
      </c>
      <c r="M56" s="28" t="s">
        <v>92</v>
      </c>
      <c r="N56" s="31" t="s">
        <v>92</v>
      </c>
      <c r="O56" s="28" t="s">
        <v>92</v>
      </c>
      <c r="S56" s="54">
        <v>9.4700000000000006</v>
      </c>
      <c r="W56" s="54">
        <v>72.510000000000005</v>
      </c>
      <c r="AA56" s="54">
        <v>0.01</v>
      </c>
      <c r="AE56" s="54">
        <v>1.69</v>
      </c>
      <c r="AI56" s="54">
        <v>46.49</v>
      </c>
      <c r="AM56" s="54">
        <v>6.22</v>
      </c>
      <c r="AQ56" s="54">
        <v>0.13</v>
      </c>
      <c r="AU56" s="54">
        <v>45.46</v>
      </c>
      <c r="AV56" s="54" t="s">
        <v>92</v>
      </c>
      <c r="AZ56" s="31">
        <f t="shared" si="7"/>
        <v>100</v>
      </c>
      <c r="BA56" s="31">
        <f t="shared" si="4"/>
        <v>0</v>
      </c>
      <c r="BB56" s="28">
        <v>36.97</v>
      </c>
      <c r="BC56" s="28">
        <v>28.44</v>
      </c>
      <c r="BD56" s="28">
        <v>34.590000000000003</v>
      </c>
      <c r="BE56" s="31" t="s">
        <v>96</v>
      </c>
      <c r="BF56" s="31">
        <f t="shared" si="5"/>
        <v>36.97</v>
      </c>
      <c r="BG56" s="31"/>
      <c r="BH56" s="31">
        <f t="shared" si="6"/>
        <v>8.6879500000000007</v>
      </c>
      <c r="BI56" s="28">
        <f>(42.7-30.7)*BB56/100</f>
        <v>4.4364000000000008</v>
      </c>
      <c r="BJ56" s="28">
        <v>0</v>
      </c>
      <c r="BK56" s="28">
        <f>11.5*BB56/100</f>
        <v>4.2515499999999999</v>
      </c>
      <c r="BL56" s="28" t="s">
        <v>92</v>
      </c>
      <c r="BM56" s="28">
        <f>12.88*BB56/100</f>
        <v>4.761736</v>
      </c>
      <c r="BN56" s="28">
        <f>(77.2-57.3)*BB56/100</f>
        <v>7.3570300000000017</v>
      </c>
      <c r="BO56" s="28">
        <f>(57.3-48.3)*BB56/100</f>
        <v>3.3273000000000001</v>
      </c>
      <c r="BP56" s="28">
        <f>(94-77.2)*BB56/100</f>
        <v>6.2109599999999991</v>
      </c>
      <c r="BQ56" s="28" t="s">
        <v>92</v>
      </c>
      <c r="BR56" s="28">
        <f>(44.4-42.7)*BB56/100</f>
        <v>0.62848999999999844</v>
      </c>
      <c r="BS56" s="28" t="s">
        <v>92</v>
      </c>
      <c r="BT56" s="28">
        <f>(48.3-45.8)*BB56/100</f>
        <v>0.92425000000000002</v>
      </c>
      <c r="BU56" s="28" t="s">
        <v>92</v>
      </c>
      <c r="BV56" s="28">
        <f>(45.8-44.4)*BB56/100</f>
        <v>0.51757999999999948</v>
      </c>
      <c r="BW56" s="29" t="s">
        <v>92</v>
      </c>
      <c r="BX56" s="28">
        <f>6.32*BB56/100</f>
        <v>2.3365039999999997</v>
      </c>
      <c r="BY56" s="29" t="s">
        <v>92</v>
      </c>
      <c r="BZ56" s="29" t="s">
        <v>92</v>
      </c>
      <c r="CA56" s="29" t="s">
        <v>92</v>
      </c>
      <c r="CB56" s="29" t="s">
        <v>92</v>
      </c>
      <c r="CC56" s="29" t="s">
        <v>92</v>
      </c>
      <c r="CD56" s="28">
        <f>(100-94)*BB56/100</f>
        <v>2.2181999999999999</v>
      </c>
      <c r="CF56" s="28" t="s">
        <v>126</v>
      </c>
      <c r="CG56" s="28" t="s">
        <v>122</v>
      </c>
    </row>
    <row r="57" spans="1:85" x14ac:dyDescent="0.15">
      <c r="A57" s="1" t="s">
        <v>90</v>
      </c>
      <c r="B57" s="1" t="s">
        <v>124</v>
      </c>
      <c r="C57" s="1" t="s">
        <v>92</v>
      </c>
      <c r="D57" s="1" t="s">
        <v>92</v>
      </c>
      <c r="E57" s="1" t="s">
        <v>93</v>
      </c>
      <c r="F57" s="1">
        <v>0.1</v>
      </c>
      <c r="G57" s="1" t="s">
        <v>92</v>
      </c>
      <c r="H57" s="3">
        <v>600</v>
      </c>
      <c r="I57" s="1" t="s">
        <v>92</v>
      </c>
      <c r="J57" s="1" t="s">
        <v>125</v>
      </c>
      <c r="M57" s="1" t="s">
        <v>92</v>
      </c>
      <c r="N57" s="5" t="s">
        <v>92</v>
      </c>
      <c r="O57" s="1" t="s">
        <v>92</v>
      </c>
      <c r="S57" s="54">
        <v>9.4700000000000006</v>
      </c>
      <c r="W57" s="54">
        <v>72.510000000000005</v>
      </c>
      <c r="AA57" s="54">
        <v>0.01</v>
      </c>
      <c r="AE57" s="54">
        <v>1.69</v>
      </c>
      <c r="AI57" s="54">
        <v>46.49</v>
      </c>
      <c r="AM57" s="54">
        <v>6.22</v>
      </c>
      <c r="AQ57" s="54">
        <v>0.13</v>
      </c>
      <c r="AU57" s="54">
        <v>45.46</v>
      </c>
      <c r="AV57" s="54" t="s">
        <v>92</v>
      </c>
      <c r="AZ57" s="5">
        <f t="shared" si="7"/>
        <v>99.97</v>
      </c>
      <c r="BA57" s="5">
        <f t="shared" si="4"/>
        <v>3.0000000000001137E-2</v>
      </c>
      <c r="BB57" s="1">
        <v>27.09</v>
      </c>
      <c r="BC57" s="1">
        <v>19.86</v>
      </c>
      <c r="BD57" s="1">
        <v>53.02</v>
      </c>
      <c r="BE57" s="5" t="s">
        <v>96</v>
      </c>
      <c r="BF57" s="5">
        <f t="shared" si="5"/>
        <v>27.12</v>
      </c>
      <c r="BG57" s="5"/>
      <c r="BH57" s="5">
        <f t="shared" si="6"/>
        <v>9.8607600000000009</v>
      </c>
      <c r="BI57" s="1">
        <f>(48.7-40)*BB57/100</f>
        <v>2.3568300000000009</v>
      </c>
      <c r="BJ57" s="1">
        <v>0</v>
      </c>
      <c r="BK57" s="1">
        <f>27.7*BB57/100</f>
        <v>7.5039300000000004</v>
      </c>
      <c r="BL57" s="1" t="s">
        <v>92</v>
      </c>
      <c r="BM57" s="1">
        <f>6.73*BB57/100</f>
        <v>1.8231570000000001</v>
      </c>
      <c r="BN57" s="1">
        <f>(78.4-66.1)*BB57/100</f>
        <v>3.332070000000003</v>
      </c>
      <c r="BO57" s="1">
        <f>(66.1-60.5)*BB57/100</f>
        <v>1.5170399999999984</v>
      </c>
      <c r="BP57" s="1">
        <f>(93-78.4)*BB57/100</f>
        <v>3.9551399999999983</v>
      </c>
      <c r="BQ57" s="1" t="s">
        <v>92</v>
      </c>
      <c r="BR57" s="1">
        <f>(51.2-48.7)*BB57/100</f>
        <v>0.67724999999999991</v>
      </c>
      <c r="BS57" s="1" t="s">
        <v>92</v>
      </c>
      <c r="BT57" s="1">
        <f>(60.5-52.9)*BB57/100</f>
        <v>2.0588400000000004</v>
      </c>
      <c r="BU57" s="1" t="s">
        <v>92</v>
      </c>
      <c r="BV57" s="1">
        <f>(52.9-51.2)*BB57/100</f>
        <v>0.46052999999999883</v>
      </c>
      <c r="BW57" s="3" t="s">
        <v>92</v>
      </c>
      <c r="BX57" s="1">
        <f>5.57*BB57/100</f>
        <v>1.5089129999999999</v>
      </c>
      <c r="BY57" s="3" t="s">
        <v>92</v>
      </c>
      <c r="BZ57" s="3" t="s">
        <v>92</v>
      </c>
      <c r="CA57" s="3" t="s">
        <v>92</v>
      </c>
      <c r="CB57" s="3" t="s">
        <v>92</v>
      </c>
      <c r="CC57" s="3" t="s">
        <v>92</v>
      </c>
      <c r="CD57" s="1">
        <f>(100-93)*BB57/100</f>
        <v>1.8962999999999999</v>
      </c>
      <c r="CF57" s="40" t="s">
        <v>126</v>
      </c>
      <c r="CG57" s="1" t="s">
        <v>122</v>
      </c>
    </row>
    <row r="58" spans="1:85" x14ac:dyDescent="0.15">
      <c r="A58" s="1" t="s">
        <v>90</v>
      </c>
      <c r="B58" s="1" t="s">
        <v>124</v>
      </c>
      <c r="C58" s="1" t="s">
        <v>92</v>
      </c>
      <c r="D58" s="1" t="s">
        <v>92</v>
      </c>
      <c r="E58" s="1" t="s">
        <v>93</v>
      </c>
      <c r="F58" s="1">
        <v>0.1</v>
      </c>
      <c r="G58" s="1" t="s">
        <v>92</v>
      </c>
      <c r="H58" s="3">
        <v>900</v>
      </c>
      <c r="I58" s="1" t="s">
        <v>92</v>
      </c>
      <c r="J58" s="1" t="s">
        <v>125</v>
      </c>
      <c r="M58" s="1" t="s">
        <v>92</v>
      </c>
      <c r="N58" s="5" t="s">
        <v>92</v>
      </c>
      <c r="O58" s="1" t="s">
        <v>92</v>
      </c>
      <c r="S58" s="54">
        <v>9.4700000000000006</v>
      </c>
      <c r="W58" s="54">
        <v>72.510000000000005</v>
      </c>
      <c r="AA58" s="54">
        <v>0.01</v>
      </c>
      <c r="AE58" s="54">
        <v>1.69</v>
      </c>
      <c r="AI58" s="54">
        <v>46.49</v>
      </c>
      <c r="AM58" s="54">
        <v>6.22</v>
      </c>
      <c r="AQ58" s="54">
        <v>0.13</v>
      </c>
      <c r="AU58" s="54">
        <v>45.46</v>
      </c>
      <c r="AV58" s="54" t="s">
        <v>92</v>
      </c>
      <c r="AZ58" s="5">
        <f t="shared" si="7"/>
        <v>102</v>
      </c>
      <c r="BA58" s="5">
        <f t="shared" si="4"/>
        <v>-2</v>
      </c>
      <c r="BB58" s="1">
        <v>34.46</v>
      </c>
      <c r="BC58" s="1">
        <v>14.09</v>
      </c>
      <c r="BD58" s="1">
        <v>53.45</v>
      </c>
      <c r="BE58" s="5" t="s">
        <v>96</v>
      </c>
      <c r="BF58" s="5">
        <f t="shared" si="5"/>
        <v>32.46</v>
      </c>
      <c r="BG58" s="5"/>
      <c r="BH58" s="10">
        <f t="shared" si="6"/>
        <v>12.81912</v>
      </c>
      <c r="BI58" s="1">
        <f>(52.4-44.9)*BB58/100</f>
        <v>2.5844999999999998</v>
      </c>
      <c r="BJ58" s="1">
        <v>0</v>
      </c>
      <c r="BK58" s="1">
        <f>29.7*BB58/100</f>
        <v>10.23462</v>
      </c>
      <c r="BL58" s="8" t="s">
        <v>92</v>
      </c>
      <c r="BM58" s="1">
        <f>8.97*BB58/100</f>
        <v>3.0910620000000004</v>
      </c>
      <c r="BN58" s="8">
        <f>(80.5-67.3)*BB58/100</f>
        <v>4.5487200000000012</v>
      </c>
      <c r="BO58" s="8">
        <f>(67.3-63.7)*BB58/100</f>
        <v>1.2405599999999981</v>
      </c>
      <c r="BP58" s="1">
        <f>(92.5-80.5)*58/100</f>
        <v>6.96</v>
      </c>
      <c r="BQ58" s="1" t="s">
        <v>92</v>
      </c>
      <c r="BR58" s="1">
        <f>(55-52.4)*BB58/100</f>
        <v>0.89596000000000042</v>
      </c>
      <c r="BS58" s="1" t="s">
        <v>92</v>
      </c>
      <c r="BT58" s="1">
        <f>(63.7-58.6)*BB58/100</f>
        <v>1.7574600000000007</v>
      </c>
      <c r="BU58" s="1" t="s">
        <v>92</v>
      </c>
      <c r="BV58" s="1">
        <f>(58.6-55)*BB58/100</f>
        <v>1.2405600000000006</v>
      </c>
      <c r="BW58" s="3" t="s">
        <v>92</v>
      </c>
      <c r="BX58" s="1">
        <f>6.23*BB58/100</f>
        <v>2.1468580000000004</v>
      </c>
      <c r="BY58" s="3" t="s">
        <v>92</v>
      </c>
      <c r="BZ58" s="3" t="s">
        <v>92</v>
      </c>
      <c r="CA58" s="3" t="s">
        <v>92</v>
      </c>
      <c r="CB58" s="3" t="s">
        <v>92</v>
      </c>
      <c r="CC58" s="3" t="s">
        <v>92</v>
      </c>
      <c r="CD58" s="1">
        <f>(100-92.5)*BB58/100</f>
        <v>2.5844999999999998</v>
      </c>
      <c r="CF58" s="13" t="s">
        <v>126</v>
      </c>
      <c r="CG58" s="1" t="s">
        <v>122</v>
      </c>
    </row>
    <row r="59" spans="1:85" s="28" customFormat="1" x14ac:dyDescent="0.15">
      <c r="A59" s="28" t="s">
        <v>127</v>
      </c>
      <c r="B59" s="28" t="s">
        <v>115</v>
      </c>
      <c r="C59" s="28" t="s">
        <v>92</v>
      </c>
      <c r="D59" s="28" t="s">
        <v>92</v>
      </c>
      <c r="E59" s="28" t="s">
        <v>93</v>
      </c>
      <c r="F59" s="28">
        <v>0.03</v>
      </c>
      <c r="G59" s="28" t="s">
        <v>92</v>
      </c>
      <c r="H59" s="29">
        <v>450</v>
      </c>
      <c r="I59" s="28" t="s">
        <v>92</v>
      </c>
      <c r="J59" s="28" t="s">
        <v>128</v>
      </c>
      <c r="M59" s="28">
        <v>416.7</v>
      </c>
      <c r="N59" s="31" t="s">
        <v>92</v>
      </c>
      <c r="O59" s="28" t="s">
        <v>92</v>
      </c>
      <c r="S59" s="54">
        <v>7</v>
      </c>
      <c r="W59" s="54" t="s">
        <v>92</v>
      </c>
      <c r="AA59" s="54">
        <v>0.01</v>
      </c>
      <c r="AE59" s="54">
        <v>2.6</v>
      </c>
      <c r="AI59" s="54">
        <v>45.29</v>
      </c>
      <c r="AM59" s="54">
        <v>6.24</v>
      </c>
      <c r="AQ59" s="54">
        <v>0.2</v>
      </c>
      <c r="AU59" s="54">
        <v>48.26</v>
      </c>
      <c r="AV59" s="54" t="s">
        <v>92</v>
      </c>
      <c r="AZ59" s="31">
        <f t="shared" si="7"/>
        <v>100</v>
      </c>
      <c r="BA59" s="31">
        <f t="shared" si="4"/>
        <v>0</v>
      </c>
      <c r="BB59" s="28">
        <v>30.2</v>
      </c>
      <c r="BC59" s="28">
        <v>45.1</v>
      </c>
      <c r="BD59" s="28">
        <v>24.7</v>
      </c>
      <c r="BE59" s="31" t="s">
        <v>96</v>
      </c>
      <c r="BF59" s="31">
        <f t="shared" si="5"/>
        <v>30.2</v>
      </c>
      <c r="BG59" s="31"/>
      <c r="BH59" s="31">
        <f t="shared" si="6"/>
        <v>0</v>
      </c>
      <c r="BI59" s="28">
        <v>0</v>
      </c>
      <c r="BJ59" s="28">
        <v>0</v>
      </c>
      <c r="BK59" s="28">
        <v>0</v>
      </c>
      <c r="BL59" s="28" t="s">
        <v>92</v>
      </c>
      <c r="BM59" s="28" t="s">
        <v>92</v>
      </c>
      <c r="BN59" s="28" t="s">
        <v>92</v>
      </c>
      <c r="BO59" s="28" t="s">
        <v>92</v>
      </c>
      <c r="BP59" s="28" t="s">
        <v>92</v>
      </c>
      <c r="BQ59" s="28" t="s">
        <v>92</v>
      </c>
      <c r="BR59" s="28" t="s">
        <v>92</v>
      </c>
      <c r="BS59" s="28" t="s">
        <v>92</v>
      </c>
      <c r="BT59" s="28" t="s">
        <v>92</v>
      </c>
      <c r="BU59" s="28" t="s">
        <v>92</v>
      </c>
      <c r="BV59" s="28" t="s">
        <v>92</v>
      </c>
      <c r="BW59" s="29" t="s">
        <v>92</v>
      </c>
      <c r="BX59" s="28" t="s">
        <v>92</v>
      </c>
      <c r="BY59" s="29" t="s">
        <v>92</v>
      </c>
      <c r="BZ59" s="29" t="s">
        <v>92</v>
      </c>
      <c r="CA59" s="29" t="s">
        <v>92</v>
      </c>
      <c r="CB59" s="29" t="s">
        <v>92</v>
      </c>
      <c r="CC59" s="29" t="s">
        <v>92</v>
      </c>
      <c r="CD59" s="28" t="s">
        <v>92</v>
      </c>
      <c r="CF59" s="28" t="s">
        <v>129</v>
      </c>
      <c r="CG59" s="28" t="s">
        <v>122</v>
      </c>
    </row>
    <row r="60" spans="1:85" x14ac:dyDescent="0.15">
      <c r="A60" s="1" t="s">
        <v>127</v>
      </c>
      <c r="B60" s="1" t="s">
        <v>115</v>
      </c>
      <c r="C60" s="1" t="s">
        <v>92</v>
      </c>
      <c r="D60" s="1" t="s">
        <v>92</v>
      </c>
      <c r="E60" s="1" t="s">
        <v>93</v>
      </c>
      <c r="F60" s="1">
        <v>0.03</v>
      </c>
      <c r="G60" s="1" t="s">
        <v>92</v>
      </c>
      <c r="H60" s="3">
        <v>550</v>
      </c>
      <c r="I60" s="1" t="s">
        <v>92</v>
      </c>
      <c r="J60" s="1" t="s">
        <v>128</v>
      </c>
      <c r="M60" s="1">
        <v>416.7</v>
      </c>
      <c r="N60" s="5" t="s">
        <v>92</v>
      </c>
      <c r="O60" s="1" t="s">
        <v>92</v>
      </c>
      <c r="S60" s="54">
        <v>7</v>
      </c>
      <c r="W60" s="54" t="s">
        <v>92</v>
      </c>
      <c r="AA60" s="54">
        <v>0.01</v>
      </c>
      <c r="AE60" s="54">
        <v>2.6</v>
      </c>
      <c r="AI60" s="54">
        <v>45.29</v>
      </c>
      <c r="AM60" s="54">
        <v>6.24</v>
      </c>
      <c r="AQ60" s="54">
        <v>0.2</v>
      </c>
      <c r="AU60" s="54">
        <v>48.26</v>
      </c>
      <c r="AV60" s="54" t="s">
        <v>92</v>
      </c>
      <c r="AZ60" s="5">
        <f t="shared" si="7"/>
        <v>100</v>
      </c>
      <c r="BA60" s="5">
        <f t="shared" si="4"/>
        <v>0</v>
      </c>
      <c r="BB60" s="1">
        <v>34</v>
      </c>
      <c r="BC60" s="1">
        <v>30.3</v>
      </c>
      <c r="BD60" s="1">
        <v>35.700000000000003</v>
      </c>
      <c r="BE60" s="5" t="s">
        <v>96</v>
      </c>
      <c r="BF60" s="5">
        <f t="shared" si="5"/>
        <v>34</v>
      </c>
      <c r="BG60" s="5"/>
      <c r="BH60" s="10">
        <f t="shared" si="6"/>
        <v>0</v>
      </c>
      <c r="BI60" s="1">
        <v>0</v>
      </c>
      <c r="BJ60" s="1">
        <v>0</v>
      </c>
      <c r="BK60" s="1">
        <v>0</v>
      </c>
      <c r="BL60" s="8" t="s">
        <v>92</v>
      </c>
      <c r="BM60" s="1" t="s">
        <v>92</v>
      </c>
      <c r="BN60" s="8" t="s">
        <v>92</v>
      </c>
      <c r="BO60" s="8" t="s">
        <v>92</v>
      </c>
      <c r="BP60" s="1" t="s">
        <v>92</v>
      </c>
      <c r="BQ60" s="1" t="s">
        <v>92</v>
      </c>
      <c r="BR60" s="1" t="s">
        <v>92</v>
      </c>
      <c r="BS60" s="1" t="s">
        <v>92</v>
      </c>
      <c r="BT60" s="1" t="s">
        <v>92</v>
      </c>
      <c r="BU60" s="1" t="s">
        <v>92</v>
      </c>
      <c r="BV60" s="1" t="s">
        <v>92</v>
      </c>
      <c r="BW60" s="3" t="s">
        <v>92</v>
      </c>
      <c r="BX60" s="1" t="s">
        <v>92</v>
      </c>
      <c r="BY60" s="3" t="s">
        <v>92</v>
      </c>
      <c r="BZ60" s="3" t="s">
        <v>92</v>
      </c>
      <c r="CA60" s="3" t="s">
        <v>92</v>
      </c>
      <c r="CB60" s="3" t="s">
        <v>92</v>
      </c>
      <c r="CC60" s="3" t="s">
        <v>92</v>
      </c>
      <c r="CD60" s="1" t="s">
        <v>92</v>
      </c>
      <c r="CF60" s="1" t="s">
        <v>129</v>
      </c>
      <c r="CG60" s="1" t="s">
        <v>122</v>
      </c>
    </row>
    <row r="61" spans="1:85" x14ac:dyDescent="0.15">
      <c r="A61" s="1" t="s">
        <v>127</v>
      </c>
      <c r="B61" s="1" t="s">
        <v>115</v>
      </c>
      <c r="C61" s="1" t="s">
        <v>92</v>
      </c>
      <c r="D61" s="1" t="s">
        <v>92</v>
      </c>
      <c r="E61" s="1" t="s">
        <v>93</v>
      </c>
      <c r="F61" s="1">
        <v>0.03</v>
      </c>
      <c r="G61" s="1" t="s">
        <v>92</v>
      </c>
      <c r="H61" s="3">
        <v>650</v>
      </c>
      <c r="I61" s="1" t="s">
        <v>92</v>
      </c>
      <c r="J61" s="1" t="s">
        <v>128</v>
      </c>
      <c r="M61" s="1" t="s">
        <v>92</v>
      </c>
      <c r="N61" s="5" t="s">
        <v>92</v>
      </c>
      <c r="O61" s="1" t="s">
        <v>92</v>
      </c>
      <c r="S61" s="54">
        <v>7</v>
      </c>
      <c r="W61" s="54" t="s">
        <v>92</v>
      </c>
      <c r="AA61" s="54">
        <v>0.01</v>
      </c>
      <c r="AE61" s="54">
        <v>2.6</v>
      </c>
      <c r="AI61" s="54">
        <v>45.29</v>
      </c>
      <c r="AM61" s="54">
        <v>6.24</v>
      </c>
      <c r="AQ61" s="54">
        <v>0.2</v>
      </c>
      <c r="AU61" s="54">
        <v>48.26</v>
      </c>
      <c r="AV61" s="54" t="s">
        <v>92</v>
      </c>
      <c r="AZ61" s="5">
        <f t="shared" si="7"/>
        <v>100</v>
      </c>
      <c r="BA61" s="5">
        <f t="shared" si="4"/>
        <v>0</v>
      </c>
      <c r="BB61" s="1">
        <v>33.1</v>
      </c>
      <c r="BC61" s="1">
        <v>25.2</v>
      </c>
      <c r="BD61" s="1">
        <v>41.7</v>
      </c>
      <c r="BE61" s="5" t="s">
        <v>96</v>
      </c>
      <c r="BF61" s="5">
        <f t="shared" si="5"/>
        <v>33.1</v>
      </c>
      <c r="BG61" s="5"/>
      <c r="BH61" s="10">
        <f>BI61+BJ61+BK61</f>
        <v>4.3923700000000006</v>
      </c>
      <c r="BI61" s="1">
        <v>0</v>
      </c>
      <c r="BJ61" s="1">
        <v>0</v>
      </c>
      <c r="BK61" s="1">
        <f>(1.88+1.39+1.01+2.79+2.03+4.17)*BB61/100</f>
        <v>4.3923700000000006</v>
      </c>
      <c r="BL61" s="8" t="s">
        <v>92</v>
      </c>
      <c r="BM61" s="1">
        <f>(1.17+2.95)*BB61/100</f>
        <v>1.36372</v>
      </c>
      <c r="BN61" s="8" t="s">
        <v>92</v>
      </c>
      <c r="BO61" s="8">
        <f>1.55*BB61/100</f>
        <v>0.51305000000000012</v>
      </c>
      <c r="BP61" s="1" t="s">
        <v>92</v>
      </c>
      <c r="BQ61" s="1" t="s">
        <v>92</v>
      </c>
      <c r="BR61" s="1">
        <f>(7.05+1.35+1.32+2.48)*BB61/100</f>
        <v>4.0382000000000007</v>
      </c>
      <c r="BS61" s="1" t="s">
        <v>92</v>
      </c>
      <c r="BT61" s="1" t="s">
        <v>92</v>
      </c>
      <c r="BU61" s="1" t="s">
        <v>92</v>
      </c>
      <c r="BV61" s="1">
        <f>(33.07+1.9+2.61)*BB61/100</f>
        <v>12.438979999999999</v>
      </c>
      <c r="BW61" s="3" t="s">
        <v>92</v>
      </c>
      <c r="BX61" s="1" t="s">
        <v>92</v>
      </c>
      <c r="BY61" s="3" t="s">
        <v>92</v>
      </c>
      <c r="BZ61" s="3" t="s">
        <v>92</v>
      </c>
      <c r="CA61" s="3" t="s">
        <v>92</v>
      </c>
      <c r="CB61" s="3" t="s">
        <v>92</v>
      </c>
      <c r="CC61" s="3" t="s">
        <v>92</v>
      </c>
      <c r="CD61" s="1">
        <f>(1.02+7.21)*BB61/100</f>
        <v>2.7241300000000002</v>
      </c>
      <c r="CF61" s="1" t="s">
        <v>129</v>
      </c>
      <c r="CG61" s="1" t="s">
        <v>122</v>
      </c>
    </row>
    <row r="62" spans="1:85" s="28" customFormat="1" x14ac:dyDescent="0.15">
      <c r="A62" s="28" t="s">
        <v>90</v>
      </c>
      <c r="B62" s="28" t="s">
        <v>124</v>
      </c>
      <c r="C62" s="28">
        <v>3534.3</v>
      </c>
      <c r="D62" s="28" t="s">
        <v>92</v>
      </c>
      <c r="E62" s="28" t="s">
        <v>93</v>
      </c>
      <c r="F62" s="28">
        <v>0.01</v>
      </c>
      <c r="G62" s="28">
        <f>((C62/1000)/(F62))*60</f>
        <v>21205.8</v>
      </c>
      <c r="H62" s="29">
        <v>500</v>
      </c>
      <c r="I62" s="28" t="s">
        <v>92</v>
      </c>
      <c r="J62" s="28">
        <v>0.48</v>
      </c>
      <c r="M62" s="28" t="s">
        <v>92</v>
      </c>
      <c r="N62" s="31" t="s">
        <v>92</v>
      </c>
      <c r="O62" s="28" t="s">
        <v>92</v>
      </c>
      <c r="S62" s="54">
        <v>7.15</v>
      </c>
      <c r="W62" s="54" t="s">
        <v>92</v>
      </c>
      <c r="AA62" s="54" t="s">
        <v>92</v>
      </c>
      <c r="AE62" s="54" t="s">
        <v>92</v>
      </c>
      <c r="AI62" s="54">
        <v>47.75</v>
      </c>
      <c r="AM62" s="54">
        <v>6.3</v>
      </c>
      <c r="AQ62" s="54">
        <v>1.27</v>
      </c>
      <c r="AU62" s="54">
        <v>44.37</v>
      </c>
      <c r="AV62" s="54">
        <v>19.28</v>
      </c>
      <c r="AZ62" s="31">
        <f t="shared" si="7"/>
        <v>101</v>
      </c>
      <c r="BA62" s="31">
        <f t="shared" si="4"/>
        <v>-1</v>
      </c>
      <c r="BB62" s="28">
        <v>49.9</v>
      </c>
      <c r="BC62" s="28">
        <v>27.1</v>
      </c>
      <c r="BD62" s="28">
        <v>24</v>
      </c>
      <c r="BE62" s="31" t="s">
        <v>96</v>
      </c>
      <c r="BF62" s="31">
        <f t="shared" si="5"/>
        <v>48.9</v>
      </c>
      <c r="BG62" s="31"/>
      <c r="BH62" s="31">
        <f t="shared" si="6"/>
        <v>13.65264</v>
      </c>
      <c r="BI62" s="28">
        <v>0</v>
      </c>
      <c r="BJ62" s="28">
        <v>0</v>
      </c>
      <c r="BK62" s="29">
        <f>27.36*(BB62/100)</f>
        <v>13.65264</v>
      </c>
      <c r="BL62" s="33">
        <f>10.75*BB62/100</f>
        <v>5.3642499999999993</v>
      </c>
      <c r="BM62" s="28" t="s">
        <v>92</v>
      </c>
      <c r="BN62" s="28">
        <f>0.94*BB62/100</f>
        <v>0.46905999999999998</v>
      </c>
      <c r="BO62" s="28">
        <f>6.71*BB62/100</f>
        <v>3.34829</v>
      </c>
      <c r="BP62" s="28">
        <f>25.26*BB62/100</f>
        <v>12.60474</v>
      </c>
      <c r="BQ62" s="28">
        <f>10.92*BB62/100</f>
        <v>5.4490800000000004</v>
      </c>
      <c r="BR62" s="28">
        <f>10.76*BB62/100</f>
        <v>5.3692399999999996</v>
      </c>
      <c r="BS62" s="28" t="s">
        <v>92</v>
      </c>
      <c r="BT62" s="28" t="s">
        <v>92</v>
      </c>
      <c r="BU62" s="28" t="s">
        <v>92</v>
      </c>
      <c r="BV62" s="28" t="s">
        <v>92</v>
      </c>
      <c r="BW62" s="29" t="s">
        <v>92</v>
      </c>
      <c r="BX62" s="28" t="s">
        <v>92</v>
      </c>
      <c r="BY62" s="29" t="s">
        <v>92</v>
      </c>
      <c r="BZ62" s="29" t="s">
        <v>92</v>
      </c>
      <c r="CA62" s="29" t="s">
        <v>92</v>
      </c>
      <c r="CB62" s="29" t="s">
        <v>92</v>
      </c>
      <c r="CC62" s="29" t="s">
        <v>92</v>
      </c>
      <c r="CD62" s="28" t="s">
        <v>92</v>
      </c>
      <c r="CF62" s="28" t="s">
        <v>130</v>
      </c>
      <c r="CG62" s="28" t="s">
        <v>131</v>
      </c>
    </row>
    <row r="63" spans="1:85" s="28" customFormat="1" x14ac:dyDescent="0.15">
      <c r="A63" s="28" t="s">
        <v>90</v>
      </c>
      <c r="B63" s="28" t="s">
        <v>124</v>
      </c>
      <c r="C63" s="28">
        <v>926.67</v>
      </c>
      <c r="D63" s="28" t="s">
        <v>92</v>
      </c>
      <c r="E63" s="28" t="s">
        <v>93</v>
      </c>
      <c r="F63" s="28">
        <v>0.01</v>
      </c>
      <c r="G63" s="28">
        <f>((C63/1000)/(F63))*60</f>
        <v>5560.02</v>
      </c>
      <c r="H63" s="29">
        <v>550</v>
      </c>
      <c r="I63" s="28" t="s">
        <v>92</v>
      </c>
      <c r="J63" s="28">
        <v>0.06</v>
      </c>
      <c r="M63" s="28" t="s">
        <v>92</v>
      </c>
      <c r="N63" s="31" t="s">
        <v>92</v>
      </c>
      <c r="O63" s="28" t="s">
        <v>92</v>
      </c>
      <c r="S63" s="54">
        <v>6.06</v>
      </c>
      <c r="W63" s="54" t="s">
        <v>92</v>
      </c>
      <c r="AA63" s="54" t="s">
        <v>92</v>
      </c>
      <c r="AE63" s="54" t="s">
        <v>92</v>
      </c>
      <c r="AI63" s="54">
        <v>47.38</v>
      </c>
      <c r="AM63" s="54">
        <v>6.42</v>
      </c>
      <c r="AQ63" s="54">
        <v>0.99</v>
      </c>
      <c r="AU63" s="54">
        <v>44.96</v>
      </c>
      <c r="AV63" s="54">
        <v>16.32</v>
      </c>
      <c r="AZ63" s="31">
        <f t="shared" si="7"/>
        <v>99.99</v>
      </c>
      <c r="BA63" s="31">
        <f t="shared" si="4"/>
        <v>1.0000000000005116E-2</v>
      </c>
      <c r="BB63" s="28">
        <f>28.85+24.04</f>
        <v>52.89</v>
      </c>
      <c r="BC63" s="28">
        <v>24.4</v>
      </c>
      <c r="BD63" s="28">
        <v>22.7</v>
      </c>
      <c r="BE63" s="31" t="s">
        <v>96</v>
      </c>
      <c r="BF63" s="31">
        <f t="shared" si="5"/>
        <v>52.900000000000006</v>
      </c>
      <c r="BG63" s="31"/>
      <c r="BH63" s="31">
        <f t="shared" si="6"/>
        <v>15.681884999999999</v>
      </c>
      <c r="BI63" s="28">
        <v>0</v>
      </c>
      <c r="BJ63" s="28">
        <v>0</v>
      </c>
      <c r="BK63" s="28">
        <f>29.65*BB63/100</f>
        <v>15.681884999999999</v>
      </c>
      <c r="BL63" s="33">
        <f>18.83*BB63/100</f>
        <v>9.959187</v>
      </c>
      <c r="BM63" s="28" t="s">
        <v>92</v>
      </c>
      <c r="BN63" s="28">
        <f>1.51*BB63/100</f>
        <v>0.79863899999999999</v>
      </c>
      <c r="BO63" s="28">
        <f>9.01*BB63/100</f>
        <v>4.7653889999999999</v>
      </c>
      <c r="BP63" s="28">
        <f>20.48*BB63/100</f>
        <v>10.831872000000001</v>
      </c>
      <c r="BQ63" s="28">
        <f>1.2*BB63/100</f>
        <v>0.63467999999999991</v>
      </c>
      <c r="BR63" s="28">
        <f>13.19*BB63/100</f>
        <v>6.976191</v>
      </c>
      <c r="BS63" s="28" t="s">
        <v>92</v>
      </c>
      <c r="BT63" s="28" t="s">
        <v>92</v>
      </c>
      <c r="BU63" s="28" t="s">
        <v>92</v>
      </c>
      <c r="BV63" s="28" t="s">
        <v>92</v>
      </c>
      <c r="BW63" s="29" t="s">
        <v>92</v>
      </c>
      <c r="BX63" s="28" t="s">
        <v>92</v>
      </c>
      <c r="BY63" s="29" t="s">
        <v>92</v>
      </c>
      <c r="BZ63" s="29" t="s">
        <v>92</v>
      </c>
      <c r="CA63" s="29" t="s">
        <v>92</v>
      </c>
      <c r="CB63" s="29" t="s">
        <v>92</v>
      </c>
      <c r="CC63" s="29" t="s">
        <v>92</v>
      </c>
      <c r="CD63" s="28" t="s">
        <v>92</v>
      </c>
      <c r="CF63" s="28" t="s">
        <v>132</v>
      </c>
      <c r="CG63" s="28" t="s">
        <v>131</v>
      </c>
    </row>
    <row r="64" spans="1:85" s="28" customFormat="1" x14ac:dyDescent="0.15">
      <c r="A64" s="28" t="s">
        <v>90</v>
      </c>
      <c r="B64" s="28" t="s">
        <v>133</v>
      </c>
      <c r="C64" s="28">
        <v>40</v>
      </c>
      <c r="D64" s="28" t="s">
        <v>92</v>
      </c>
      <c r="E64" s="28" t="s">
        <v>93</v>
      </c>
      <c r="F64" s="31">
        <v>6</v>
      </c>
      <c r="G64" s="28">
        <f>((C64/1000)/(F64))*60</f>
        <v>0.4</v>
      </c>
      <c r="H64" s="29">
        <v>500</v>
      </c>
      <c r="I64" s="28" t="s">
        <v>92</v>
      </c>
      <c r="J64" s="28" t="s">
        <v>134</v>
      </c>
      <c r="K64" s="28" t="s">
        <v>135</v>
      </c>
      <c r="L64" s="28">
        <v>0.32500000000000001</v>
      </c>
      <c r="M64" s="31">
        <v>1</v>
      </c>
      <c r="N64" s="31" t="s">
        <v>92</v>
      </c>
      <c r="O64" s="28" t="s">
        <v>92</v>
      </c>
      <c r="S64" s="54">
        <v>7.5</v>
      </c>
      <c r="W64" s="54" t="s">
        <v>92</v>
      </c>
      <c r="AA64" s="54" t="s">
        <v>92</v>
      </c>
      <c r="AE64" s="54" t="s">
        <v>92</v>
      </c>
      <c r="AI64" s="54">
        <v>45.1</v>
      </c>
      <c r="AM64" s="54">
        <v>6.8</v>
      </c>
      <c r="AQ64" s="54" t="s">
        <v>92</v>
      </c>
      <c r="AU64" s="54">
        <v>48.1</v>
      </c>
      <c r="AV64" s="54" t="s">
        <v>92</v>
      </c>
      <c r="AZ64" s="31">
        <f t="shared" si="7"/>
        <v>98</v>
      </c>
      <c r="BA64" s="31">
        <f t="shared" si="4"/>
        <v>2</v>
      </c>
      <c r="BB64" s="28">
        <f>7+21</f>
        <v>28</v>
      </c>
      <c r="BC64" s="28">
        <v>12</v>
      </c>
      <c r="BD64" s="28">
        <v>58</v>
      </c>
      <c r="BE64" s="31" t="s">
        <v>96</v>
      </c>
      <c r="BF64" s="31">
        <f t="shared" si="5"/>
        <v>30</v>
      </c>
      <c r="BG64" s="31"/>
      <c r="BH64" s="31">
        <f t="shared" si="6"/>
        <v>2.7687520000000001</v>
      </c>
      <c r="BI64" s="28">
        <v>0</v>
      </c>
      <c r="BJ64" s="29">
        <f>(23383+7181+23998+38441)/1000000*BB64</f>
        <v>2.6040840000000003</v>
      </c>
      <c r="BK64" s="28">
        <f>(493+2414+2359+615)/10^6*BB64</f>
        <v>0.16466800000000001</v>
      </c>
      <c r="BL64" s="33">
        <f>(1476+2790)/10^6*BB64</f>
        <v>0.119448</v>
      </c>
      <c r="BM64" s="28">
        <f>2207/10^6*BB64</f>
        <v>6.1796000000000004E-2</v>
      </c>
      <c r="BN64" s="28" t="s">
        <v>92</v>
      </c>
      <c r="BO64" s="28">
        <f>4943/10^6*BB64</f>
        <v>0.138404</v>
      </c>
      <c r="BP64" s="28" t="s">
        <v>92</v>
      </c>
      <c r="BQ64" s="28" t="s">
        <v>92</v>
      </c>
      <c r="BR64" s="28">
        <f>(3242+912+891+597+946+33535)/10^6*BB64</f>
        <v>1.1234439999999999</v>
      </c>
      <c r="BS64" s="28" t="s">
        <v>92</v>
      </c>
      <c r="BT64" s="28" t="s">
        <v>92</v>
      </c>
      <c r="BU64" s="28" t="s">
        <v>92</v>
      </c>
      <c r="BV64" s="28">
        <f>(6489+3242)/10^6*BB64</f>
        <v>0.27246799999999999</v>
      </c>
      <c r="BW64" s="29" t="s">
        <v>92</v>
      </c>
      <c r="BX64" s="28" t="s">
        <v>92</v>
      </c>
      <c r="BY64" s="29" t="s">
        <v>92</v>
      </c>
      <c r="BZ64" s="29" t="s">
        <v>92</v>
      </c>
      <c r="CA64" s="29" t="s">
        <v>92</v>
      </c>
      <c r="CB64" s="29" t="s">
        <v>92</v>
      </c>
      <c r="CC64" s="29" t="s">
        <v>92</v>
      </c>
      <c r="CD64" s="28">
        <f>0.18/10^6*BB64</f>
        <v>5.04E-6</v>
      </c>
      <c r="CF64" s="28" t="s">
        <v>136</v>
      </c>
      <c r="CG64" s="28" t="s">
        <v>137</v>
      </c>
    </row>
    <row r="65" spans="1:85" s="28" customFormat="1" x14ac:dyDescent="0.15">
      <c r="A65" s="28" t="s">
        <v>90</v>
      </c>
      <c r="B65" s="28" t="s">
        <v>133</v>
      </c>
      <c r="C65" s="28" t="s">
        <v>92</v>
      </c>
      <c r="D65" s="28" t="s">
        <v>92</v>
      </c>
      <c r="E65" s="28" t="s">
        <v>93</v>
      </c>
      <c r="F65" s="28">
        <v>27</v>
      </c>
      <c r="G65" s="28" t="s">
        <v>92</v>
      </c>
      <c r="H65" s="29">
        <v>525</v>
      </c>
      <c r="I65" s="28" t="s">
        <v>92</v>
      </c>
      <c r="J65" s="28">
        <v>0.75</v>
      </c>
      <c r="K65" s="28" t="s">
        <v>92</v>
      </c>
      <c r="L65" s="28" t="s">
        <v>92</v>
      </c>
      <c r="M65" s="28">
        <v>16.670000000000002</v>
      </c>
      <c r="N65" s="31" t="s">
        <v>92</v>
      </c>
      <c r="O65" s="28" t="s">
        <v>92</v>
      </c>
      <c r="S65" s="54">
        <v>0</v>
      </c>
      <c r="W65" s="54">
        <v>0</v>
      </c>
      <c r="AA65" s="54" t="s">
        <v>92</v>
      </c>
      <c r="AE65" s="54">
        <v>0</v>
      </c>
      <c r="AI65" s="54">
        <v>51.2</v>
      </c>
      <c r="AM65" s="54">
        <v>6.3</v>
      </c>
      <c r="AQ65" s="54">
        <v>0.1</v>
      </c>
      <c r="AU65" s="54">
        <v>42.4</v>
      </c>
      <c r="AV65" s="54" t="s">
        <v>92</v>
      </c>
      <c r="AZ65" s="31">
        <f t="shared" si="7"/>
        <v>100</v>
      </c>
      <c r="BA65" s="31">
        <f t="shared" si="4"/>
        <v>0</v>
      </c>
      <c r="BB65" s="28">
        <v>67</v>
      </c>
      <c r="BC65" s="28">
        <v>12</v>
      </c>
      <c r="BD65" s="28">
        <v>21</v>
      </c>
      <c r="BE65" s="31" t="s">
        <v>96</v>
      </c>
      <c r="BF65" s="31">
        <f t="shared" si="5"/>
        <v>67</v>
      </c>
      <c r="BG65" s="31"/>
      <c r="BH65" s="31">
        <f t="shared" si="6"/>
        <v>0</v>
      </c>
      <c r="BI65" s="28">
        <v>0</v>
      </c>
      <c r="BJ65" s="28">
        <v>0</v>
      </c>
      <c r="BK65" s="28">
        <v>0</v>
      </c>
      <c r="BL65" s="28" t="s">
        <v>92</v>
      </c>
      <c r="BM65" s="28" t="s">
        <v>92</v>
      </c>
      <c r="BN65" s="28" t="s">
        <v>92</v>
      </c>
      <c r="BO65" s="28" t="s">
        <v>92</v>
      </c>
      <c r="BP65" s="28" t="s">
        <v>92</v>
      </c>
      <c r="BQ65" s="28" t="s">
        <v>92</v>
      </c>
      <c r="BR65" s="28" t="s">
        <v>92</v>
      </c>
      <c r="BS65" s="28" t="s">
        <v>92</v>
      </c>
      <c r="BT65" s="28" t="s">
        <v>92</v>
      </c>
      <c r="BU65" s="28" t="s">
        <v>92</v>
      </c>
      <c r="BV65" s="28">
        <f>(90.5-83.1)*BB65/100</f>
        <v>4.9580000000000037</v>
      </c>
      <c r="BW65" s="29" t="s">
        <v>92</v>
      </c>
      <c r="BX65" s="28" t="s">
        <v>92</v>
      </c>
      <c r="BY65" s="28">
        <f>(100-90.5)*BB65/100</f>
        <v>6.3650000000000002</v>
      </c>
      <c r="BZ65" s="28">
        <f>(83.1-69.8)*BB65/100</f>
        <v>8.9109999999999978</v>
      </c>
      <c r="CA65" s="28">
        <f>(69.8-48.7)*BB65/100</f>
        <v>14.136999999999995</v>
      </c>
      <c r="CB65" s="28">
        <f>(48.7-24.6)*BB65/100</f>
        <v>16.147000000000002</v>
      </c>
      <c r="CC65" s="28">
        <f>24.6*BB65/100</f>
        <v>16.481999999999999</v>
      </c>
      <c r="CD65" s="28" t="s">
        <v>92</v>
      </c>
      <c r="CF65" s="28" t="s">
        <v>138</v>
      </c>
    </row>
    <row r="66" spans="1:85" s="28" customFormat="1" x14ac:dyDescent="0.15">
      <c r="A66" s="28" t="s">
        <v>90</v>
      </c>
      <c r="B66" s="28" t="s">
        <v>115</v>
      </c>
      <c r="C66" s="28" t="s">
        <v>92</v>
      </c>
      <c r="D66" s="28" t="s">
        <v>92</v>
      </c>
      <c r="E66" s="28" t="s">
        <v>93</v>
      </c>
      <c r="F66" s="28">
        <v>0.03</v>
      </c>
      <c r="G66" s="28" t="s">
        <v>92</v>
      </c>
      <c r="H66" s="29">
        <v>500</v>
      </c>
      <c r="I66" s="28" t="s">
        <v>92</v>
      </c>
      <c r="J66" s="28">
        <v>0.375</v>
      </c>
      <c r="M66" s="28" t="s">
        <v>92</v>
      </c>
      <c r="N66" s="31" t="s">
        <v>92</v>
      </c>
      <c r="O66" s="28" t="s">
        <v>92</v>
      </c>
      <c r="S66" s="54">
        <v>5.01</v>
      </c>
      <c r="W66" s="54">
        <v>77.709999999999994</v>
      </c>
      <c r="AA66" s="54">
        <v>0.2</v>
      </c>
      <c r="AE66" s="54">
        <v>0.34</v>
      </c>
      <c r="AI66" s="54">
        <v>50.26</v>
      </c>
      <c r="AM66" s="54">
        <v>6.72</v>
      </c>
      <c r="AQ66" s="54">
        <v>0.16</v>
      </c>
      <c r="AU66" s="54">
        <v>42.66</v>
      </c>
      <c r="AV66" s="54" t="s">
        <v>92</v>
      </c>
      <c r="AZ66" s="31">
        <f t="shared" si="7"/>
        <v>98.2</v>
      </c>
      <c r="BA66" s="31">
        <f t="shared" si="4"/>
        <v>1.7999999999999972</v>
      </c>
      <c r="BB66" s="28">
        <f>13.9+26.7</f>
        <v>40.6</v>
      </c>
      <c r="BC66" s="28">
        <v>17.3</v>
      </c>
      <c r="BD66" s="28">
        <v>40.299999999999997</v>
      </c>
      <c r="BE66" s="31" t="s">
        <v>96</v>
      </c>
      <c r="BF66" s="31">
        <f t="shared" si="5"/>
        <v>42.4</v>
      </c>
      <c r="BG66" s="31"/>
      <c r="BH66" s="31">
        <f t="shared" si="6"/>
        <v>0</v>
      </c>
      <c r="BI66" s="28">
        <v>0</v>
      </c>
      <c r="BJ66" s="28">
        <v>0</v>
      </c>
      <c r="BK66" s="28">
        <v>0</v>
      </c>
      <c r="BL66" s="28" t="s">
        <v>92</v>
      </c>
      <c r="BM66" s="28" t="s">
        <v>92</v>
      </c>
      <c r="BN66" s="28" t="s">
        <v>92</v>
      </c>
      <c r="BO66" s="28" t="s">
        <v>92</v>
      </c>
      <c r="BP66" s="28" t="s">
        <v>92</v>
      </c>
      <c r="BQ66" s="28" t="s">
        <v>92</v>
      </c>
      <c r="BR66" s="28" t="s">
        <v>92</v>
      </c>
      <c r="BS66" s="28" t="s">
        <v>92</v>
      </c>
      <c r="BT66" s="28" t="s">
        <v>92</v>
      </c>
      <c r="BU66" s="28" t="s">
        <v>92</v>
      </c>
      <c r="BV66" s="28" t="s">
        <v>92</v>
      </c>
      <c r="BW66" s="29" t="s">
        <v>92</v>
      </c>
      <c r="BX66" s="28" t="s">
        <v>92</v>
      </c>
      <c r="BY66" s="28" t="s">
        <v>92</v>
      </c>
      <c r="BZ66" s="28" t="s">
        <v>92</v>
      </c>
      <c r="CA66" s="28" t="s">
        <v>92</v>
      </c>
      <c r="CB66" s="28" t="s">
        <v>92</v>
      </c>
      <c r="CC66" s="28" t="s">
        <v>92</v>
      </c>
      <c r="CD66" s="28" t="s">
        <v>92</v>
      </c>
      <c r="CF66" s="28" t="s">
        <v>139</v>
      </c>
      <c r="CG66" s="28" t="s">
        <v>140</v>
      </c>
    </row>
    <row r="67" spans="1:85" x14ac:dyDescent="0.15">
      <c r="A67" s="1" t="s">
        <v>90</v>
      </c>
      <c r="B67" s="1" t="s">
        <v>115</v>
      </c>
      <c r="C67" s="1" t="s">
        <v>92</v>
      </c>
      <c r="D67" s="1" t="s">
        <v>92</v>
      </c>
      <c r="E67" s="1" t="s">
        <v>93</v>
      </c>
      <c r="F67" s="1">
        <v>0.03</v>
      </c>
      <c r="G67" s="1" t="s">
        <v>92</v>
      </c>
      <c r="H67" s="3">
        <v>600</v>
      </c>
      <c r="I67" s="1" t="s">
        <v>92</v>
      </c>
      <c r="J67" s="1">
        <v>0.375</v>
      </c>
      <c r="M67" s="1" t="s">
        <v>92</v>
      </c>
      <c r="N67" s="5" t="s">
        <v>92</v>
      </c>
      <c r="O67" s="1" t="s">
        <v>92</v>
      </c>
      <c r="S67" s="54">
        <v>5.01</v>
      </c>
      <c r="W67" s="54">
        <v>77.709999999999994</v>
      </c>
      <c r="AA67" s="54">
        <v>0.2</v>
      </c>
      <c r="AE67" s="54">
        <v>0.34</v>
      </c>
      <c r="AI67" s="54">
        <v>50.26</v>
      </c>
      <c r="AM67" s="54">
        <v>6.72</v>
      </c>
      <c r="AQ67" s="54">
        <v>0.16</v>
      </c>
      <c r="AU67" s="54">
        <v>42.66</v>
      </c>
      <c r="AV67" s="54" t="s">
        <v>92</v>
      </c>
      <c r="AZ67" s="5">
        <f t="shared" si="7"/>
        <v>99.7</v>
      </c>
      <c r="BA67" s="5">
        <f t="shared" si="4"/>
        <v>0.29999999999999716</v>
      </c>
      <c r="BB67" s="1">
        <f>8.7+22.7</f>
        <v>31.4</v>
      </c>
      <c r="BC67" s="1">
        <v>10.8</v>
      </c>
      <c r="BD67" s="1">
        <v>57.5</v>
      </c>
      <c r="BE67" s="5" t="s">
        <v>96</v>
      </c>
      <c r="BF67" s="5">
        <f t="shared" si="5"/>
        <v>31.699999999999996</v>
      </c>
      <c r="BG67" s="5"/>
      <c r="BH67" s="10">
        <f t="shared" si="6"/>
        <v>0</v>
      </c>
      <c r="BI67" s="1">
        <v>0</v>
      </c>
      <c r="BJ67" s="1">
        <v>0</v>
      </c>
      <c r="BK67" s="1">
        <v>0</v>
      </c>
      <c r="BL67" s="8" t="s">
        <v>92</v>
      </c>
      <c r="BM67" s="1" t="s">
        <v>92</v>
      </c>
      <c r="BN67" s="8" t="s">
        <v>92</v>
      </c>
      <c r="BO67" s="8" t="s">
        <v>92</v>
      </c>
      <c r="BP67" s="1" t="s">
        <v>92</v>
      </c>
      <c r="BQ67" s="1" t="s">
        <v>92</v>
      </c>
      <c r="BR67" s="1" t="s">
        <v>92</v>
      </c>
      <c r="BS67" s="1" t="s">
        <v>92</v>
      </c>
      <c r="BT67" s="1" t="s">
        <v>92</v>
      </c>
      <c r="BU67" s="1" t="s">
        <v>92</v>
      </c>
      <c r="BV67" s="1" t="s">
        <v>92</v>
      </c>
      <c r="BW67" s="3" t="s">
        <v>92</v>
      </c>
      <c r="BX67" s="1" t="s">
        <v>92</v>
      </c>
      <c r="BY67" s="1" t="s">
        <v>92</v>
      </c>
      <c r="BZ67" s="1" t="s">
        <v>92</v>
      </c>
      <c r="CA67" s="1" t="s">
        <v>92</v>
      </c>
      <c r="CB67" s="1" t="s">
        <v>92</v>
      </c>
      <c r="CC67" s="1" t="s">
        <v>92</v>
      </c>
      <c r="CD67" s="1" t="s">
        <v>92</v>
      </c>
      <c r="CF67" s="13" t="s">
        <v>139</v>
      </c>
    </row>
    <row r="68" spans="1:85" x14ac:dyDescent="0.15">
      <c r="A68" s="1" t="s">
        <v>90</v>
      </c>
      <c r="B68" s="1" t="s">
        <v>115</v>
      </c>
      <c r="C68" s="1" t="s">
        <v>92</v>
      </c>
      <c r="D68" s="1" t="s">
        <v>92</v>
      </c>
      <c r="E68" s="1" t="s">
        <v>93</v>
      </c>
      <c r="F68" s="1">
        <v>0.03</v>
      </c>
      <c r="G68" s="1" t="s">
        <v>92</v>
      </c>
      <c r="H68" s="3">
        <v>700</v>
      </c>
      <c r="I68" s="1" t="s">
        <v>92</v>
      </c>
      <c r="J68" s="1">
        <v>0.375</v>
      </c>
      <c r="M68" s="1" t="s">
        <v>92</v>
      </c>
      <c r="N68" s="5" t="s">
        <v>92</v>
      </c>
      <c r="O68" s="1" t="s">
        <v>92</v>
      </c>
      <c r="S68" s="54">
        <v>5.01</v>
      </c>
      <c r="W68" s="54">
        <v>77.709999999999994</v>
      </c>
      <c r="AA68" s="54">
        <v>0.2</v>
      </c>
      <c r="AE68" s="54">
        <v>0.34</v>
      </c>
      <c r="AI68" s="54">
        <v>50.26</v>
      </c>
      <c r="AM68" s="54">
        <v>6.72</v>
      </c>
      <c r="AQ68" s="54">
        <v>0.16</v>
      </c>
      <c r="AU68" s="54">
        <v>42.66</v>
      </c>
      <c r="AV68" s="54" t="s">
        <v>92</v>
      </c>
      <c r="AZ68" s="5">
        <f t="shared" si="7"/>
        <v>101.22999999999999</v>
      </c>
      <c r="BA68" s="5">
        <f t="shared" si="4"/>
        <v>-1.2299999999999898</v>
      </c>
      <c r="BB68" s="1">
        <f>4.15+21.6</f>
        <v>25.75</v>
      </c>
      <c r="BC68" s="1">
        <v>5.38</v>
      </c>
      <c r="BD68" s="1">
        <v>70.099999999999994</v>
      </c>
      <c r="BE68" s="5" t="s">
        <v>96</v>
      </c>
      <c r="BF68" s="5">
        <f t="shared" si="5"/>
        <v>24.52000000000001</v>
      </c>
      <c r="BG68" s="5"/>
      <c r="BH68" s="10">
        <f t="shared" si="6"/>
        <v>0</v>
      </c>
      <c r="BI68" s="1">
        <v>0</v>
      </c>
      <c r="BJ68" s="1">
        <v>0</v>
      </c>
      <c r="BK68" s="1">
        <v>0</v>
      </c>
      <c r="BL68" s="8" t="s">
        <v>92</v>
      </c>
      <c r="BM68" s="1" t="s">
        <v>92</v>
      </c>
      <c r="BN68" s="8" t="s">
        <v>92</v>
      </c>
      <c r="BO68" s="8" t="s">
        <v>92</v>
      </c>
      <c r="BP68" s="1" t="s">
        <v>92</v>
      </c>
      <c r="BQ68" s="1" t="s">
        <v>92</v>
      </c>
      <c r="BR68" s="1" t="s">
        <v>92</v>
      </c>
      <c r="BS68" s="1" t="s">
        <v>92</v>
      </c>
      <c r="BT68" s="1" t="s">
        <v>92</v>
      </c>
      <c r="BU68" s="1" t="s">
        <v>92</v>
      </c>
      <c r="BV68" s="1" t="s">
        <v>92</v>
      </c>
      <c r="BW68" s="3" t="s">
        <v>92</v>
      </c>
      <c r="BX68" s="1" t="s">
        <v>92</v>
      </c>
      <c r="BY68" s="1" t="s">
        <v>92</v>
      </c>
      <c r="BZ68" s="1" t="s">
        <v>92</v>
      </c>
      <c r="CA68" s="1" t="s">
        <v>92</v>
      </c>
      <c r="CB68" s="1" t="s">
        <v>92</v>
      </c>
      <c r="CC68" s="1" t="s">
        <v>92</v>
      </c>
      <c r="CD68" s="1" t="s">
        <v>92</v>
      </c>
      <c r="CF68" s="13" t="s">
        <v>139</v>
      </c>
    </row>
    <row r="69" spans="1:85" x14ac:dyDescent="0.15">
      <c r="A69" s="1" t="s">
        <v>90</v>
      </c>
      <c r="B69" s="1" t="s">
        <v>115</v>
      </c>
      <c r="C69" s="1" t="s">
        <v>92</v>
      </c>
      <c r="D69" s="1" t="s">
        <v>92</v>
      </c>
      <c r="E69" s="1" t="s">
        <v>93</v>
      </c>
      <c r="F69" s="1">
        <v>0.03</v>
      </c>
      <c r="G69" s="1" t="s">
        <v>92</v>
      </c>
      <c r="H69" s="3">
        <v>800</v>
      </c>
      <c r="I69" s="1" t="s">
        <v>92</v>
      </c>
      <c r="J69" s="1">
        <v>0.375</v>
      </c>
      <c r="M69" s="1" t="s">
        <v>92</v>
      </c>
      <c r="N69" s="5" t="s">
        <v>92</v>
      </c>
      <c r="O69" s="1" t="s">
        <v>92</v>
      </c>
      <c r="S69" s="54">
        <v>5.01</v>
      </c>
      <c r="W69" s="54">
        <v>77.709999999999994</v>
      </c>
      <c r="AA69" s="54">
        <v>0.2</v>
      </c>
      <c r="AE69" s="54">
        <v>0.34</v>
      </c>
      <c r="AI69" s="54">
        <v>50.26</v>
      </c>
      <c r="AM69" s="54">
        <v>6.72</v>
      </c>
      <c r="AQ69" s="54">
        <v>0.16</v>
      </c>
      <c r="AU69" s="54">
        <v>42.66</v>
      </c>
      <c r="AV69" s="54" t="s">
        <v>92</v>
      </c>
      <c r="AZ69" s="5">
        <f t="shared" si="7"/>
        <v>96.7</v>
      </c>
      <c r="BA69" s="5">
        <f t="shared" ref="BA69:BA132" si="8">100-AZ69</f>
        <v>3.2999999999999972</v>
      </c>
      <c r="BB69" s="1">
        <f>3.69+17.9</f>
        <v>21.59</v>
      </c>
      <c r="BC69" s="1">
        <v>3.41</v>
      </c>
      <c r="BD69" s="1">
        <v>71.7</v>
      </c>
      <c r="BE69" s="5" t="s">
        <v>96</v>
      </c>
      <c r="BF69" s="5">
        <f t="shared" ref="BF69:BF132" si="9">BB69+BA69</f>
        <v>24.889999999999997</v>
      </c>
      <c r="BG69" s="5"/>
      <c r="BH69" s="10">
        <f t="shared" si="6"/>
        <v>0</v>
      </c>
      <c r="BI69" s="1">
        <v>0</v>
      </c>
      <c r="BJ69" s="1">
        <v>0</v>
      </c>
      <c r="BK69" s="1">
        <v>0</v>
      </c>
      <c r="BL69" s="8" t="s">
        <v>92</v>
      </c>
      <c r="BM69" s="1" t="s">
        <v>92</v>
      </c>
      <c r="BN69" s="8" t="s">
        <v>92</v>
      </c>
      <c r="BO69" s="8" t="s">
        <v>92</v>
      </c>
      <c r="BP69" s="1" t="s">
        <v>92</v>
      </c>
      <c r="BQ69" s="1" t="s">
        <v>92</v>
      </c>
      <c r="BR69" s="1" t="s">
        <v>92</v>
      </c>
      <c r="BS69" s="1" t="s">
        <v>92</v>
      </c>
      <c r="BT69" s="1" t="s">
        <v>92</v>
      </c>
      <c r="BU69" s="1" t="s">
        <v>92</v>
      </c>
      <c r="BV69" s="1" t="s">
        <v>92</v>
      </c>
      <c r="BW69" s="3" t="s">
        <v>92</v>
      </c>
      <c r="BX69" s="1" t="s">
        <v>92</v>
      </c>
      <c r="BY69" s="1" t="s">
        <v>92</v>
      </c>
      <c r="BZ69" s="1" t="s">
        <v>92</v>
      </c>
      <c r="CA69" s="1" t="s">
        <v>92</v>
      </c>
      <c r="CB69" s="1" t="s">
        <v>92</v>
      </c>
      <c r="CC69" s="1" t="s">
        <v>92</v>
      </c>
      <c r="CD69" s="1" t="s">
        <v>92</v>
      </c>
      <c r="CF69" s="13" t="s">
        <v>139</v>
      </c>
    </row>
    <row r="70" spans="1:85" x14ac:dyDescent="0.15">
      <c r="A70" s="1" t="s">
        <v>90</v>
      </c>
      <c r="B70" s="1" t="s">
        <v>115</v>
      </c>
      <c r="C70" s="1" t="s">
        <v>92</v>
      </c>
      <c r="D70" s="1" t="s">
        <v>92</v>
      </c>
      <c r="E70" s="1" t="s">
        <v>93</v>
      </c>
      <c r="F70" s="1">
        <v>0.03</v>
      </c>
      <c r="G70" s="1" t="s">
        <v>92</v>
      </c>
      <c r="H70" s="3">
        <v>800</v>
      </c>
      <c r="I70" s="1" t="s">
        <v>92</v>
      </c>
      <c r="J70" s="1">
        <v>1.05</v>
      </c>
      <c r="M70" s="1" t="s">
        <v>92</v>
      </c>
      <c r="N70" s="5" t="s">
        <v>92</v>
      </c>
      <c r="O70" s="1" t="s">
        <v>92</v>
      </c>
      <c r="S70" s="54">
        <v>5.01</v>
      </c>
      <c r="W70" s="54">
        <v>77.709999999999994</v>
      </c>
      <c r="AA70" s="54">
        <v>0.2</v>
      </c>
      <c r="AE70" s="54">
        <v>0.34</v>
      </c>
      <c r="AI70" s="54">
        <v>50.26</v>
      </c>
      <c r="AM70" s="54">
        <v>6.72</v>
      </c>
      <c r="AQ70" s="54">
        <v>0.16</v>
      </c>
      <c r="AU70" s="54">
        <v>42.66</v>
      </c>
      <c r="AV70" s="54" t="s">
        <v>92</v>
      </c>
      <c r="AZ70" s="5">
        <f t="shared" si="7"/>
        <v>98.2</v>
      </c>
      <c r="BA70" s="5">
        <f t="shared" si="8"/>
        <v>1.7999999999999972</v>
      </c>
      <c r="BB70" s="1">
        <f>12.1+22.6</f>
        <v>34.700000000000003</v>
      </c>
      <c r="BC70" s="1">
        <v>10.199999999999999</v>
      </c>
      <c r="BD70" s="1">
        <v>53.3</v>
      </c>
      <c r="BE70" s="5" t="s">
        <v>96</v>
      </c>
      <c r="BF70" s="5">
        <f t="shared" si="9"/>
        <v>36.5</v>
      </c>
      <c r="BG70" s="5"/>
      <c r="BH70" s="10">
        <f t="shared" ref="BH70:BH133" si="10">BI70+BJ70+BK70</f>
        <v>0</v>
      </c>
      <c r="BI70" s="1">
        <v>0</v>
      </c>
      <c r="BJ70" s="1">
        <v>0</v>
      </c>
      <c r="BK70" s="1">
        <v>0</v>
      </c>
      <c r="BL70" s="8" t="s">
        <v>92</v>
      </c>
      <c r="BM70" s="1" t="s">
        <v>92</v>
      </c>
      <c r="BN70" s="8" t="s">
        <v>92</v>
      </c>
      <c r="BO70" s="8" t="s">
        <v>92</v>
      </c>
      <c r="BP70" s="1" t="s">
        <v>92</v>
      </c>
      <c r="BQ70" s="1" t="s">
        <v>92</v>
      </c>
      <c r="BR70" s="1" t="s">
        <v>92</v>
      </c>
      <c r="BS70" s="1" t="s">
        <v>92</v>
      </c>
      <c r="BT70" s="1" t="s">
        <v>92</v>
      </c>
      <c r="BU70" s="1" t="s">
        <v>92</v>
      </c>
      <c r="BV70" s="1" t="s">
        <v>92</v>
      </c>
      <c r="BW70" s="3" t="s">
        <v>92</v>
      </c>
      <c r="BX70" s="1" t="s">
        <v>92</v>
      </c>
      <c r="BY70" s="1" t="s">
        <v>92</v>
      </c>
      <c r="BZ70" s="1" t="s">
        <v>92</v>
      </c>
      <c r="CA70" s="1" t="s">
        <v>92</v>
      </c>
      <c r="CB70" s="1" t="s">
        <v>92</v>
      </c>
      <c r="CC70" s="1" t="s">
        <v>92</v>
      </c>
      <c r="CD70" s="1" t="s">
        <v>92</v>
      </c>
      <c r="CF70" s="13" t="s">
        <v>139</v>
      </c>
      <c r="CG70" s="1" t="s">
        <v>141</v>
      </c>
    </row>
    <row r="71" spans="1:85" x14ac:dyDescent="0.15">
      <c r="A71" s="1" t="s">
        <v>90</v>
      </c>
      <c r="B71" s="1" t="s">
        <v>115</v>
      </c>
      <c r="C71" s="1" t="s">
        <v>92</v>
      </c>
      <c r="D71" s="1" t="s">
        <v>92</v>
      </c>
      <c r="E71" s="1" t="s">
        <v>93</v>
      </c>
      <c r="F71" s="1">
        <v>0.03</v>
      </c>
      <c r="G71" s="1" t="s">
        <v>92</v>
      </c>
      <c r="H71" s="3">
        <v>800</v>
      </c>
      <c r="I71" s="1" t="s">
        <v>92</v>
      </c>
      <c r="J71" s="1">
        <v>0.67500000000000004</v>
      </c>
      <c r="M71" s="1" t="s">
        <v>92</v>
      </c>
      <c r="N71" s="5" t="s">
        <v>92</v>
      </c>
      <c r="O71" s="1" t="s">
        <v>92</v>
      </c>
      <c r="S71" s="54">
        <v>5.01</v>
      </c>
      <c r="W71" s="54">
        <v>77.709999999999994</v>
      </c>
      <c r="AA71" s="54">
        <v>0.2</v>
      </c>
      <c r="AE71" s="54">
        <v>0.34</v>
      </c>
      <c r="AI71" s="54">
        <v>50.26</v>
      </c>
      <c r="AM71" s="54">
        <v>6.72</v>
      </c>
      <c r="AQ71" s="54">
        <v>0.16</v>
      </c>
      <c r="AU71" s="54">
        <v>42.66</v>
      </c>
      <c r="AV71" s="54" t="s">
        <v>92</v>
      </c>
      <c r="AZ71" s="5">
        <f t="shared" si="7"/>
        <v>100.97999999999999</v>
      </c>
      <c r="BA71" s="5">
        <f t="shared" si="8"/>
        <v>-0.97999999999998977</v>
      </c>
      <c r="BB71" s="1">
        <f>8.47+17.2</f>
        <v>25.67</v>
      </c>
      <c r="BC71" s="1">
        <v>5.51</v>
      </c>
      <c r="BD71" s="1">
        <v>69.8</v>
      </c>
      <c r="BE71" s="5" t="s">
        <v>96</v>
      </c>
      <c r="BF71" s="5">
        <f t="shared" si="9"/>
        <v>24.690000000000012</v>
      </c>
      <c r="BG71" s="5"/>
      <c r="BH71" s="10">
        <f t="shared" si="10"/>
        <v>0</v>
      </c>
      <c r="BI71" s="1">
        <v>0</v>
      </c>
      <c r="BJ71" s="1">
        <v>0</v>
      </c>
      <c r="BK71" s="1">
        <v>0</v>
      </c>
      <c r="BL71" s="8" t="s">
        <v>92</v>
      </c>
      <c r="BM71" s="1" t="s">
        <v>92</v>
      </c>
      <c r="BN71" s="8" t="s">
        <v>92</v>
      </c>
      <c r="BO71" s="8" t="s">
        <v>92</v>
      </c>
      <c r="BP71" s="1" t="s">
        <v>92</v>
      </c>
      <c r="BQ71" s="1" t="s">
        <v>92</v>
      </c>
      <c r="BR71" s="1" t="s">
        <v>92</v>
      </c>
      <c r="BS71" s="1" t="s">
        <v>92</v>
      </c>
      <c r="BT71" s="1" t="s">
        <v>92</v>
      </c>
      <c r="BU71" s="1" t="s">
        <v>92</v>
      </c>
      <c r="BV71" s="1" t="s">
        <v>92</v>
      </c>
      <c r="BW71" s="3" t="s">
        <v>92</v>
      </c>
      <c r="BX71" s="1" t="s">
        <v>92</v>
      </c>
      <c r="BY71" s="1" t="s">
        <v>92</v>
      </c>
      <c r="BZ71" s="1" t="s">
        <v>92</v>
      </c>
      <c r="CA71" s="1" t="s">
        <v>92</v>
      </c>
      <c r="CB71" s="1" t="s">
        <v>92</v>
      </c>
      <c r="CC71" s="1" t="s">
        <v>92</v>
      </c>
      <c r="CD71" s="1" t="s">
        <v>92</v>
      </c>
      <c r="CF71" s="13" t="s">
        <v>139</v>
      </c>
    </row>
    <row r="72" spans="1:85" x14ac:dyDescent="0.15">
      <c r="A72" s="1" t="s">
        <v>90</v>
      </c>
      <c r="B72" s="1" t="s">
        <v>115</v>
      </c>
      <c r="C72" s="1" t="s">
        <v>92</v>
      </c>
      <c r="D72" s="1" t="s">
        <v>92</v>
      </c>
      <c r="E72" s="1" t="s">
        <v>93</v>
      </c>
      <c r="F72" s="1">
        <v>0.03</v>
      </c>
      <c r="G72" s="1" t="s">
        <v>92</v>
      </c>
      <c r="H72" s="3">
        <v>800</v>
      </c>
      <c r="I72" s="1" t="s">
        <v>92</v>
      </c>
      <c r="J72" s="1">
        <v>0.375</v>
      </c>
      <c r="M72" s="1" t="s">
        <v>92</v>
      </c>
      <c r="N72" s="5" t="s">
        <v>92</v>
      </c>
      <c r="O72" s="1" t="s">
        <v>92</v>
      </c>
      <c r="S72" s="54">
        <v>5.01</v>
      </c>
      <c r="W72" s="54">
        <v>77.709999999999994</v>
      </c>
      <c r="AA72" s="54">
        <v>0.2</v>
      </c>
      <c r="AE72" s="54">
        <v>0.34</v>
      </c>
      <c r="AI72" s="54">
        <v>50.26</v>
      </c>
      <c r="AM72" s="54">
        <v>6.72</v>
      </c>
      <c r="AQ72" s="54">
        <v>0.16</v>
      </c>
      <c r="AU72" s="54">
        <v>42.66</v>
      </c>
      <c r="AV72" s="54" t="s">
        <v>92</v>
      </c>
      <c r="AZ72" s="5">
        <f t="shared" si="7"/>
        <v>96.78</v>
      </c>
      <c r="BA72" s="5">
        <f t="shared" si="8"/>
        <v>3.2199999999999989</v>
      </c>
      <c r="BB72" s="1">
        <f>3.63+17.6</f>
        <v>21.23</v>
      </c>
      <c r="BC72" s="1">
        <v>3.45</v>
      </c>
      <c r="BD72" s="1">
        <v>72.099999999999994</v>
      </c>
      <c r="BE72" s="5" t="s">
        <v>96</v>
      </c>
      <c r="BF72" s="5">
        <f t="shared" si="9"/>
        <v>24.45</v>
      </c>
      <c r="BG72" s="5"/>
      <c r="BH72" s="10">
        <f t="shared" si="10"/>
        <v>0</v>
      </c>
      <c r="BI72" s="1">
        <v>0</v>
      </c>
      <c r="BJ72" s="1">
        <v>0</v>
      </c>
      <c r="BK72" s="1">
        <v>0</v>
      </c>
      <c r="BL72" s="8" t="s">
        <v>92</v>
      </c>
      <c r="BM72" s="1" t="s">
        <v>92</v>
      </c>
      <c r="BN72" s="8" t="s">
        <v>92</v>
      </c>
      <c r="BO72" s="8" t="s">
        <v>92</v>
      </c>
      <c r="BP72" s="1" t="s">
        <v>92</v>
      </c>
      <c r="BQ72" s="1" t="s">
        <v>92</v>
      </c>
      <c r="BR72" s="1" t="s">
        <v>92</v>
      </c>
      <c r="BS72" s="1" t="s">
        <v>92</v>
      </c>
      <c r="BT72" s="1" t="s">
        <v>92</v>
      </c>
      <c r="BU72" s="1" t="s">
        <v>92</v>
      </c>
      <c r="BV72" s="1" t="s">
        <v>92</v>
      </c>
      <c r="BW72" s="3" t="s">
        <v>92</v>
      </c>
      <c r="BX72" s="1" t="s">
        <v>92</v>
      </c>
      <c r="BY72" s="1" t="s">
        <v>92</v>
      </c>
      <c r="BZ72" s="1" t="s">
        <v>92</v>
      </c>
      <c r="CA72" s="1" t="s">
        <v>92</v>
      </c>
      <c r="CB72" s="1" t="s">
        <v>92</v>
      </c>
      <c r="CC72" s="1" t="s">
        <v>92</v>
      </c>
      <c r="CD72" s="1" t="s">
        <v>92</v>
      </c>
      <c r="CF72" s="13" t="s">
        <v>139</v>
      </c>
    </row>
    <row r="73" spans="1:85" x14ac:dyDescent="0.15">
      <c r="A73" s="1" t="s">
        <v>90</v>
      </c>
      <c r="B73" s="1" t="s">
        <v>115</v>
      </c>
      <c r="C73" s="1" t="s">
        <v>92</v>
      </c>
      <c r="D73" s="1" t="s">
        <v>92</v>
      </c>
      <c r="E73" s="1" t="s">
        <v>93</v>
      </c>
      <c r="F73" s="1">
        <v>0.03</v>
      </c>
      <c r="G73" s="1" t="s">
        <v>92</v>
      </c>
      <c r="H73" s="3">
        <v>800</v>
      </c>
      <c r="I73" s="1" t="s">
        <v>92</v>
      </c>
      <c r="J73" s="1">
        <v>0.25</v>
      </c>
      <c r="M73" s="1" t="s">
        <v>92</v>
      </c>
      <c r="N73" s="5" t="s">
        <v>92</v>
      </c>
      <c r="O73" s="1" t="s">
        <v>92</v>
      </c>
      <c r="S73" s="54">
        <v>5.01</v>
      </c>
      <c r="W73" s="54">
        <v>77.709999999999994</v>
      </c>
      <c r="AA73" s="54">
        <v>0.2</v>
      </c>
      <c r="AE73" s="54">
        <v>0.34</v>
      </c>
      <c r="AI73" s="54">
        <v>50.26</v>
      </c>
      <c r="AM73" s="54">
        <v>6.72</v>
      </c>
      <c r="AQ73" s="54">
        <v>0.16</v>
      </c>
      <c r="AU73" s="54">
        <v>42.66</v>
      </c>
      <c r="AV73" s="54" t="s">
        <v>92</v>
      </c>
      <c r="AZ73" s="5">
        <f t="shared" si="7"/>
        <v>100.74</v>
      </c>
      <c r="BA73" s="5">
        <f t="shared" si="8"/>
        <v>-0.73999999999999488</v>
      </c>
      <c r="BB73" s="1">
        <f>2.34+10.3</f>
        <v>12.64</v>
      </c>
      <c r="BC73" s="1">
        <v>3.8</v>
      </c>
      <c r="BD73" s="1">
        <v>84.3</v>
      </c>
      <c r="BE73" s="5" t="s">
        <v>96</v>
      </c>
      <c r="BF73" s="5">
        <f t="shared" si="9"/>
        <v>11.900000000000006</v>
      </c>
      <c r="BG73" s="5"/>
      <c r="BH73" s="10">
        <f t="shared" si="10"/>
        <v>0</v>
      </c>
      <c r="BI73" s="1">
        <v>0</v>
      </c>
      <c r="BJ73" s="1">
        <v>0</v>
      </c>
      <c r="BK73" s="1">
        <v>0</v>
      </c>
      <c r="BL73" s="8" t="s">
        <v>92</v>
      </c>
      <c r="BM73" s="1" t="s">
        <v>92</v>
      </c>
      <c r="BN73" s="8" t="s">
        <v>92</v>
      </c>
      <c r="BO73" s="8" t="s">
        <v>92</v>
      </c>
      <c r="BP73" s="1" t="s">
        <v>92</v>
      </c>
      <c r="BQ73" s="1" t="s">
        <v>92</v>
      </c>
      <c r="BR73" s="1" t="s">
        <v>92</v>
      </c>
      <c r="BS73" s="1" t="s">
        <v>92</v>
      </c>
      <c r="BT73" s="1" t="s">
        <v>92</v>
      </c>
      <c r="BU73" s="1" t="s">
        <v>92</v>
      </c>
      <c r="BV73" s="1" t="s">
        <v>92</v>
      </c>
      <c r="BW73" s="3" t="s">
        <v>92</v>
      </c>
      <c r="BX73" s="1" t="s">
        <v>92</v>
      </c>
      <c r="BY73" s="1" t="s">
        <v>92</v>
      </c>
      <c r="BZ73" s="1" t="s">
        <v>92</v>
      </c>
      <c r="CA73" s="1" t="s">
        <v>92</v>
      </c>
      <c r="CB73" s="1" t="s">
        <v>92</v>
      </c>
      <c r="CC73" s="1" t="s">
        <v>92</v>
      </c>
      <c r="CD73" s="1" t="s">
        <v>92</v>
      </c>
      <c r="CF73" s="13" t="s">
        <v>139</v>
      </c>
    </row>
    <row r="74" spans="1:85" x14ac:dyDescent="0.15">
      <c r="A74" s="1" t="s">
        <v>90</v>
      </c>
      <c r="B74" s="1" t="s">
        <v>115</v>
      </c>
      <c r="C74" s="1" t="s">
        <v>92</v>
      </c>
      <c r="D74" s="1" t="s">
        <v>92</v>
      </c>
      <c r="E74" s="1" t="s">
        <v>93</v>
      </c>
      <c r="F74" s="1">
        <v>0.03</v>
      </c>
      <c r="G74" s="1" t="s">
        <v>92</v>
      </c>
      <c r="H74" s="3">
        <v>800</v>
      </c>
      <c r="I74" s="1" t="s">
        <v>92</v>
      </c>
      <c r="J74" s="1">
        <v>0.15</v>
      </c>
      <c r="M74" s="1" t="s">
        <v>92</v>
      </c>
      <c r="N74" s="5" t="s">
        <v>92</v>
      </c>
      <c r="O74" s="1" t="s">
        <v>92</v>
      </c>
      <c r="S74" s="54">
        <v>5.01</v>
      </c>
      <c r="W74" s="54">
        <v>77.709999999999994</v>
      </c>
      <c r="AA74" s="54">
        <v>0.2</v>
      </c>
      <c r="AE74" s="54">
        <v>0.34</v>
      </c>
      <c r="AI74" s="54">
        <v>50.26</v>
      </c>
      <c r="AM74" s="54">
        <v>6.72</v>
      </c>
      <c r="AQ74" s="54">
        <v>0.16</v>
      </c>
      <c r="AU74" s="54">
        <v>42.66</v>
      </c>
      <c r="AV74" s="54" t="s">
        <v>92</v>
      </c>
      <c r="AZ74" s="5">
        <f t="shared" si="7"/>
        <v>99.9</v>
      </c>
      <c r="BA74" s="5">
        <f t="shared" si="8"/>
        <v>9.9999999999994316E-2</v>
      </c>
      <c r="BB74" s="1">
        <f>1.94+7.27</f>
        <v>9.2099999999999991</v>
      </c>
      <c r="BC74" s="1">
        <v>3.49</v>
      </c>
      <c r="BD74" s="1">
        <v>87.2</v>
      </c>
      <c r="BE74" s="5" t="s">
        <v>96</v>
      </c>
      <c r="BF74" s="5">
        <f t="shared" si="9"/>
        <v>9.3099999999999934</v>
      </c>
      <c r="BG74" s="5"/>
      <c r="BH74" s="10">
        <f t="shared" si="10"/>
        <v>0</v>
      </c>
      <c r="BI74" s="1">
        <v>0</v>
      </c>
      <c r="BJ74" s="1">
        <v>0</v>
      </c>
      <c r="BK74" s="1">
        <v>0</v>
      </c>
      <c r="BL74" s="8" t="s">
        <v>92</v>
      </c>
      <c r="BM74" s="1" t="s">
        <v>92</v>
      </c>
      <c r="BN74" s="8" t="s">
        <v>92</v>
      </c>
      <c r="BO74" s="8" t="s">
        <v>92</v>
      </c>
      <c r="BP74" s="1" t="s">
        <v>92</v>
      </c>
      <c r="BQ74" s="1" t="s">
        <v>92</v>
      </c>
      <c r="BR74" s="1" t="s">
        <v>92</v>
      </c>
      <c r="BS74" s="1" t="s">
        <v>92</v>
      </c>
      <c r="BT74" s="1" t="s">
        <v>92</v>
      </c>
      <c r="BU74" s="1" t="s">
        <v>92</v>
      </c>
      <c r="BV74" s="1" t="s">
        <v>92</v>
      </c>
      <c r="BW74" s="3" t="s">
        <v>92</v>
      </c>
      <c r="BX74" s="1" t="s">
        <v>92</v>
      </c>
      <c r="BY74" s="1" t="s">
        <v>92</v>
      </c>
      <c r="BZ74" s="1" t="s">
        <v>92</v>
      </c>
      <c r="CA74" s="1" t="s">
        <v>92</v>
      </c>
      <c r="CB74" s="1" t="s">
        <v>92</v>
      </c>
      <c r="CC74" s="1" t="s">
        <v>92</v>
      </c>
      <c r="CD74" s="1" t="s">
        <v>92</v>
      </c>
      <c r="CF74" s="13" t="s">
        <v>139</v>
      </c>
    </row>
    <row r="75" spans="1:85" x14ac:dyDescent="0.15">
      <c r="A75" s="1" t="s">
        <v>90</v>
      </c>
      <c r="B75" s="1" t="s">
        <v>115</v>
      </c>
      <c r="C75" s="1" t="s">
        <v>92</v>
      </c>
      <c r="D75" s="1" t="s">
        <v>92</v>
      </c>
      <c r="E75" s="1" t="s">
        <v>93</v>
      </c>
      <c r="F75" s="1">
        <v>0.03</v>
      </c>
      <c r="G75" s="1" t="s">
        <v>92</v>
      </c>
      <c r="H75" s="3">
        <v>800</v>
      </c>
      <c r="I75" s="1" t="s">
        <v>92</v>
      </c>
      <c r="J75" s="1" t="s">
        <v>142</v>
      </c>
      <c r="M75" s="1" t="s">
        <v>92</v>
      </c>
      <c r="N75" s="5" t="s">
        <v>92</v>
      </c>
      <c r="O75" s="1" t="s">
        <v>92</v>
      </c>
      <c r="S75" s="54">
        <v>5.01</v>
      </c>
      <c r="W75" s="54">
        <v>77.709999999999994</v>
      </c>
      <c r="AA75" s="54">
        <v>0.2</v>
      </c>
      <c r="AE75" s="54">
        <v>0.34</v>
      </c>
      <c r="AI75" s="54">
        <v>50.26</v>
      </c>
      <c r="AM75" s="54">
        <v>6.72</v>
      </c>
      <c r="AQ75" s="54">
        <v>0.16</v>
      </c>
      <c r="AU75" s="54">
        <v>42.66</v>
      </c>
      <c r="AV75" s="54" t="s">
        <v>92</v>
      </c>
      <c r="AZ75" s="5">
        <f t="shared" ref="AZ75:AZ138" si="11">BB75+BC75+BD75</f>
        <v>99.81</v>
      </c>
      <c r="BA75" s="5">
        <f t="shared" si="8"/>
        <v>0.18999999999999773</v>
      </c>
      <c r="BB75" s="1">
        <f>1.85+6.74</f>
        <v>8.59</v>
      </c>
      <c r="BC75" s="1">
        <v>3.52</v>
      </c>
      <c r="BD75" s="1">
        <v>87.7</v>
      </c>
      <c r="BE75" s="5" t="s">
        <v>96</v>
      </c>
      <c r="BF75" s="5">
        <f t="shared" si="9"/>
        <v>8.7799999999999976</v>
      </c>
      <c r="BG75" s="5"/>
      <c r="BH75" s="10">
        <f t="shared" si="10"/>
        <v>0</v>
      </c>
      <c r="BI75" s="1">
        <v>0</v>
      </c>
      <c r="BJ75" s="1">
        <v>0</v>
      </c>
      <c r="BK75" s="1">
        <v>0</v>
      </c>
      <c r="BL75" s="8" t="s">
        <v>92</v>
      </c>
      <c r="BM75" s="1" t="s">
        <v>92</v>
      </c>
      <c r="BN75" s="8" t="s">
        <v>92</v>
      </c>
      <c r="BO75" s="8" t="s">
        <v>92</v>
      </c>
      <c r="BP75" s="1" t="s">
        <v>92</v>
      </c>
      <c r="BQ75" s="1" t="s">
        <v>92</v>
      </c>
      <c r="BR75" s="1" t="s">
        <v>92</v>
      </c>
      <c r="BS75" s="1" t="s">
        <v>92</v>
      </c>
      <c r="BT75" s="1" t="s">
        <v>92</v>
      </c>
      <c r="BU75" s="1" t="s">
        <v>92</v>
      </c>
      <c r="BV75" s="1" t="s">
        <v>92</v>
      </c>
      <c r="BW75" s="3" t="s">
        <v>92</v>
      </c>
      <c r="BX75" s="1" t="s">
        <v>92</v>
      </c>
      <c r="BY75" s="1" t="s">
        <v>92</v>
      </c>
      <c r="BZ75" s="1" t="s">
        <v>92</v>
      </c>
      <c r="CA75" s="1" t="s">
        <v>92</v>
      </c>
      <c r="CB75" s="1" t="s">
        <v>92</v>
      </c>
      <c r="CC75" s="1" t="s">
        <v>92</v>
      </c>
      <c r="CD75" s="1" t="s">
        <v>92</v>
      </c>
      <c r="CF75" s="13" t="s">
        <v>139</v>
      </c>
    </row>
    <row r="76" spans="1:85" x14ac:dyDescent="0.15">
      <c r="A76" s="1" t="s">
        <v>90</v>
      </c>
      <c r="B76" s="1" t="s">
        <v>115</v>
      </c>
      <c r="C76" s="1" t="s">
        <v>92</v>
      </c>
      <c r="D76" s="1" t="s">
        <v>92</v>
      </c>
      <c r="E76" s="1" t="s">
        <v>93</v>
      </c>
      <c r="F76" s="1">
        <v>0.03</v>
      </c>
      <c r="G76" s="1" t="s">
        <v>92</v>
      </c>
      <c r="H76" s="3">
        <v>800</v>
      </c>
      <c r="I76" s="1" t="s">
        <v>92</v>
      </c>
      <c r="J76" s="1">
        <v>0.375</v>
      </c>
      <c r="M76" s="1" t="s">
        <v>92</v>
      </c>
      <c r="N76" s="1">
        <v>0</v>
      </c>
      <c r="O76" s="1" t="s">
        <v>92</v>
      </c>
      <c r="S76" s="54">
        <v>5.01</v>
      </c>
      <c r="W76" s="54">
        <v>77.709999999999994</v>
      </c>
      <c r="AA76" s="54">
        <v>0.2</v>
      </c>
      <c r="AE76" s="54">
        <v>0.34</v>
      </c>
      <c r="AI76" s="54">
        <v>50.26</v>
      </c>
      <c r="AM76" s="54">
        <v>6.72</v>
      </c>
      <c r="AQ76" s="54">
        <v>0.16</v>
      </c>
      <c r="AU76" s="54">
        <v>42.66</v>
      </c>
      <c r="AV76" s="54" t="s">
        <v>92</v>
      </c>
      <c r="AZ76" s="5">
        <f t="shared" si="11"/>
        <v>86.91</v>
      </c>
      <c r="BA76" s="5">
        <f t="shared" si="8"/>
        <v>13.090000000000003</v>
      </c>
      <c r="BB76" s="1">
        <v>5.44</v>
      </c>
      <c r="BC76" s="1">
        <v>7.27</v>
      </c>
      <c r="BD76" s="1">
        <v>74.2</v>
      </c>
      <c r="BE76" s="5" t="s">
        <v>101</v>
      </c>
      <c r="BF76" s="5">
        <f t="shared" si="9"/>
        <v>18.530000000000005</v>
      </c>
      <c r="BG76" s="5"/>
      <c r="BH76" s="10">
        <f t="shared" si="10"/>
        <v>0</v>
      </c>
      <c r="BI76" s="1">
        <v>0</v>
      </c>
      <c r="BJ76" s="1">
        <v>0</v>
      </c>
      <c r="BK76" s="1">
        <v>0</v>
      </c>
      <c r="BL76" s="8" t="s">
        <v>92</v>
      </c>
      <c r="BM76" s="1" t="s">
        <v>92</v>
      </c>
      <c r="BN76" s="8" t="s">
        <v>92</v>
      </c>
      <c r="BO76" s="8" t="s">
        <v>92</v>
      </c>
      <c r="BP76" s="1" t="s">
        <v>92</v>
      </c>
      <c r="BQ76" s="1" t="s">
        <v>92</v>
      </c>
      <c r="BR76" s="1" t="s">
        <v>92</v>
      </c>
      <c r="BS76" s="1" t="s">
        <v>92</v>
      </c>
      <c r="BT76" s="1" t="s">
        <v>92</v>
      </c>
      <c r="BU76" s="1" t="s">
        <v>92</v>
      </c>
      <c r="BV76" s="1" t="s">
        <v>92</v>
      </c>
      <c r="BW76" s="3" t="s">
        <v>92</v>
      </c>
      <c r="BX76" s="1" t="s">
        <v>92</v>
      </c>
      <c r="BY76" s="1" t="s">
        <v>92</v>
      </c>
      <c r="BZ76" s="1" t="s">
        <v>92</v>
      </c>
      <c r="CA76" s="1" t="s">
        <v>92</v>
      </c>
      <c r="CB76" s="1" t="s">
        <v>92</v>
      </c>
      <c r="CC76" s="1" t="s">
        <v>92</v>
      </c>
      <c r="CD76" s="1" t="s">
        <v>92</v>
      </c>
      <c r="CF76" s="13" t="s">
        <v>139</v>
      </c>
      <c r="CG76" s="1" t="s">
        <v>143</v>
      </c>
    </row>
    <row r="77" spans="1:85" x14ac:dyDescent="0.15">
      <c r="A77" s="1" t="s">
        <v>90</v>
      </c>
      <c r="B77" s="1" t="s">
        <v>115</v>
      </c>
      <c r="C77" s="1" t="s">
        <v>92</v>
      </c>
      <c r="D77" s="1" t="s">
        <v>92</v>
      </c>
      <c r="E77" s="1" t="s">
        <v>93</v>
      </c>
      <c r="F77" s="1">
        <v>0.03</v>
      </c>
      <c r="G77" s="1" t="s">
        <v>92</v>
      </c>
      <c r="H77" s="3">
        <v>800</v>
      </c>
      <c r="I77" s="1" t="s">
        <v>92</v>
      </c>
      <c r="J77" s="1">
        <v>0.375</v>
      </c>
      <c r="M77" s="1" t="s">
        <v>92</v>
      </c>
      <c r="N77" s="1">
        <v>1.6</v>
      </c>
      <c r="O77" s="1" t="s">
        <v>92</v>
      </c>
      <c r="S77" s="54">
        <v>5.01</v>
      </c>
      <c r="W77" s="54">
        <v>77.709999999999994</v>
      </c>
      <c r="AA77" s="54">
        <v>0.2</v>
      </c>
      <c r="AE77" s="54">
        <v>0.34</v>
      </c>
      <c r="AI77" s="54">
        <v>50.26</v>
      </c>
      <c r="AM77" s="54">
        <v>6.72</v>
      </c>
      <c r="AQ77" s="54">
        <v>0.16</v>
      </c>
      <c r="AU77" s="54">
        <v>42.66</v>
      </c>
      <c r="AV77" s="54" t="s">
        <v>92</v>
      </c>
      <c r="AZ77" s="5">
        <f t="shared" si="11"/>
        <v>92.47</v>
      </c>
      <c r="BA77" s="5">
        <f t="shared" si="8"/>
        <v>7.5300000000000011</v>
      </c>
      <c r="BB77" s="1">
        <v>3.32</v>
      </c>
      <c r="BC77" s="1">
        <v>5.55</v>
      </c>
      <c r="BD77" s="1">
        <v>83.6</v>
      </c>
      <c r="BE77" s="5" t="s">
        <v>101</v>
      </c>
      <c r="BF77" s="5">
        <f t="shared" si="9"/>
        <v>10.850000000000001</v>
      </c>
      <c r="BG77" s="5"/>
      <c r="BH77" s="10">
        <f t="shared" si="10"/>
        <v>0</v>
      </c>
      <c r="BI77" s="1">
        <v>0</v>
      </c>
      <c r="BJ77" s="1">
        <v>0</v>
      </c>
      <c r="BK77" s="1">
        <v>0</v>
      </c>
      <c r="BL77" s="8" t="s">
        <v>92</v>
      </c>
      <c r="BM77" s="1" t="s">
        <v>92</v>
      </c>
      <c r="BN77" s="8" t="s">
        <v>92</v>
      </c>
      <c r="BO77" s="8" t="s">
        <v>92</v>
      </c>
      <c r="BP77" s="1" t="s">
        <v>92</v>
      </c>
      <c r="BQ77" s="1" t="s">
        <v>92</v>
      </c>
      <c r="BR77" s="1" t="s">
        <v>92</v>
      </c>
      <c r="BS77" s="1" t="s">
        <v>92</v>
      </c>
      <c r="BT77" s="1" t="s">
        <v>92</v>
      </c>
      <c r="BU77" s="1" t="s">
        <v>92</v>
      </c>
      <c r="BV77" s="1" t="s">
        <v>92</v>
      </c>
      <c r="BW77" s="3" t="s">
        <v>92</v>
      </c>
      <c r="BX77" s="1" t="s">
        <v>92</v>
      </c>
      <c r="BY77" s="1" t="s">
        <v>92</v>
      </c>
      <c r="BZ77" s="1" t="s">
        <v>92</v>
      </c>
      <c r="CA77" s="1" t="s">
        <v>92</v>
      </c>
      <c r="CB77" s="1" t="s">
        <v>92</v>
      </c>
      <c r="CC77" s="1" t="s">
        <v>92</v>
      </c>
      <c r="CD77" s="1" t="s">
        <v>92</v>
      </c>
      <c r="CF77" s="13" t="s">
        <v>139</v>
      </c>
    </row>
    <row r="78" spans="1:85" x14ac:dyDescent="0.15">
      <c r="A78" s="1" t="s">
        <v>90</v>
      </c>
      <c r="B78" s="1" t="s">
        <v>115</v>
      </c>
      <c r="C78" s="1" t="s">
        <v>92</v>
      </c>
      <c r="D78" s="1" t="s">
        <v>92</v>
      </c>
      <c r="E78" s="1" t="s">
        <v>93</v>
      </c>
      <c r="F78" s="1">
        <v>0.03</v>
      </c>
      <c r="G78" s="1" t="s">
        <v>92</v>
      </c>
      <c r="H78" s="3">
        <v>800</v>
      </c>
      <c r="I78" s="1" t="s">
        <v>92</v>
      </c>
      <c r="J78" s="1">
        <v>0.375</v>
      </c>
      <c r="M78" s="1" t="s">
        <v>92</v>
      </c>
      <c r="N78" s="1">
        <v>2.4</v>
      </c>
      <c r="O78" s="1" t="s">
        <v>92</v>
      </c>
      <c r="S78" s="54">
        <v>5.01</v>
      </c>
      <c r="W78" s="54">
        <v>77.709999999999994</v>
      </c>
      <c r="AA78" s="54">
        <v>0.2</v>
      </c>
      <c r="AE78" s="54">
        <v>0.34</v>
      </c>
      <c r="AI78" s="54">
        <v>50.26</v>
      </c>
      <c r="AM78" s="54">
        <v>6.72</v>
      </c>
      <c r="AQ78" s="54">
        <v>0.16</v>
      </c>
      <c r="AU78" s="54">
        <v>42.66</v>
      </c>
      <c r="AV78" s="54" t="s">
        <v>92</v>
      </c>
      <c r="AZ78" s="5">
        <f t="shared" si="11"/>
        <v>101.4</v>
      </c>
      <c r="BA78" s="5">
        <f t="shared" si="8"/>
        <v>-1.4000000000000057</v>
      </c>
      <c r="BB78" s="1">
        <v>2.82</v>
      </c>
      <c r="BC78" s="1">
        <v>4.18</v>
      </c>
      <c r="BD78" s="1">
        <v>94.4</v>
      </c>
      <c r="BE78" s="5" t="s">
        <v>96</v>
      </c>
      <c r="BF78" s="5">
        <f t="shared" si="9"/>
        <v>1.4199999999999942</v>
      </c>
      <c r="BG78" s="5"/>
      <c r="BH78" s="10">
        <f t="shared" si="10"/>
        <v>0</v>
      </c>
      <c r="BI78" s="1">
        <v>0</v>
      </c>
      <c r="BJ78" s="1">
        <v>0</v>
      </c>
      <c r="BK78" s="1">
        <v>0</v>
      </c>
      <c r="BL78" s="8" t="s">
        <v>92</v>
      </c>
      <c r="BM78" s="1" t="s">
        <v>92</v>
      </c>
      <c r="BN78" s="8" t="s">
        <v>92</v>
      </c>
      <c r="BO78" s="8" t="s">
        <v>92</v>
      </c>
      <c r="BP78" s="1" t="s">
        <v>92</v>
      </c>
      <c r="BQ78" s="1" t="s">
        <v>92</v>
      </c>
      <c r="BR78" s="1" t="s">
        <v>92</v>
      </c>
      <c r="BS78" s="1" t="s">
        <v>92</v>
      </c>
      <c r="BT78" s="1" t="s">
        <v>92</v>
      </c>
      <c r="BU78" s="1" t="s">
        <v>92</v>
      </c>
      <c r="BV78" s="1" t="s">
        <v>92</v>
      </c>
      <c r="BW78" s="3" t="s">
        <v>92</v>
      </c>
      <c r="BX78" s="1" t="s">
        <v>92</v>
      </c>
      <c r="BY78" s="1" t="s">
        <v>92</v>
      </c>
      <c r="BZ78" s="1" t="s">
        <v>92</v>
      </c>
      <c r="CA78" s="1" t="s">
        <v>92</v>
      </c>
      <c r="CB78" s="1" t="s">
        <v>92</v>
      </c>
      <c r="CC78" s="1" t="s">
        <v>92</v>
      </c>
      <c r="CD78" s="1" t="s">
        <v>92</v>
      </c>
      <c r="CF78" s="13" t="s">
        <v>139</v>
      </c>
    </row>
    <row r="79" spans="1:85" s="28" customFormat="1" x14ac:dyDescent="0.15">
      <c r="A79" s="28" t="s">
        <v>90</v>
      </c>
      <c r="B79" s="28" t="s">
        <v>144</v>
      </c>
      <c r="C79" s="28" t="s">
        <v>92</v>
      </c>
      <c r="D79" s="28">
        <v>377</v>
      </c>
      <c r="E79" s="28" t="s">
        <v>93</v>
      </c>
      <c r="F79" s="28">
        <v>0.08</v>
      </c>
      <c r="G79" s="28">
        <f>((D79/1000)/(F79))*60</f>
        <v>282.75</v>
      </c>
      <c r="H79" s="29">
        <v>500</v>
      </c>
      <c r="I79" s="28" t="s">
        <v>92</v>
      </c>
      <c r="J79" s="28">
        <v>0.5</v>
      </c>
      <c r="M79" s="1" t="s">
        <v>92</v>
      </c>
      <c r="N79" s="28" t="s">
        <v>92</v>
      </c>
      <c r="O79" s="28" t="s">
        <v>92</v>
      </c>
      <c r="S79" s="54">
        <v>7.85</v>
      </c>
      <c r="W79" s="54">
        <v>77.27</v>
      </c>
      <c r="AA79" s="54">
        <v>0.66</v>
      </c>
      <c r="AE79" s="54">
        <v>2.78</v>
      </c>
      <c r="AI79" s="54">
        <v>53.5</v>
      </c>
      <c r="AM79" s="54">
        <v>6.93</v>
      </c>
      <c r="AQ79" s="54">
        <v>3.33</v>
      </c>
      <c r="AU79" s="54">
        <v>32.549999999999997</v>
      </c>
      <c r="AV79" s="54">
        <v>18.55</v>
      </c>
      <c r="AZ79" s="31">
        <f t="shared" si="11"/>
        <v>100.10000000000001</v>
      </c>
      <c r="BA79" s="31">
        <f t="shared" si="8"/>
        <v>-0.10000000000000853</v>
      </c>
      <c r="BB79" s="28">
        <v>39.700000000000003</v>
      </c>
      <c r="BC79" s="28">
        <v>30.2</v>
      </c>
      <c r="BD79" s="28">
        <v>30.2</v>
      </c>
      <c r="BE79" s="31" t="s">
        <v>96</v>
      </c>
      <c r="BF79" s="31">
        <f t="shared" si="9"/>
        <v>39.599999999999994</v>
      </c>
      <c r="BG79" s="31"/>
      <c r="BH79" s="31">
        <f t="shared" si="10"/>
        <v>0</v>
      </c>
      <c r="BI79" s="28">
        <v>0</v>
      </c>
      <c r="BJ79" s="28">
        <v>0</v>
      </c>
      <c r="BK79" s="28">
        <v>0</v>
      </c>
      <c r="BL79" s="28" t="s">
        <v>92</v>
      </c>
      <c r="BM79" s="28" t="s">
        <v>92</v>
      </c>
      <c r="BN79" s="28" t="s">
        <v>92</v>
      </c>
      <c r="BO79" s="28" t="s">
        <v>92</v>
      </c>
      <c r="BP79" s="28" t="s">
        <v>92</v>
      </c>
      <c r="BQ79" s="28" t="s">
        <v>92</v>
      </c>
      <c r="BR79" s="28" t="s">
        <v>92</v>
      </c>
      <c r="BS79" s="28" t="s">
        <v>92</v>
      </c>
      <c r="BT79" s="28" t="s">
        <v>92</v>
      </c>
      <c r="BU79" s="28" t="s">
        <v>92</v>
      </c>
      <c r="BV79" s="28" t="s">
        <v>92</v>
      </c>
      <c r="BW79" s="29" t="s">
        <v>92</v>
      </c>
      <c r="BX79" s="28" t="s">
        <v>92</v>
      </c>
      <c r="BY79" s="28" t="s">
        <v>92</v>
      </c>
      <c r="BZ79" s="28" t="s">
        <v>92</v>
      </c>
      <c r="CA79" s="28" t="s">
        <v>92</v>
      </c>
      <c r="CB79" s="28" t="s">
        <v>92</v>
      </c>
      <c r="CC79" s="28" t="s">
        <v>92</v>
      </c>
      <c r="CD79" s="28" t="s">
        <v>92</v>
      </c>
      <c r="CF79" s="28" t="s">
        <v>145</v>
      </c>
    </row>
    <row r="80" spans="1:85" x14ac:dyDescent="0.15">
      <c r="A80" s="1" t="s">
        <v>90</v>
      </c>
      <c r="B80" s="1" t="s">
        <v>144</v>
      </c>
      <c r="C80" s="1" t="s">
        <v>92</v>
      </c>
      <c r="D80" s="1">
        <v>377</v>
      </c>
      <c r="E80" s="1" t="s">
        <v>93</v>
      </c>
      <c r="F80" s="1">
        <v>0.08</v>
      </c>
      <c r="G80" s="1">
        <f t="shared" ref="G80:G86" si="12">((D80/1000)/(F80))*60</f>
        <v>282.75</v>
      </c>
      <c r="H80" s="3">
        <v>500</v>
      </c>
      <c r="I80" s="1" t="s">
        <v>92</v>
      </c>
      <c r="J80" s="5">
        <v>1</v>
      </c>
      <c r="K80" s="5"/>
      <c r="L80" s="5"/>
      <c r="M80" s="1" t="s">
        <v>92</v>
      </c>
      <c r="N80" s="1" t="s">
        <v>92</v>
      </c>
      <c r="O80" s="1" t="s">
        <v>92</v>
      </c>
      <c r="S80" s="54">
        <v>7.85</v>
      </c>
      <c r="W80" s="54">
        <v>77.27</v>
      </c>
      <c r="AA80" s="54">
        <v>0.66</v>
      </c>
      <c r="AE80" s="54">
        <v>2.78</v>
      </c>
      <c r="AI80" s="54">
        <v>53.5</v>
      </c>
      <c r="AM80" s="54">
        <v>6.93</v>
      </c>
      <c r="AQ80" s="54">
        <v>3.33</v>
      </c>
      <c r="AU80" s="54">
        <v>32.549999999999997</v>
      </c>
      <c r="AV80" s="54">
        <v>18.55</v>
      </c>
      <c r="AZ80" s="5">
        <f t="shared" si="11"/>
        <v>100.1</v>
      </c>
      <c r="BA80" s="5">
        <f t="shared" si="8"/>
        <v>-9.9999999999994316E-2</v>
      </c>
      <c r="BB80" s="1">
        <v>37.4</v>
      </c>
      <c r="BC80" s="1">
        <v>33.6</v>
      </c>
      <c r="BD80" s="1">
        <v>29.1</v>
      </c>
      <c r="BE80" s="5" t="s">
        <v>96</v>
      </c>
      <c r="BF80" s="5">
        <f t="shared" si="9"/>
        <v>37.300000000000004</v>
      </c>
      <c r="BG80" s="5"/>
      <c r="BH80" s="5">
        <f t="shared" si="10"/>
        <v>0</v>
      </c>
      <c r="BI80" s="1">
        <v>0</v>
      </c>
      <c r="BJ80" s="1">
        <v>0</v>
      </c>
      <c r="BK80" s="1">
        <v>0</v>
      </c>
      <c r="BL80" s="1" t="s">
        <v>92</v>
      </c>
      <c r="BM80" s="1" t="s">
        <v>92</v>
      </c>
      <c r="BN80" s="1" t="s">
        <v>92</v>
      </c>
      <c r="BO80" s="1" t="s">
        <v>92</v>
      </c>
      <c r="BP80" s="1" t="s">
        <v>92</v>
      </c>
      <c r="BQ80" s="1" t="s">
        <v>92</v>
      </c>
      <c r="BR80" s="1" t="s">
        <v>92</v>
      </c>
      <c r="BS80" s="1" t="s">
        <v>92</v>
      </c>
      <c r="BT80" s="1" t="s">
        <v>92</v>
      </c>
      <c r="BU80" s="1" t="s">
        <v>92</v>
      </c>
      <c r="BV80" s="1" t="s">
        <v>92</v>
      </c>
      <c r="BW80" s="3" t="s">
        <v>92</v>
      </c>
      <c r="BX80" s="1" t="s">
        <v>92</v>
      </c>
      <c r="BY80" s="1" t="s">
        <v>92</v>
      </c>
      <c r="BZ80" s="1" t="s">
        <v>92</v>
      </c>
      <c r="CA80" s="1" t="s">
        <v>92</v>
      </c>
      <c r="CB80" s="1" t="s">
        <v>92</v>
      </c>
      <c r="CC80" s="1" t="s">
        <v>92</v>
      </c>
      <c r="CD80" s="1" t="s">
        <v>92</v>
      </c>
      <c r="CF80" s="37" t="s">
        <v>145</v>
      </c>
    </row>
    <row r="81" spans="1:85" x14ac:dyDescent="0.15">
      <c r="A81" s="1" t="s">
        <v>90</v>
      </c>
      <c r="B81" s="1" t="s">
        <v>144</v>
      </c>
      <c r="C81" s="1" t="s">
        <v>92</v>
      </c>
      <c r="D81" s="1">
        <v>377</v>
      </c>
      <c r="E81" s="1" t="s">
        <v>93</v>
      </c>
      <c r="F81" s="1">
        <v>0.08</v>
      </c>
      <c r="G81" s="1">
        <f t="shared" si="12"/>
        <v>282.75</v>
      </c>
      <c r="H81" s="3">
        <v>500</v>
      </c>
      <c r="I81" s="1" t="s">
        <v>92</v>
      </c>
      <c r="J81" s="1">
        <v>1.5</v>
      </c>
      <c r="M81" s="1" t="s">
        <v>92</v>
      </c>
      <c r="N81" s="1" t="s">
        <v>92</v>
      </c>
      <c r="O81" s="1" t="s">
        <v>92</v>
      </c>
      <c r="S81" s="54">
        <v>7.85</v>
      </c>
      <c r="W81" s="54">
        <v>77.27</v>
      </c>
      <c r="AA81" s="54">
        <v>0.66</v>
      </c>
      <c r="AE81" s="54">
        <v>2.78</v>
      </c>
      <c r="AI81" s="54">
        <v>53.5</v>
      </c>
      <c r="AM81" s="54">
        <v>6.93</v>
      </c>
      <c r="AQ81" s="54">
        <v>3.33</v>
      </c>
      <c r="AU81" s="54">
        <v>32.549999999999997</v>
      </c>
      <c r="AV81" s="54">
        <v>18.55</v>
      </c>
      <c r="AZ81" s="5">
        <f t="shared" si="11"/>
        <v>100.1</v>
      </c>
      <c r="BA81" s="5">
        <f t="shared" si="8"/>
        <v>-9.9999999999994316E-2</v>
      </c>
      <c r="BB81" s="1">
        <v>35.1</v>
      </c>
      <c r="BC81" s="1">
        <v>36.6</v>
      </c>
      <c r="BD81" s="1">
        <v>28.4</v>
      </c>
      <c r="BE81" s="5" t="s">
        <v>96</v>
      </c>
      <c r="BF81" s="5">
        <f t="shared" si="9"/>
        <v>35.000000000000007</v>
      </c>
      <c r="BG81" s="5"/>
      <c r="BH81" s="10">
        <f t="shared" si="10"/>
        <v>0</v>
      </c>
      <c r="BI81" s="1">
        <v>0</v>
      </c>
      <c r="BJ81" s="1">
        <v>0</v>
      </c>
      <c r="BK81" s="1">
        <v>0</v>
      </c>
      <c r="BL81" s="8" t="s">
        <v>92</v>
      </c>
      <c r="BM81" s="1" t="s">
        <v>92</v>
      </c>
      <c r="BN81" s="8" t="s">
        <v>92</v>
      </c>
      <c r="BO81" s="8" t="s">
        <v>92</v>
      </c>
      <c r="BP81" s="1" t="s">
        <v>92</v>
      </c>
      <c r="BQ81" s="1" t="s">
        <v>92</v>
      </c>
      <c r="BR81" s="1" t="s">
        <v>92</v>
      </c>
      <c r="BS81" s="1" t="s">
        <v>92</v>
      </c>
      <c r="BT81" s="1" t="s">
        <v>92</v>
      </c>
      <c r="BU81" s="1" t="s">
        <v>92</v>
      </c>
      <c r="BV81" s="1" t="s">
        <v>92</v>
      </c>
      <c r="BW81" s="3" t="s">
        <v>92</v>
      </c>
      <c r="BX81" s="1" t="s">
        <v>92</v>
      </c>
      <c r="BY81" s="1" t="s">
        <v>92</v>
      </c>
      <c r="BZ81" s="1" t="s">
        <v>92</v>
      </c>
      <c r="CA81" s="1" t="s">
        <v>92</v>
      </c>
      <c r="CB81" s="1" t="s">
        <v>92</v>
      </c>
      <c r="CC81" s="1" t="s">
        <v>92</v>
      </c>
      <c r="CD81" s="1" t="s">
        <v>92</v>
      </c>
      <c r="CF81" s="13" t="s">
        <v>145</v>
      </c>
    </row>
    <row r="82" spans="1:85" x14ac:dyDescent="0.15">
      <c r="A82" s="1" t="s">
        <v>90</v>
      </c>
      <c r="B82" s="1" t="s">
        <v>144</v>
      </c>
      <c r="C82" s="1" t="s">
        <v>92</v>
      </c>
      <c r="D82" s="1">
        <v>377</v>
      </c>
      <c r="E82" s="1" t="s">
        <v>93</v>
      </c>
      <c r="F82" s="1">
        <v>0.08</v>
      </c>
      <c r="G82" s="1">
        <f>((D82/1000)/(F82))*60</f>
        <v>282.75</v>
      </c>
      <c r="H82" s="3">
        <v>400</v>
      </c>
      <c r="I82" s="1" t="s">
        <v>92</v>
      </c>
      <c r="J82" s="1">
        <v>0.5</v>
      </c>
      <c r="M82" s="1" t="s">
        <v>92</v>
      </c>
      <c r="N82" s="1" t="s">
        <v>92</v>
      </c>
      <c r="O82" s="1" t="s">
        <v>92</v>
      </c>
      <c r="S82" s="54">
        <v>7.85</v>
      </c>
      <c r="W82" s="54">
        <v>77.27</v>
      </c>
      <c r="AA82" s="54">
        <v>0.66</v>
      </c>
      <c r="AE82" s="54">
        <v>2.78</v>
      </c>
      <c r="AI82" s="54">
        <v>53.5</v>
      </c>
      <c r="AM82" s="54">
        <v>6.93</v>
      </c>
      <c r="AQ82" s="54">
        <v>3.33</v>
      </c>
      <c r="AU82" s="54">
        <v>32.549999999999997</v>
      </c>
      <c r="AV82" s="54">
        <v>18.55</v>
      </c>
      <c r="AZ82" s="5">
        <f t="shared" si="11"/>
        <v>100</v>
      </c>
      <c r="BA82" s="5">
        <f t="shared" si="8"/>
        <v>0</v>
      </c>
      <c r="BB82" s="1">
        <v>34.6</v>
      </c>
      <c r="BC82" s="1">
        <v>37.6</v>
      </c>
      <c r="BD82" s="1">
        <v>27.8</v>
      </c>
      <c r="BE82" s="5" t="s">
        <v>96</v>
      </c>
      <c r="BF82" s="5">
        <f t="shared" si="9"/>
        <v>34.6</v>
      </c>
      <c r="BG82" s="5"/>
      <c r="BH82" s="10">
        <f t="shared" si="10"/>
        <v>0</v>
      </c>
      <c r="BI82" s="1">
        <v>0</v>
      </c>
      <c r="BJ82" s="1">
        <v>0</v>
      </c>
      <c r="BK82" s="1">
        <v>0</v>
      </c>
      <c r="BL82" s="8" t="s">
        <v>92</v>
      </c>
      <c r="BM82" s="1" t="s">
        <v>92</v>
      </c>
      <c r="BN82" s="8" t="s">
        <v>92</v>
      </c>
      <c r="BO82" s="8" t="s">
        <v>92</v>
      </c>
      <c r="BP82" s="1" t="s">
        <v>92</v>
      </c>
      <c r="BQ82" s="1" t="s">
        <v>92</v>
      </c>
      <c r="BR82" s="1" t="s">
        <v>92</v>
      </c>
      <c r="BS82" s="1" t="s">
        <v>92</v>
      </c>
      <c r="BT82" s="1" t="s">
        <v>92</v>
      </c>
      <c r="BU82" s="1" t="s">
        <v>92</v>
      </c>
      <c r="BV82" s="1" t="s">
        <v>92</v>
      </c>
      <c r="BW82" s="3" t="s">
        <v>92</v>
      </c>
      <c r="BX82" s="1" t="s">
        <v>92</v>
      </c>
      <c r="BY82" s="1" t="s">
        <v>92</v>
      </c>
      <c r="BZ82" s="1" t="s">
        <v>92</v>
      </c>
      <c r="CA82" s="1" t="s">
        <v>92</v>
      </c>
      <c r="CB82" s="1" t="s">
        <v>92</v>
      </c>
      <c r="CC82" s="1" t="s">
        <v>92</v>
      </c>
      <c r="CD82" s="1" t="s">
        <v>92</v>
      </c>
      <c r="CF82" s="13" t="s">
        <v>145</v>
      </c>
    </row>
    <row r="83" spans="1:85" x14ac:dyDescent="0.15">
      <c r="A83" s="1" t="s">
        <v>90</v>
      </c>
      <c r="B83" s="1" t="s">
        <v>144</v>
      </c>
      <c r="C83" s="1" t="s">
        <v>92</v>
      </c>
      <c r="D83" s="1">
        <v>377</v>
      </c>
      <c r="E83" s="1" t="s">
        <v>93</v>
      </c>
      <c r="F83" s="1">
        <v>0.08</v>
      </c>
      <c r="G83" s="1">
        <f t="shared" si="12"/>
        <v>282.75</v>
      </c>
      <c r="H83" s="3">
        <v>450</v>
      </c>
      <c r="I83" s="1" t="s">
        <v>92</v>
      </c>
      <c r="J83" s="1">
        <v>0.5</v>
      </c>
      <c r="M83" s="1" t="s">
        <v>92</v>
      </c>
      <c r="N83" s="1" t="s">
        <v>92</v>
      </c>
      <c r="O83" s="1" t="s">
        <v>92</v>
      </c>
      <c r="S83" s="54">
        <v>7.85</v>
      </c>
      <c r="W83" s="54">
        <v>77.27</v>
      </c>
      <c r="AA83" s="54">
        <v>0.66</v>
      </c>
      <c r="AE83" s="54">
        <v>2.78</v>
      </c>
      <c r="AI83" s="54">
        <v>53.5</v>
      </c>
      <c r="AM83" s="54">
        <v>6.93</v>
      </c>
      <c r="AQ83" s="54">
        <v>3.33</v>
      </c>
      <c r="AU83" s="54">
        <v>32.549999999999997</v>
      </c>
      <c r="AV83" s="54">
        <v>18.55</v>
      </c>
      <c r="AZ83" s="5">
        <f t="shared" si="11"/>
        <v>99.9</v>
      </c>
      <c r="BA83" s="5">
        <f t="shared" si="8"/>
        <v>9.9999999999994316E-2</v>
      </c>
      <c r="BB83" s="1">
        <v>37.4</v>
      </c>
      <c r="BC83" s="1">
        <v>33.1</v>
      </c>
      <c r="BD83" s="1">
        <v>29.4</v>
      </c>
      <c r="BE83" s="5" t="s">
        <v>96</v>
      </c>
      <c r="BF83" s="5">
        <f t="shared" si="9"/>
        <v>37.499999999999993</v>
      </c>
      <c r="BG83" s="5"/>
      <c r="BH83" s="10">
        <f t="shared" si="10"/>
        <v>0</v>
      </c>
      <c r="BI83" s="1">
        <v>0</v>
      </c>
      <c r="BJ83" s="1">
        <v>0</v>
      </c>
      <c r="BK83" s="1">
        <v>0</v>
      </c>
      <c r="BL83" s="8" t="s">
        <v>92</v>
      </c>
      <c r="BM83" s="1" t="s">
        <v>92</v>
      </c>
      <c r="BN83" s="8" t="s">
        <v>92</v>
      </c>
      <c r="BO83" s="8" t="s">
        <v>92</v>
      </c>
      <c r="BP83" s="1" t="s">
        <v>92</v>
      </c>
      <c r="BQ83" s="1" t="s">
        <v>92</v>
      </c>
      <c r="BR83" s="1" t="s">
        <v>92</v>
      </c>
      <c r="BS83" s="1" t="s">
        <v>92</v>
      </c>
      <c r="BT83" s="1" t="s">
        <v>92</v>
      </c>
      <c r="BU83" s="1" t="s">
        <v>92</v>
      </c>
      <c r="BV83" s="1" t="s">
        <v>92</v>
      </c>
      <c r="BW83" s="3" t="s">
        <v>92</v>
      </c>
      <c r="BX83" s="1" t="s">
        <v>92</v>
      </c>
      <c r="BY83" s="1" t="s">
        <v>92</v>
      </c>
      <c r="BZ83" s="1" t="s">
        <v>92</v>
      </c>
      <c r="CA83" s="1" t="s">
        <v>92</v>
      </c>
      <c r="CB83" s="1" t="s">
        <v>92</v>
      </c>
      <c r="CC83" s="1" t="s">
        <v>92</v>
      </c>
      <c r="CD83" s="1" t="s">
        <v>92</v>
      </c>
      <c r="CF83" s="13" t="s">
        <v>145</v>
      </c>
    </row>
    <row r="84" spans="1:85" x14ac:dyDescent="0.15">
      <c r="A84" s="1" t="s">
        <v>90</v>
      </c>
      <c r="B84" s="1" t="s">
        <v>144</v>
      </c>
      <c r="C84" s="1" t="s">
        <v>92</v>
      </c>
      <c r="D84" s="1">
        <v>377</v>
      </c>
      <c r="E84" s="1" t="s">
        <v>93</v>
      </c>
      <c r="F84" s="1">
        <v>0.08</v>
      </c>
      <c r="G84" s="1">
        <f t="shared" si="12"/>
        <v>282.75</v>
      </c>
      <c r="H84" s="3">
        <v>500</v>
      </c>
      <c r="I84" s="1" t="s">
        <v>92</v>
      </c>
      <c r="J84" s="1">
        <v>0.5</v>
      </c>
      <c r="M84" s="1" t="s">
        <v>92</v>
      </c>
      <c r="N84" s="1" t="s">
        <v>92</v>
      </c>
      <c r="O84" s="1" t="s">
        <v>92</v>
      </c>
      <c r="S84" s="54">
        <v>7.85</v>
      </c>
      <c r="W84" s="54">
        <v>77.27</v>
      </c>
      <c r="AA84" s="54">
        <v>0.66</v>
      </c>
      <c r="AE84" s="54">
        <v>2.78</v>
      </c>
      <c r="AI84" s="54">
        <v>53.5</v>
      </c>
      <c r="AM84" s="54">
        <v>6.93</v>
      </c>
      <c r="AQ84" s="54">
        <v>3.33</v>
      </c>
      <c r="AU84" s="54">
        <v>32.549999999999997</v>
      </c>
      <c r="AV84" s="54">
        <v>18.55</v>
      </c>
      <c r="AZ84" s="5">
        <f t="shared" si="11"/>
        <v>100.10000000000001</v>
      </c>
      <c r="BA84" s="5">
        <f t="shared" si="8"/>
        <v>-0.10000000000000853</v>
      </c>
      <c r="BB84" s="1">
        <v>39.700000000000003</v>
      </c>
      <c r="BC84" s="1">
        <v>30.2</v>
      </c>
      <c r="BD84" s="1">
        <v>30.2</v>
      </c>
      <c r="BE84" s="5" t="s">
        <v>96</v>
      </c>
      <c r="BF84" s="5">
        <f t="shared" si="9"/>
        <v>39.599999999999994</v>
      </c>
      <c r="BG84" s="5"/>
      <c r="BH84" s="10">
        <f t="shared" si="10"/>
        <v>7.3445</v>
      </c>
      <c r="BI84" s="1">
        <v>0</v>
      </c>
      <c r="BJ84" s="1">
        <v>0</v>
      </c>
      <c r="BK84" s="3">
        <f>18.5*BB84/100</f>
        <v>7.3445</v>
      </c>
      <c r="BL84" s="11">
        <f>1.92*BB84/100</f>
        <v>0.76224000000000003</v>
      </c>
      <c r="BM84" s="3">
        <f>3.55*BB84/100</f>
        <v>1.4093500000000001</v>
      </c>
      <c r="BN84" s="8" t="s">
        <v>92</v>
      </c>
      <c r="BO84" s="8" t="s">
        <v>92</v>
      </c>
      <c r="BP84" s="3">
        <f>(6.16+0.454)*BB84/100</f>
        <v>2.6257580000000003</v>
      </c>
      <c r="BQ84" s="15">
        <f>1.68*BB84/100</f>
        <v>0.66696</v>
      </c>
      <c r="BR84" s="3">
        <f>2.99*BB84/100</f>
        <v>1.1870300000000003</v>
      </c>
      <c r="BS84" s="1" t="s">
        <v>92</v>
      </c>
      <c r="BT84" s="1" t="s">
        <v>92</v>
      </c>
      <c r="BU84" s="1" t="s">
        <v>92</v>
      </c>
      <c r="BV84" s="3">
        <f>24.7*BB84/100</f>
        <v>9.8059000000000012</v>
      </c>
      <c r="BW84" s="3" t="s">
        <v>92</v>
      </c>
      <c r="BX84" s="1">
        <f>1.14*BB84/100</f>
        <v>0.45258000000000004</v>
      </c>
      <c r="BY84" s="1" t="s">
        <v>92</v>
      </c>
      <c r="BZ84" s="1" t="s">
        <v>92</v>
      </c>
      <c r="CA84" s="1" t="s">
        <v>92</v>
      </c>
      <c r="CB84" s="1" t="s">
        <v>92</v>
      </c>
      <c r="CC84" s="1" t="s">
        <v>92</v>
      </c>
      <c r="CD84" s="1" t="s">
        <v>92</v>
      </c>
      <c r="CF84" s="13" t="s">
        <v>145</v>
      </c>
      <c r="CG84" s="1" t="s">
        <v>146</v>
      </c>
    </row>
    <row r="85" spans="1:85" x14ac:dyDescent="0.15">
      <c r="A85" s="1" t="s">
        <v>90</v>
      </c>
      <c r="B85" s="1" t="s">
        <v>144</v>
      </c>
      <c r="C85" s="1" t="s">
        <v>92</v>
      </c>
      <c r="D85" s="1">
        <v>377</v>
      </c>
      <c r="E85" s="1" t="s">
        <v>93</v>
      </c>
      <c r="F85" s="1">
        <v>0.08</v>
      </c>
      <c r="G85" s="1">
        <f t="shared" si="12"/>
        <v>282.75</v>
      </c>
      <c r="H85" s="3">
        <v>600</v>
      </c>
      <c r="I85" s="1" t="s">
        <v>92</v>
      </c>
      <c r="J85" s="1">
        <v>0.5</v>
      </c>
      <c r="M85" s="1" t="s">
        <v>92</v>
      </c>
      <c r="N85" s="1" t="s">
        <v>92</v>
      </c>
      <c r="O85" s="1" t="s">
        <v>92</v>
      </c>
      <c r="S85" s="54">
        <v>7.85</v>
      </c>
      <c r="W85" s="54">
        <v>77.27</v>
      </c>
      <c r="AA85" s="54">
        <v>0.66</v>
      </c>
      <c r="AE85" s="54">
        <v>2.78</v>
      </c>
      <c r="AI85" s="54">
        <v>53.5</v>
      </c>
      <c r="AM85" s="54">
        <v>6.93</v>
      </c>
      <c r="AQ85" s="54">
        <v>3.33</v>
      </c>
      <c r="AU85" s="54">
        <v>32.549999999999997</v>
      </c>
      <c r="AV85" s="54">
        <v>18.55</v>
      </c>
      <c r="AZ85" s="5">
        <f t="shared" si="11"/>
        <v>100.19999999999999</v>
      </c>
      <c r="BA85" s="5">
        <f t="shared" si="8"/>
        <v>-0.19999999999998863</v>
      </c>
      <c r="BB85" s="1">
        <v>37.1</v>
      </c>
      <c r="BC85" s="1">
        <v>28.2</v>
      </c>
      <c r="BD85" s="1">
        <v>34.9</v>
      </c>
      <c r="BE85" s="5" t="s">
        <v>96</v>
      </c>
      <c r="BF85" s="5">
        <f t="shared" si="9"/>
        <v>36.900000000000013</v>
      </c>
      <c r="BG85" s="5"/>
      <c r="BH85" s="10">
        <f t="shared" si="10"/>
        <v>0</v>
      </c>
      <c r="BI85" s="1">
        <v>0</v>
      </c>
      <c r="BJ85" s="1">
        <v>0</v>
      </c>
      <c r="BK85" s="1">
        <v>0</v>
      </c>
      <c r="BL85" s="8" t="s">
        <v>92</v>
      </c>
      <c r="BM85" s="1" t="s">
        <v>92</v>
      </c>
      <c r="BN85" s="8" t="s">
        <v>92</v>
      </c>
      <c r="BO85" s="8" t="s">
        <v>92</v>
      </c>
      <c r="BP85" s="1" t="s">
        <v>92</v>
      </c>
      <c r="BQ85" s="1" t="s">
        <v>92</v>
      </c>
      <c r="BR85" s="1" t="s">
        <v>92</v>
      </c>
      <c r="BS85" s="1" t="s">
        <v>92</v>
      </c>
      <c r="BT85" s="1" t="s">
        <v>92</v>
      </c>
      <c r="BU85" s="1" t="s">
        <v>92</v>
      </c>
      <c r="BV85" s="1" t="s">
        <v>92</v>
      </c>
      <c r="BW85" s="3" t="s">
        <v>92</v>
      </c>
      <c r="BX85" s="1" t="s">
        <v>92</v>
      </c>
      <c r="BY85" s="1" t="s">
        <v>92</v>
      </c>
      <c r="BZ85" s="1" t="s">
        <v>92</v>
      </c>
      <c r="CA85" s="1" t="s">
        <v>92</v>
      </c>
      <c r="CB85" s="1" t="s">
        <v>92</v>
      </c>
      <c r="CC85" s="1" t="s">
        <v>92</v>
      </c>
      <c r="CD85" s="1" t="s">
        <v>92</v>
      </c>
      <c r="CF85" s="13" t="s">
        <v>145</v>
      </c>
    </row>
    <row r="86" spans="1:85" x14ac:dyDescent="0.15">
      <c r="A86" s="1" t="s">
        <v>90</v>
      </c>
      <c r="B86" s="1" t="s">
        <v>144</v>
      </c>
      <c r="C86" s="1" t="s">
        <v>92</v>
      </c>
      <c r="D86" s="1">
        <v>377</v>
      </c>
      <c r="E86" s="1" t="s">
        <v>93</v>
      </c>
      <c r="F86" s="1">
        <v>0.08</v>
      </c>
      <c r="G86" s="1">
        <f t="shared" si="12"/>
        <v>282.75</v>
      </c>
      <c r="H86" s="3">
        <v>650</v>
      </c>
      <c r="I86" s="1" t="s">
        <v>92</v>
      </c>
      <c r="J86" s="1">
        <v>0.5</v>
      </c>
      <c r="M86" s="1" t="s">
        <v>92</v>
      </c>
      <c r="N86" s="1" t="s">
        <v>92</v>
      </c>
      <c r="O86" s="1" t="s">
        <v>92</v>
      </c>
      <c r="S86" s="54">
        <v>7.85</v>
      </c>
      <c r="W86" s="54">
        <v>77.27</v>
      </c>
      <c r="AA86" s="54">
        <v>0.66</v>
      </c>
      <c r="AE86" s="54">
        <v>2.78</v>
      </c>
      <c r="AI86" s="54">
        <v>53.5</v>
      </c>
      <c r="AM86" s="54">
        <v>6.93</v>
      </c>
      <c r="AQ86" s="54">
        <v>3.33</v>
      </c>
      <c r="AU86" s="54">
        <v>32.549999999999997</v>
      </c>
      <c r="AV86" s="54">
        <v>18.55</v>
      </c>
      <c r="AZ86" s="5">
        <f t="shared" si="11"/>
        <v>100</v>
      </c>
      <c r="BA86" s="5">
        <f t="shared" si="8"/>
        <v>0</v>
      </c>
      <c r="BB86" s="1">
        <v>35.4</v>
      </c>
      <c r="BC86" s="1">
        <v>26.5</v>
      </c>
      <c r="BD86" s="1">
        <v>38.1</v>
      </c>
      <c r="BE86" s="5" t="s">
        <v>96</v>
      </c>
      <c r="BF86" s="5">
        <f t="shared" si="9"/>
        <v>35.4</v>
      </c>
      <c r="BG86" s="5"/>
      <c r="BH86" s="10">
        <f t="shared" si="10"/>
        <v>0</v>
      </c>
      <c r="BI86" s="1">
        <v>0</v>
      </c>
      <c r="BJ86" s="1">
        <v>0</v>
      </c>
      <c r="BK86" s="1">
        <v>0</v>
      </c>
      <c r="BL86" s="8" t="s">
        <v>92</v>
      </c>
      <c r="BM86" s="1" t="s">
        <v>92</v>
      </c>
      <c r="BN86" s="8" t="s">
        <v>92</v>
      </c>
      <c r="BO86" s="8" t="s">
        <v>92</v>
      </c>
      <c r="BP86" s="1" t="s">
        <v>92</v>
      </c>
      <c r="BQ86" s="1" t="s">
        <v>92</v>
      </c>
      <c r="BR86" s="1" t="s">
        <v>92</v>
      </c>
      <c r="BS86" s="1" t="s">
        <v>92</v>
      </c>
      <c r="BT86" s="1" t="s">
        <v>92</v>
      </c>
      <c r="BU86" s="1" t="s">
        <v>92</v>
      </c>
      <c r="BV86" s="1" t="s">
        <v>92</v>
      </c>
      <c r="BW86" s="3" t="s">
        <v>92</v>
      </c>
      <c r="BX86" s="1" t="s">
        <v>92</v>
      </c>
      <c r="BY86" s="1" t="s">
        <v>92</v>
      </c>
      <c r="BZ86" s="1" t="s">
        <v>92</v>
      </c>
      <c r="CA86" s="1" t="s">
        <v>92</v>
      </c>
      <c r="CB86" s="1" t="s">
        <v>92</v>
      </c>
      <c r="CC86" s="1" t="s">
        <v>92</v>
      </c>
      <c r="CD86" s="1" t="s">
        <v>92</v>
      </c>
      <c r="CF86" s="13" t="s">
        <v>145</v>
      </c>
    </row>
    <row r="87" spans="1:85" s="29" customFormat="1" x14ac:dyDescent="0.15">
      <c r="A87" s="29" t="s">
        <v>117</v>
      </c>
      <c r="B87" s="29" t="s">
        <v>91</v>
      </c>
      <c r="C87" s="29">
        <v>1910</v>
      </c>
      <c r="D87" s="29" t="s">
        <v>92</v>
      </c>
      <c r="E87" s="29" t="s">
        <v>93</v>
      </c>
      <c r="F87" s="29" t="s">
        <v>92</v>
      </c>
      <c r="G87" s="29" t="s">
        <v>92</v>
      </c>
      <c r="H87" s="29">
        <v>475</v>
      </c>
      <c r="I87" s="29" t="s">
        <v>92</v>
      </c>
      <c r="J87" s="29">
        <v>0.72499999999999998</v>
      </c>
      <c r="K87" s="29" t="s">
        <v>92</v>
      </c>
      <c r="L87" s="29" t="s">
        <v>92</v>
      </c>
      <c r="M87" s="29">
        <v>2.5</v>
      </c>
      <c r="N87" s="29" t="s">
        <v>92</v>
      </c>
      <c r="O87" s="29" t="s">
        <v>92</v>
      </c>
      <c r="S87" s="56">
        <v>7.6</v>
      </c>
      <c r="W87" s="56">
        <v>92.2</v>
      </c>
      <c r="AA87" s="54" t="s">
        <v>92</v>
      </c>
      <c r="AE87" s="56">
        <v>0.2</v>
      </c>
      <c r="AI87" s="56">
        <v>47.8</v>
      </c>
      <c r="AM87" s="56">
        <v>5.9</v>
      </c>
      <c r="AQ87" s="56">
        <v>0.1</v>
      </c>
      <c r="AU87" s="56">
        <v>46.2</v>
      </c>
      <c r="AV87" s="56" t="s">
        <v>92</v>
      </c>
      <c r="AZ87" s="29">
        <f t="shared" si="11"/>
        <v>100.1</v>
      </c>
      <c r="BA87" s="29">
        <f t="shared" si="8"/>
        <v>-9.9999999999994316E-2</v>
      </c>
      <c r="BB87" s="29">
        <v>60.3</v>
      </c>
      <c r="BC87" s="29">
        <v>20</v>
      </c>
      <c r="BD87" s="29">
        <v>19.8</v>
      </c>
      <c r="BE87" s="29" t="s">
        <v>96</v>
      </c>
      <c r="BF87" s="29">
        <f t="shared" si="9"/>
        <v>60.2</v>
      </c>
      <c r="BH87" s="29">
        <f>BI87+BJ87+BK87</f>
        <v>27.014400000000002</v>
      </c>
      <c r="BI87" s="29">
        <v>0</v>
      </c>
      <c r="BJ87" s="29">
        <v>0</v>
      </c>
      <c r="BK87" s="29">
        <f>(5.7+0.4+2.2+3.5+1.9+6+10+0.4+9+3.3+1.2+1.2)*BB87/100</f>
        <v>27.014400000000002</v>
      </c>
      <c r="BL87" s="29" t="s">
        <v>92</v>
      </c>
      <c r="BM87" s="29">
        <f>(0.2+0.3+1.8+4.4+0.7+1.9)*BB87/100</f>
        <v>5.6078999999999999</v>
      </c>
      <c r="BN87" s="29">
        <f>(0.2+0.4+2.8)*BB87/100</f>
        <v>2.0501999999999998</v>
      </c>
      <c r="BO87" s="29" t="s">
        <v>92</v>
      </c>
      <c r="BP87" s="29" t="s">
        <v>92</v>
      </c>
      <c r="BQ87" s="29">
        <f>1.2*BB87/100</f>
        <v>0.72360000000000002</v>
      </c>
      <c r="BR87" s="29">
        <f>2.3*BB87/100</f>
        <v>1.3868999999999998</v>
      </c>
      <c r="BS87" s="29" t="s">
        <v>92</v>
      </c>
      <c r="BT87" s="29">
        <f>9.6*BB87/100</f>
        <v>5.7888000000000002</v>
      </c>
      <c r="BU87" s="29" t="s">
        <v>92</v>
      </c>
      <c r="BV87" s="29">
        <f>1.9*BB87/100</f>
        <v>1.1456999999999999</v>
      </c>
      <c r="BW87" s="29" t="s">
        <v>92</v>
      </c>
      <c r="BX87" s="29" t="s">
        <v>92</v>
      </c>
      <c r="BY87" s="29" t="s">
        <v>92</v>
      </c>
      <c r="BZ87" s="29" t="s">
        <v>92</v>
      </c>
      <c r="CA87" s="29" t="s">
        <v>92</v>
      </c>
      <c r="CB87" s="29" t="s">
        <v>92</v>
      </c>
      <c r="CC87" s="29" t="s">
        <v>92</v>
      </c>
      <c r="CD87" s="29" t="s">
        <v>92</v>
      </c>
      <c r="CF87" s="29" t="s">
        <v>147</v>
      </c>
      <c r="CG87" s="29" t="s">
        <v>148</v>
      </c>
    </row>
    <row r="88" spans="1:85" s="3" customFormat="1" x14ac:dyDescent="0.15">
      <c r="A88" s="3" t="s">
        <v>117</v>
      </c>
      <c r="B88" s="3" t="s">
        <v>91</v>
      </c>
      <c r="C88" s="3">
        <v>1910</v>
      </c>
      <c r="D88" s="3" t="s">
        <v>92</v>
      </c>
      <c r="E88" s="3" t="s">
        <v>93</v>
      </c>
      <c r="F88" s="3" t="s">
        <v>92</v>
      </c>
      <c r="G88" s="3" t="s">
        <v>92</v>
      </c>
      <c r="H88" s="3">
        <v>525</v>
      </c>
      <c r="I88" s="3" t="s">
        <v>92</v>
      </c>
      <c r="J88" s="3">
        <v>0.72499999999999998</v>
      </c>
      <c r="K88" s="3" t="s">
        <v>92</v>
      </c>
      <c r="L88" s="3" t="s">
        <v>92</v>
      </c>
      <c r="M88" s="3">
        <v>2.5</v>
      </c>
      <c r="N88" s="3" t="s">
        <v>92</v>
      </c>
      <c r="O88" s="3" t="s">
        <v>92</v>
      </c>
      <c r="S88" s="56">
        <v>7.6</v>
      </c>
      <c r="W88" s="56">
        <v>92.2</v>
      </c>
      <c r="AA88" s="54" t="s">
        <v>92</v>
      </c>
      <c r="AE88" s="56">
        <v>0.2</v>
      </c>
      <c r="AI88" s="56">
        <v>47.8</v>
      </c>
      <c r="AM88" s="56">
        <v>5.9</v>
      </c>
      <c r="AQ88" s="56">
        <v>0.1</v>
      </c>
      <c r="AU88" s="56">
        <v>46.2</v>
      </c>
      <c r="AV88" s="56" t="s">
        <v>92</v>
      </c>
      <c r="AZ88" s="3">
        <f t="shared" si="11"/>
        <v>100</v>
      </c>
      <c r="BA88" s="3">
        <f t="shared" si="8"/>
        <v>0</v>
      </c>
      <c r="BB88" s="3">
        <v>51.5</v>
      </c>
      <c r="BC88" s="3">
        <v>13.2</v>
      </c>
      <c r="BD88" s="3">
        <v>35.299999999999997</v>
      </c>
      <c r="BE88" s="3" t="s">
        <v>96</v>
      </c>
      <c r="BF88" s="3">
        <f t="shared" si="9"/>
        <v>51.5</v>
      </c>
      <c r="BH88" s="11">
        <f t="shared" si="10"/>
        <v>0</v>
      </c>
      <c r="BI88" s="3">
        <v>0</v>
      </c>
      <c r="BJ88" s="3">
        <v>0</v>
      </c>
      <c r="BK88" s="3">
        <v>0</v>
      </c>
      <c r="BL88" s="11" t="s">
        <v>92</v>
      </c>
      <c r="BM88" s="3" t="s">
        <v>92</v>
      </c>
      <c r="BN88" s="11" t="s">
        <v>92</v>
      </c>
      <c r="BO88" s="11" t="s">
        <v>92</v>
      </c>
      <c r="BP88" s="3" t="s">
        <v>92</v>
      </c>
      <c r="BQ88" s="3" t="s">
        <v>92</v>
      </c>
      <c r="BR88" s="3" t="s">
        <v>92</v>
      </c>
      <c r="BS88" s="3" t="s">
        <v>92</v>
      </c>
      <c r="BT88" s="3" t="s">
        <v>92</v>
      </c>
      <c r="BU88" s="3" t="s">
        <v>92</v>
      </c>
      <c r="BV88" s="3" t="s">
        <v>92</v>
      </c>
      <c r="BW88" s="3" t="s">
        <v>92</v>
      </c>
      <c r="BX88" s="3" t="s">
        <v>92</v>
      </c>
      <c r="BY88" s="3" t="s">
        <v>92</v>
      </c>
      <c r="BZ88" s="3" t="s">
        <v>92</v>
      </c>
      <c r="CA88" s="3" t="s">
        <v>92</v>
      </c>
      <c r="CB88" s="3" t="s">
        <v>92</v>
      </c>
      <c r="CC88" s="3" t="s">
        <v>92</v>
      </c>
      <c r="CD88" s="3" t="s">
        <v>92</v>
      </c>
      <c r="CF88" s="16" t="s">
        <v>147</v>
      </c>
    </row>
    <row r="89" spans="1:85" s="3" customFormat="1" x14ac:dyDescent="0.15">
      <c r="A89" s="3" t="s">
        <v>117</v>
      </c>
      <c r="B89" s="3" t="s">
        <v>91</v>
      </c>
      <c r="C89" s="3">
        <v>1910</v>
      </c>
      <c r="D89" s="3" t="s">
        <v>92</v>
      </c>
      <c r="E89" s="3" t="s">
        <v>93</v>
      </c>
      <c r="F89" s="3" t="s">
        <v>92</v>
      </c>
      <c r="G89" s="3" t="s">
        <v>92</v>
      </c>
      <c r="H89" s="3">
        <v>575</v>
      </c>
      <c r="I89" s="3" t="s">
        <v>92</v>
      </c>
      <c r="J89" s="3">
        <v>0.72499999999999998</v>
      </c>
      <c r="K89" s="3" t="s">
        <v>92</v>
      </c>
      <c r="L89" s="3" t="s">
        <v>92</v>
      </c>
      <c r="M89" s="3">
        <v>2.5</v>
      </c>
      <c r="N89" s="3" t="s">
        <v>92</v>
      </c>
      <c r="O89" s="3" t="s">
        <v>92</v>
      </c>
      <c r="S89" s="56">
        <v>7.6</v>
      </c>
      <c r="W89" s="56">
        <v>92.2</v>
      </c>
      <c r="AA89" s="54" t="s">
        <v>92</v>
      </c>
      <c r="AE89" s="56">
        <v>0.2</v>
      </c>
      <c r="AI89" s="56">
        <v>47.8</v>
      </c>
      <c r="AM89" s="56">
        <v>5.9</v>
      </c>
      <c r="AQ89" s="56">
        <v>0.1</v>
      </c>
      <c r="AU89" s="56">
        <v>46.2</v>
      </c>
      <c r="AV89" s="56" t="s">
        <v>92</v>
      </c>
      <c r="AZ89" s="3">
        <f t="shared" si="11"/>
        <v>100</v>
      </c>
      <c r="BA89" s="3">
        <f t="shared" si="8"/>
        <v>0</v>
      </c>
      <c r="BB89" s="3">
        <v>34.799999999999997</v>
      </c>
      <c r="BC89" s="3">
        <v>11</v>
      </c>
      <c r="BD89" s="3">
        <v>54.2</v>
      </c>
      <c r="BE89" s="3" t="s">
        <v>96</v>
      </c>
      <c r="BF89" s="3">
        <f t="shared" si="9"/>
        <v>34.799999999999997</v>
      </c>
      <c r="BH89" s="3">
        <f t="shared" si="10"/>
        <v>0</v>
      </c>
      <c r="BI89" s="3">
        <v>0</v>
      </c>
      <c r="BJ89" s="3">
        <v>0</v>
      </c>
      <c r="BK89" s="3">
        <v>0</v>
      </c>
      <c r="BL89" s="3" t="s">
        <v>92</v>
      </c>
      <c r="BM89" s="3" t="s">
        <v>92</v>
      </c>
      <c r="BN89" s="3" t="s">
        <v>92</v>
      </c>
      <c r="BO89" s="3" t="s">
        <v>92</v>
      </c>
      <c r="BP89" s="3" t="s">
        <v>92</v>
      </c>
      <c r="BQ89" s="3" t="s">
        <v>92</v>
      </c>
      <c r="BR89" s="3" t="s">
        <v>92</v>
      </c>
      <c r="BS89" s="3" t="s">
        <v>92</v>
      </c>
      <c r="BT89" s="3" t="s">
        <v>92</v>
      </c>
      <c r="BU89" s="3" t="s">
        <v>92</v>
      </c>
      <c r="BV89" s="3" t="s">
        <v>92</v>
      </c>
      <c r="BW89" s="3" t="s">
        <v>92</v>
      </c>
      <c r="BX89" s="3" t="s">
        <v>92</v>
      </c>
      <c r="BY89" s="3" t="s">
        <v>92</v>
      </c>
      <c r="BZ89" s="3" t="s">
        <v>92</v>
      </c>
      <c r="CA89" s="3" t="s">
        <v>92</v>
      </c>
      <c r="CB89" s="3" t="s">
        <v>92</v>
      </c>
      <c r="CC89" s="3" t="s">
        <v>92</v>
      </c>
      <c r="CD89" s="3" t="s">
        <v>92</v>
      </c>
      <c r="CF89" s="39" t="s">
        <v>147</v>
      </c>
    </row>
    <row r="90" spans="1:85" s="3" customFormat="1" x14ac:dyDescent="0.15">
      <c r="A90" s="3" t="s">
        <v>117</v>
      </c>
      <c r="B90" s="3" t="s">
        <v>91</v>
      </c>
      <c r="C90" s="3">
        <v>1910</v>
      </c>
      <c r="D90" s="3" t="s">
        <v>92</v>
      </c>
      <c r="E90" s="3" t="s">
        <v>93</v>
      </c>
      <c r="F90" s="3" t="s">
        <v>92</v>
      </c>
      <c r="G90" s="3" t="s">
        <v>92</v>
      </c>
      <c r="H90" s="3">
        <v>625</v>
      </c>
      <c r="I90" s="3" t="s">
        <v>92</v>
      </c>
      <c r="J90" s="3">
        <v>0.72499999999999998</v>
      </c>
      <c r="K90" s="3" t="s">
        <v>92</v>
      </c>
      <c r="L90" s="3" t="s">
        <v>92</v>
      </c>
      <c r="M90" s="3">
        <v>2.5</v>
      </c>
      <c r="N90" s="3" t="s">
        <v>92</v>
      </c>
      <c r="O90" s="3" t="s">
        <v>92</v>
      </c>
      <c r="S90" s="56">
        <v>7.6</v>
      </c>
      <c r="W90" s="56">
        <v>92.2</v>
      </c>
      <c r="AA90" s="54" t="s">
        <v>92</v>
      </c>
      <c r="AE90" s="56">
        <v>0.2</v>
      </c>
      <c r="AI90" s="56">
        <v>47.8</v>
      </c>
      <c r="AM90" s="56">
        <v>5.9</v>
      </c>
      <c r="AQ90" s="56">
        <v>0.1</v>
      </c>
      <c r="AU90" s="56">
        <v>46.2</v>
      </c>
      <c r="AV90" s="56" t="s">
        <v>92</v>
      </c>
      <c r="AZ90" s="3">
        <f t="shared" si="11"/>
        <v>99.9</v>
      </c>
      <c r="BA90" s="3">
        <f t="shared" si="8"/>
        <v>9.9999999999994316E-2</v>
      </c>
      <c r="BB90" s="3">
        <v>27.2</v>
      </c>
      <c r="BC90" s="3">
        <v>9</v>
      </c>
      <c r="BD90" s="3">
        <v>63.7</v>
      </c>
      <c r="BE90" s="3" t="s">
        <v>96</v>
      </c>
      <c r="BF90" s="3">
        <f t="shared" si="9"/>
        <v>27.299999999999994</v>
      </c>
      <c r="BH90" s="11">
        <f t="shared" si="10"/>
        <v>0</v>
      </c>
      <c r="BI90" s="3">
        <v>0</v>
      </c>
      <c r="BJ90" s="3">
        <v>0</v>
      </c>
      <c r="BK90" s="3">
        <v>0</v>
      </c>
      <c r="BL90" s="11" t="s">
        <v>92</v>
      </c>
      <c r="BM90" s="3" t="s">
        <v>92</v>
      </c>
      <c r="BN90" s="11" t="s">
        <v>92</v>
      </c>
      <c r="BO90" s="11" t="s">
        <v>92</v>
      </c>
      <c r="BP90" s="3" t="s">
        <v>92</v>
      </c>
      <c r="BQ90" s="3" t="s">
        <v>92</v>
      </c>
      <c r="BR90" s="3" t="s">
        <v>92</v>
      </c>
      <c r="BS90" s="3" t="s">
        <v>92</v>
      </c>
      <c r="BT90" s="3" t="s">
        <v>92</v>
      </c>
      <c r="BU90" s="3" t="s">
        <v>92</v>
      </c>
      <c r="BV90" s="3" t="s">
        <v>92</v>
      </c>
      <c r="BW90" s="3" t="s">
        <v>92</v>
      </c>
      <c r="BX90" s="3" t="s">
        <v>92</v>
      </c>
      <c r="BY90" s="3" t="s">
        <v>92</v>
      </c>
      <c r="BZ90" s="3" t="s">
        <v>92</v>
      </c>
      <c r="CA90" s="3" t="s">
        <v>92</v>
      </c>
      <c r="CB90" s="3" t="s">
        <v>92</v>
      </c>
      <c r="CC90" s="3" t="s">
        <v>92</v>
      </c>
      <c r="CD90" s="3" t="s">
        <v>92</v>
      </c>
      <c r="CF90" s="16" t="s">
        <v>147</v>
      </c>
    </row>
    <row r="91" spans="1:85" s="29" customFormat="1" x14ac:dyDescent="0.15">
      <c r="A91" s="29" t="s">
        <v>90</v>
      </c>
      <c r="B91" s="29" t="s">
        <v>149</v>
      </c>
      <c r="C91" s="29" t="s">
        <v>92</v>
      </c>
      <c r="D91" s="29" t="s">
        <v>92</v>
      </c>
      <c r="E91" s="29" t="s">
        <v>150</v>
      </c>
      <c r="F91" s="29">
        <v>0.02</v>
      </c>
      <c r="G91" s="29" t="s">
        <v>92</v>
      </c>
      <c r="H91" s="29">
        <v>500</v>
      </c>
      <c r="I91" s="29" t="s">
        <v>92</v>
      </c>
      <c r="J91" s="29">
        <v>1.5</v>
      </c>
      <c r="M91" s="29">
        <v>0.75</v>
      </c>
      <c r="N91" s="29" t="s">
        <v>92</v>
      </c>
      <c r="O91" s="29" t="s">
        <v>92</v>
      </c>
      <c r="S91" s="56">
        <v>9.1</v>
      </c>
      <c r="W91" s="56">
        <v>73.400000000000006</v>
      </c>
      <c r="AA91" s="56" t="s">
        <v>92</v>
      </c>
      <c r="AE91" s="56">
        <v>0.5</v>
      </c>
      <c r="AI91" s="56">
        <v>49.33</v>
      </c>
      <c r="AM91" s="56">
        <v>6.06</v>
      </c>
      <c r="AQ91" s="56">
        <v>0.04</v>
      </c>
      <c r="AU91" s="56">
        <v>44.57</v>
      </c>
      <c r="AV91" s="56">
        <v>19.8</v>
      </c>
      <c r="AZ91" s="29">
        <f t="shared" si="11"/>
        <v>99.899999999999991</v>
      </c>
      <c r="BA91" s="29">
        <f t="shared" si="8"/>
        <v>0.10000000000000853</v>
      </c>
      <c r="BB91" s="29">
        <v>75.3</v>
      </c>
      <c r="BC91" s="29">
        <v>17.3</v>
      </c>
      <c r="BD91" s="29">
        <v>7.3</v>
      </c>
      <c r="BE91" s="29" t="s">
        <v>96</v>
      </c>
      <c r="BF91" s="29">
        <f t="shared" si="9"/>
        <v>75.400000000000006</v>
      </c>
      <c r="BH91" s="29">
        <f t="shared" si="10"/>
        <v>16.489999999999998</v>
      </c>
      <c r="BI91" s="29">
        <v>0</v>
      </c>
      <c r="BJ91" s="29">
        <v>0</v>
      </c>
      <c r="BK91" s="29">
        <v>16.489999999999998</v>
      </c>
      <c r="BL91" s="29">
        <v>6.37</v>
      </c>
      <c r="BM91" s="29">
        <v>3.32</v>
      </c>
      <c r="BN91" s="29">
        <v>1.93</v>
      </c>
      <c r="BO91" s="29">
        <v>2</v>
      </c>
      <c r="BP91" s="29" t="s">
        <v>92</v>
      </c>
      <c r="BQ91" s="29" t="s">
        <v>92</v>
      </c>
      <c r="BR91" s="29" t="s">
        <v>92</v>
      </c>
      <c r="BS91" s="29" t="s">
        <v>92</v>
      </c>
      <c r="BT91" s="29">
        <v>4.46</v>
      </c>
      <c r="BU91" s="29" t="s">
        <v>92</v>
      </c>
      <c r="BV91" s="29">
        <v>2.73</v>
      </c>
      <c r="BW91" s="29" t="s">
        <v>92</v>
      </c>
      <c r="BX91" s="29" t="s">
        <v>92</v>
      </c>
      <c r="BY91" s="29" t="s">
        <v>92</v>
      </c>
      <c r="BZ91" s="29" t="s">
        <v>92</v>
      </c>
      <c r="CA91" s="29">
        <v>25.36</v>
      </c>
      <c r="CB91" s="29" t="s">
        <v>92</v>
      </c>
      <c r="CC91" s="29" t="s">
        <v>92</v>
      </c>
      <c r="CD91" s="29" t="s">
        <v>92</v>
      </c>
      <c r="CF91" s="29" t="s">
        <v>151</v>
      </c>
    </row>
    <row r="92" spans="1:85" s="30" customFormat="1" x14ac:dyDescent="0.15">
      <c r="A92" s="30" t="s">
        <v>90</v>
      </c>
      <c r="B92" s="30" t="s">
        <v>152</v>
      </c>
      <c r="C92" s="30" t="s">
        <v>92</v>
      </c>
      <c r="D92" s="30" t="s">
        <v>92</v>
      </c>
      <c r="E92" s="30" t="s">
        <v>93</v>
      </c>
      <c r="F92" s="30">
        <v>0.05</v>
      </c>
      <c r="G92" s="30" t="s">
        <v>92</v>
      </c>
      <c r="H92" s="30">
        <v>600</v>
      </c>
      <c r="I92" s="30" t="s">
        <v>92</v>
      </c>
      <c r="J92" s="30">
        <v>0.1</v>
      </c>
      <c r="M92" s="30" t="s">
        <v>92</v>
      </c>
      <c r="N92" s="30" t="s">
        <v>92</v>
      </c>
      <c r="O92" s="30" t="s">
        <v>92</v>
      </c>
      <c r="S92" s="57">
        <v>7.05</v>
      </c>
      <c r="W92" s="57">
        <v>81.400000000000006</v>
      </c>
      <c r="AA92" s="57">
        <v>0.3</v>
      </c>
      <c r="AE92" s="57">
        <v>3.34</v>
      </c>
      <c r="AI92" s="57">
        <v>46.2</v>
      </c>
      <c r="AM92" s="57">
        <v>5.63</v>
      </c>
      <c r="AQ92" s="57">
        <v>0.43</v>
      </c>
      <c r="AU92" s="57">
        <v>47.44</v>
      </c>
      <c r="AV92" s="57" t="s">
        <v>92</v>
      </c>
      <c r="AZ92" s="30">
        <f t="shared" si="11"/>
        <v>99.699999999999989</v>
      </c>
      <c r="BA92" s="30">
        <f t="shared" si="8"/>
        <v>0.30000000000001137</v>
      </c>
      <c r="BB92" s="30">
        <v>56.9</v>
      </c>
      <c r="BC92" s="30">
        <v>20.2</v>
      </c>
      <c r="BD92" s="30">
        <v>22.6</v>
      </c>
      <c r="BE92" s="30" t="s">
        <v>96</v>
      </c>
      <c r="BF92" s="30">
        <f t="shared" si="9"/>
        <v>57.20000000000001</v>
      </c>
      <c r="BH92" s="30">
        <f>BI92+BJ92+BK92</f>
        <v>12.688700000000001</v>
      </c>
      <c r="BI92" s="30">
        <v>0</v>
      </c>
      <c r="BJ92" s="30">
        <v>0</v>
      </c>
      <c r="BK92" s="30">
        <f>22.3*BB92/100</f>
        <v>12.688700000000001</v>
      </c>
      <c r="BL92" s="30">
        <f>6.6*BB92/100</f>
        <v>3.7553999999999998</v>
      </c>
      <c r="BM92" s="30">
        <f>1.8*BB92/100</f>
        <v>1.0242</v>
      </c>
      <c r="BN92" s="30">
        <f>15*BB92/100</f>
        <v>8.5350000000000001</v>
      </c>
      <c r="BO92" s="30">
        <f>2.52*BB92/100</f>
        <v>1.43388</v>
      </c>
      <c r="BP92" s="30" t="s">
        <v>92</v>
      </c>
      <c r="BQ92" s="30" t="s">
        <v>92</v>
      </c>
      <c r="BR92" s="30">
        <f>13.7*BB92/100</f>
        <v>7.7953000000000001</v>
      </c>
      <c r="BS92" s="30" t="s">
        <v>92</v>
      </c>
      <c r="BT92" s="30">
        <f>9.08*BB92/100</f>
        <v>5.1665200000000002</v>
      </c>
      <c r="BU92" s="30" t="s">
        <v>92</v>
      </c>
      <c r="BV92" s="30">
        <f>14*BB92/100</f>
        <v>7.9660000000000002</v>
      </c>
      <c r="BW92" s="30" t="s">
        <v>92</v>
      </c>
      <c r="BX92" s="30" t="s">
        <v>92</v>
      </c>
      <c r="BY92" s="30" t="s">
        <v>92</v>
      </c>
      <c r="BZ92" s="30" t="s">
        <v>92</v>
      </c>
      <c r="CA92" s="30" t="s">
        <v>92</v>
      </c>
      <c r="CB92" s="30" t="s">
        <v>92</v>
      </c>
      <c r="CC92" s="30" t="s">
        <v>92</v>
      </c>
      <c r="CD92" s="30">
        <f>21.2*BB92/100</f>
        <v>12.062799999999999</v>
      </c>
      <c r="CF92" s="30" t="s">
        <v>153</v>
      </c>
    </row>
    <row r="93" spans="1:85" s="3" customFormat="1" x14ac:dyDescent="0.15">
      <c r="A93" s="3" t="s">
        <v>90</v>
      </c>
      <c r="B93" s="3" t="s">
        <v>152</v>
      </c>
      <c r="C93" s="3" t="s">
        <v>92</v>
      </c>
      <c r="D93" s="3" t="s">
        <v>92</v>
      </c>
      <c r="E93" s="3" t="s">
        <v>93</v>
      </c>
      <c r="F93" s="3">
        <v>0.05</v>
      </c>
      <c r="G93" s="3" t="s">
        <v>92</v>
      </c>
      <c r="H93" s="3">
        <v>700</v>
      </c>
      <c r="I93" s="3" t="s">
        <v>92</v>
      </c>
      <c r="J93" s="3">
        <v>0.1</v>
      </c>
      <c r="M93" s="3" t="s">
        <v>92</v>
      </c>
      <c r="N93" s="3" t="s">
        <v>92</v>
      </c>
      <c r="O93" s="3" t="s">
        <v>92</v>
      </c>
      <c r="S93" s="56">
        <v>7.05</v>
      </c>
      <c r="W93" s="56">
        <v>81.400000000000006</v>
      </c>
      <c r="AA93" s="56">
        <v>0.3</v>
      </c>
      <c r="AE93" s="56">
        <v>3.34</v>
      </c>
      <c r="AI93" s="56">
        <v>46.2</v>
      </c>
      <c r="AM93" s="56">
        <v>5.63</v>
      </c>
      <c r="AQ93" s="56">
        <v>0.43</v>
      </c>
      <c r="AU93" s="56">
        <v>47.44</v>
      </c>
      <c r="AV93" s="56" t="s">
        <v>92</v>
      </c>
      <c r="AZ93" s="3">
        <f t="shared" si="11"/>
        <v>100</v>
      </c>
      <c r="BA93" s="3">
        <f t="shared" si="8"/>
        <v>0</v>
      </c>
      <c r="BB93" s="3">
        <v>50.5</v>
      </c>
      <c r="BC93" s="3">
        <v>17.8</v>
      </c>
      <c r="BD93" s="3">
        <v>31.7</v>
      </c>
      <c r="BE93" s="3" t="s">
        <v>96</v>
      </c>
      <c r="BF93" s="3">
        <f t="shared" si="9"/>
        <v>50.5</v>
      </c>
      <c r="BH93" s="3">
        <f>BI93+BJ93+BK93</f>
        <v>11.210999999999999</v>
      </c>
      <c r="BI93" s="3">
        <v>0</v>
      </c>
      <c r="BJ93" s="3">
        <v>0</v>
      </c>
      <c r="BK93" s="3">
        <f>22.2*BB93/100</f>
        <v>11.210999999999999</v>
      </c>
      <c r="BL93" s="3">
        <f>5.41*BB93/100</f>
        <v>2.7320499999999996</v>
      </c>
      <c r="BM93" s="3">
        <f>1.83*BB93/100</f>
        <v>0.92415000000000003</v>
      </c>
      <c r="BN93" s="3">
        <f>6.32*BB93/100</f>
        <v>3.1916000000000002</v>
      </c>
      <c r="BO93" s="3">
        <f>3.56*BB93/100</f>
        <v>1.7978000000000001</v>
      </c>
      <c r="BP93" s="3" t="s">
        <v>92</v>
      </c>
      <c r="BQ93" s="3" t="s">
        <v>92</v>
      </c>
      <c r="BR93" s="3">
        <f>34.2*BB93/100</f>
        <v>17.271000000000001</v>
      </c>
      <c r="BS93" s="3" t="s">
        <v>92</v>
      </c>
      <c r="BT93" s="3">
        <f>6.67*BB93/100</f>
        <v>3.36835</v>
      </c>
      <c r="BU93" s="3" t="s">
        <v>92</v>
      </c>
      <c r="BV93" s="3">
        <f>4.06*BB93/100</f>
        <v>2.0502999999999996</v>
      </c>
      <c r="BW93" s="3" t="s">
        <v>92</v>
      </c>
      <c r="BX93" s="3" t="s">
        <v>92</v>
      </c>
      <c r="BY93" s="3" t="s">
        <v>92</v>
      </c>
      <c r="BZ93" s="3" t="s">
        <v>92</v>
      </c>
      <c r="CA93" s="3" t="s">
        <v>92</v>
      </c>
      <c r="CB93" s="3" t="s">
        <v>92</v>
      </c>
      <c r="CC93" s="3" t="s">
        <v>92</v>
      </c>
      <c r="CD93" s="3">
        <f>12.8*BB93/100</f>
        <v>6.4640000000000013</v>
      </c>
      <c r="CF93" s="3" t="s">
        <v>153</v>
      </c>
      <c r="CG93" s="3" t="s">
        <v>154</v>
      </c>
    </row>
    <row r="94" spans="1:85" s="3" customFormat="1" x14ac:dyDescent="0.15">
      <c r="A94" s="3" t="s">
        <v>90</v>
      </c>
      <c r="B94" s="3" t="s">
        <v>152</v>
      </c>
      <c r="C94" s="3" t="s">
        <v>92</v>
      </c>
      <c r="D94" s="3" t="s">
        <v>92</v>
      </c>
      <c r="E94" s="3" t="s">
        <v>93</v>
      </c>
      <c r="F94" s="3">
        <v>0.05</v>
      </c>
      <c r="G94" s="3" t="s">
        <v>92</v>
      </c>
      <c r="H94" s="3">
        <v>800</v>
      </c>
      <c r="I94" s="3" t="s">
        <v>92</v>
      </c>
      <c r="J94" s="3">
        <v>0.1</v>
      </c>
      <c r="M94" s="3" t="s">
        <v>92</v>
      </c>
      <c r="N94" s="3" t="s">
        <v>92</v>
      </c>
      <c r="O94" s="3" t="s">
        <v>92</v>
      </c>
      <c r="S94" s="56">
        <v>7.05</v>
      </c>
      <c r="W94" s="56">
        <v>81.400000000000006</v>
      </c>
      <c r="AA94" s="56">
        <v>0.3</v>
      </c>
      <c r="AE94" s="56">
        <v>3.34</v>
      </c>
      <c r="AI94" s="56">
        <v>46.2</v>
      </c>
      <c r="AM94" s="56">
        <v>5.63</v>
      </c>
      <c r="AQ94" s="56">
        <v>0.43</v>
      </c>
      <c r="AU94" s="56">
        <v>47.44</v>
      </c>
      <c r="AV94" s="56" t="s">
        <v>92</v>
      </c>
      <c r="AZ94" s="3">
        <f t="shared" si="11"/>
        <v>100.2</v>
      </c>
      <c r="BA94" s="3">
        <f t="shared" si="8"/>
        <v>-0.20000000000000284</v>
      </c>
      <c r="BB94" s="3">
        <v>45.8</v>
      </c>
      <c r="BC94" s="3">
        <v>17.2</v>
      </c>
      <c r="BD94" s="3">
        <v>37.200000000000003</v>
      </c>
      <c r="BE94" s="3" t="s">
        <v>96</v>
      </c>
      <c r="BF94" s="3">
        <f t="shared" si="9"/>
        <v>45.599999999999994</v>
      </c>
      <c r="BH94" s="3">
        <f t="shared" si="10"/>
        <v>6.87</v>
      </c>
      <c r="BI94" s="3">
        <v>0</v>
      </c>
      <c r="BJ94" s="3">
        <v>0</v>
      </c>
      <c r="BK94" s="3">
        <f>15*BB94/100</f>
        <v>6.87</v>
      </c>
      <c r="BL94" s="3">
        <f>1.38*BB94/100</f>
        <v>0.63203999999999994</v>
      </c>
      <c r="BM94" s="3">
        <f>5.31*BB94/100</f>
        <v>2.4319799999999998</v>
      </c>
      <c r="BN94" s="3">
        <f>4.94*BB94/100</f>
        <v>2.2625200000000003</v>
      </c>
      <c r="BO94" s="3">
        <f>0.737*BB94/100</f>
        <v>0.33754599999999996</v>
      </c>
      <c r="BP94" s="3" t="s">
        <v>92</v>
      </c>
      <c r="BQ94" s="3" t="s">
        <v>92</v>
      </c>
      <c r="BR94" s="3">
        <f>56.7*BB94/100</f>
        <v>25.968600000000002</v>
      </c>
      <c r="BS94" s="3" t="s">
        <v>92</v>
      </c>
      <c r="BT94" s="3">
        <f>8.24*BB94/100</f>
        <v>3.7739199999999999</v>
      </c>
      <c r="BU94" s="3" t="s">
        <v>92</v>
      </c>
      <c r="BV94" s="3">
        <f>0.642*BB94/100</f>
        <v>0.29403599999999996</v>
      </c>
      <c r="BW94" s="3" t="s">
        <v>92</v>
      </c>
      <c r="BX94" s="3" t="s">
        <v>92</v>
      </c>
      <c r="BY94" s="3" t="s">
        <v>92</v>
      </c>
      <c r="BZ94" s="3" t="s">
        <v>92</v>
      </c>
      <c r="CA94" s="3" t="s">
        <v>92</v>
      </c>
      <c r="CB94" s="3" t="s">
        <v>92</v>
      </c>
      <c r="CC94" s="3" t="s">
        <v>92</v>
      </c>
      <c r="CD94" s="3">
        <f>7.04*BB94/100</f>
        <v>3.2243199999999996</v>
      </c>
      <c r="CF94" s="3" t="s">
        <v>153</v>
      </c>
    </row>
    <row r="95" spans="1:85" s="3" customFormat="1" x14ac:dyDescent="0.15">
      <c r="A95" s="3" t="s">
        <v>90</v>
      </c>
      <c r="B95" s="3" t="s">
        <v>152</v>
      </c>
      <c r="C95" s="3" t="s">
        <v>92</v>
      </c>
      <c r="D95" s="3" t="s">
        <v>92</v>
      </c>
      <c r="E95" s="3" t="s">
        <v>93</v>
      </c>
      <c r="F95" s="3">
        <v>0.05</v>
      </c>
      <c r="G95" s="3" t="s">
        <v>92</v>
      </c>
      <c r="H95" s="3">
        <v>900</v>
      </c>
      <c r="I95" s="3" t="s">
        <v>92</v>
      </c>
      <c r="J95" s="3">
        <v>0.1</v>
      </c>
      <c r="M95" s="3" t="s">
        <v>92</v>
      </c>
      <c r="N95" s="3" t="s">
        <v>92</v>
      </c>
      <c r="O95" s="3" t="s">
        <v>92</v>
      </c>
      <c r="S95" s="56">
        <v>7.05</v>
      </c>
      <c r="W95" s="56">
        <v>81.400000000000006</v>
      </c>
      <c r="AA95" s="56">
        <v>0.3</v>
      </c>
      <c r="AE95" s="56">
        <v>3.34</v>
      </c>
      <c r="AI95" s="56">
        <v>46.2</v>
      </c>
      <c r="AM95" s="56">
        <v>5.63</v>
      </c>
      <c r="AQ95" s="56">
        <v>0.43</v>
      </c>
      <c r="AU95" s="56">
        <v>47.44</v>
      </c>
      <c r="AV95" s="56" t="s">
        <v>92</v>
      </c>
      <c r="AZ95" s="3">
        <f t="shared" si="11"/>
        <v>99.699999999999989</v>
      </c>
      <c r="BA95" s="3">
        <f t="shared" si="8"/>
        <v>0.30000000000001137</v>
      </c>
      <c r="BB95" s="3">
        <v>40.5</v>
      </c>
      <c r="BC95" s="3">
        <v>16.3</v>
      </c>
      <c r="BD95" s="3">
        <v>42.9</v>
      </c>
      <c r="BE95" s="3" t="s">
        <v>96</v>
      </c>
      <c r="BF95" s="3">
        <f t="shared" si="9"/>
        <v>40.800000000000011</v>
      </c>
      <c r="BH95" s="3">
        <f>BI95+BJ95+BK95</f>
        <v>4.3334999999999999</v>
      </c>
      <c r="BI95" s="3">
        <v>0</v>
      </c>
      <c r="BJ95" s="3">
        <v>0</v>
      </c>
      <c r="BK95" s="3">
        <f>10.7*BB95/100</f>
        <v>4.3334999999999999</v>
      </c>
      <c r="BL95" s="3">
        <f>1.26*BB95/100</f>
        <v>0.51029999999999998</v>
      </c>
      <c r="BM95" s="3">
        <f>5.72*BB95/100</f>
        <v>2.3165999999999998</v>
      </c>
      <c r="BN95" s="3">
        <f>1.08*BB95/100</f>
        <v>0.43740000000000001</v>
      </c>
      <c r="BO95" s="3">
        <f>1.08*BB95/100</f>
        <v>0.43740000000000001</v>
      </c>
      <c r="BP95" s="3" t="s">
        <v>92</v>
      </c>
      <c r="BQ95" s="3" t="s">
        <v>92</v>
      </c>
      <c r="BR95" s="3">
        <f>65.9*BB95/100</f>
        <v>26.689500000000002</v>
      </c>
      <c r="BS95" s="3" t="s">
        <v>92</v>
      </c>
      <c r="BT95" s="3">
        <f>3.16*BB95/100</f>
        <v>1.2798</v>
      </c>
      <c r="BU95" s="3" t="s">
        <v>92</v>
      </c>
      <c r="BV95" s="3">
        <v>0</v>
      </c>
      <c r="BW95" s="3" t="s">
        <v>92</v>
      </c>
      <c r="BX95" s="3" t="s">
        <v>92</v>
      </c>
      <c r="BY95" s="3" t="s">
        <v>92</v>
      </c>
      <c r="BZ95" s="3" t="s">
        <v>92</v>
      </c>
      <c r="CA95" s="3" t="s">
        <v>92</v>
      </c>
      <c r="CB95" s="3" t="s">
        <v>92</v>
      </c>
      <c r="CC95" s="3" t="s">
        <v>92</v>
      </c>
      <c r="CD95" s="3">
        <f>18.1*BB95/100</f>
        <v>7.3305000000000007</v>
      </c>
      <c r="CF95" s="3" t="s">
        <v>153</v>
      </c>
    </row>
    <row r="96" spans="1:85" s="29" customFormat="1" x14ac:dyDescent="0.15">
      <c r="A96" s="29" t="s">
        <v>90</v>
      </c>
      <c r="B96" s="29" t="s">
        <v>91</v>
      </c>
      <c r="C96" s="29">
        <v>416.2</v>
      </c>
      <c r="D96" s="29" t="s">
        <v>92</v>
      </c>
      <c r="E96" s="29" t="s">
        <v>93</v>
      </c>
      <c r="F96" s="29" t="s">
        <v>92</v>
      </c>
      <c r="G96" s="29" t="s">
        <v>92</v>
      </c>
      <c r="H96" s="29">
        <v>640</v>
      </c>
      <c r="I96" s="29" t="s">
        <v>92</v>
      </c>
      <c r="J96" s="29">
        <v>0.25</v>
      </c>
      <c r="K96" s="29" t="s">
        <v>112</v>
      </c>
      <c r="L96" s="29">
        <f>(0.25+0.27)/2</f>
        <v>0.26</v>
      </c>
      <c r="M96" s="29">
        <v>1.6</v>
      </c>
      <c r="N96" s="29" t="s">
        <v>92</v>
      </c>
      <c r="O96" s="29" t="s">
        <v>92</v>
      </c>
      <c r="S96" s="56">
        <v>5.47</v>
      </c>
      <c r="W96" s="56">
        <v>82.94</v>
      </c>
      <c r="AA96" s="56">
        <v>0</v>
      </c>
      <c r="AE96" s="56">
        <v>1.08</v>
      </c>
      <c r="AI96" s="56">
        <v>51.87</v>
      </c>
      <c r="AM96" s="56">
        <v>6.49</v>
      </c>
      <c r="AQ96" s="56">
        <v>7.0000000000000007E-2</v>
      </c>
      <c r="AU96" s="56">
        <v>40.479999999999997</v>
      </c>
      <c r="AV96" s="56">
        <v>18.2</v>
      </c>
      <c r="AZ96" s="29">
        <f t="shared" si="11"/>
        <v>100</v>
      </c>
      <c r="BA96" s="29">
        <f t="shared" si="8"/>
        <v>0</v>
      </c>
      <c r="BB96" s="29">
        <f>46.5+6.6</f>
        <v>53.1</v>
      </c>
      <c r="BC96" s="29">
        <f>100-(BD96+BB96)</f>
        <v>7.7999999999999972</v>
      </c>
      <c r="BD96" s="29">
        <v>39.1</v>
      </c>
      <c r="BE96" s="29" t="s">
        <v>96</v>
      </c>
      <c r="BF96" s="29">
        <f t="shared" si="9"/>
        <v>53.1</v>
      </c>
      <c r="BH96" s="29">
        <f t="shared" si="10"/>
        <v>11.600000000000001</v>
      </c>
      <c r="BI96" s="29">
        <v>0</v>
      </c>
      <c r="BJ96" s="29">
        <v>4.4000000000000004</v>
      </c>
      <c r="BK96" s="29">
        <f>3.2+4</f>
        <v>7.2</v>
      </c>
      <c r="BL96" s="29">
        <v>0</v>
      </c>
      <c r="BM96" s="29">
        <f>1.8+0.4</f>
        <v>2.2000000000000002</v>
      </c>
      <c r="BN96" s="29">
        <v>0.1</v>
      </c>
      <c r="BO96" s="29">
        <v>6.4</v>
      </c>
      <c r="BP96" s="29">
        <v>0</v>
      </c>
      <c r="BQ96" s="29" t="s">
        <v>92</v>
      </c>
      <c r="BR96" s="29">
        <v>5.6</v>
      </c>
      <c r="BS96" s="29" t="s">
        <v>92</v>
      </c>
      <c r="BT96" s="29" t="s">
        <v>92</v>
      </c>
      <c r="BU96" s="29" t="s">
        <v>92</v>
      </c>
      <c r="BV96" s="29">
        <v>12.1</v>
      </c>
      <c r="BW96" s="29" t="s">
        <v>92</v>
      </c>
      <c r="BX96" s="29" t="s">
        <v>92</v>
      </c>
      <c r="BY96" s="29" t="s">
        <v>92</v>
      </c>
      <c r="BZ96" s="29" t="s">
        <v>92</v>
      </c>
      <c r="CA96" s="29" t="s">
        <v>92</v>
      </c>
      <c r="CB96" s="29" t="s">
        <v>92</v>
      </c>
      <c r="CC96" s="29" t="s">
        <v>92</v>
      </c>
      <c r="CD96" s="29">
        <f>3.8+1.6</f>
        <v>5.4</v>
      </c>
      <c r="CF96" s="29" t="s">
        <v>155</v>
      </c>
    </row>
    <row r="97" spans="1:85" s="3" customFormat="1" x14ac:dyDescent="0.15">
      <c r="A97" s="3" t="s">
        <v>90</v>
      </c>
      <c r="B97" s="3" t="s">
        <v>91</v>
      </c>
      <c r="C97" s="3">
        <v>416.2</v>
      </c>
      <c r="D97" s="3" t="s">
        <v>92</v>
      </c>
      <c r="E97" s="3" t="s">
        <v>93</v>
      </c>
      <c r="F97" s="3" t="s">
        <v>92</v>
      </c>
      <c r="G97" s="3" t="s">
        <v>92</v>
      </c>
      <c r="H97" s="3">
        <v>685</v>
      </c>
      <c r="I97" s="3" t="s">
        <v>92</v>
      </c>
      <c r="J97" s="3">
        <v>0.25</v>
      </c>
      <c r="K97" s="3" t="s">
        <v>112</v>
      </c>
      <c r="L97" s="3">
        <v>0.26</v>
      </c>
      <c r="M97" s="3">
        <v>1.6</v>
      </c>
      <c r="N97" s="3" t="s">
        <v>92</v>
      </c>
      <c r="O97" s="3" t="s">
        <v>92</v>
      </c>
      <c r="S97" s="56">
        <v>5.47</v>
      </c>
      <c r="W97" s="56">
        <v>82.94</v>
      </c>
      <c r="AA97" s="56">
        <v>0</v>
      </c>
      <c r="AE97" s="56">
        <v>1.08</v>
      </c>
      <c r="AI97" s="56">
        <v>51.87</v>
      </c>
      <c r="AM97" s="56">
        <v>6.49</v>
      </c>
      <c r="AQ97" s="56">
        <v>7.0000000000000007E-2</v>
      </c>
      <c r="AU97" s="56">
        <v>40.479999999999997</v>
      </c>
      <c r="AV97" s="56">
        <v>18.2</v>
      </c>
      <c r="AZ97" s="3">
        <f t="shared" si="11"/>
        <v>100</v>
      </c>
      <c r="BA97" s="3">
        <f t="shared" si="8"/>
        <v>0</v>
      </c>
      <c r="BB97" s="3">
        <f>25.2+5.9</f>
        <v>31.1</v>
      </c>
      <c r="BC97" s="3">
        <f>100-(BB97+BD97)</f>
        <v>13</v>
      </c>
      <c r="BD97" s="3">
        <v>55.9</v>
      </c>
      <c r="BE97" s="3" t="s">
        <v>96</v>
      </c>
      <c r="BF97" s="3">
        <f t="shared" si="9"/>
        <v>31.1</v>
      </c>
      <c r="BH97" s="11">
        <f t="shared" si="10"/>
        <v>7.4</v>
      </c>
      <c r="BI97" s="3">
        <v>0</v>
      </c>
      <c r="BJ97" s="3">
        <v>2</v>
      </c>
      <c r="BK97" s="3">
        <f>3.3+2.1</f>
        <v>5.4</v>
      </c>
      <c r="BL97" s="11">
        <v>0</v>
      </c>
      <c r="BM97" s="3">
        <f>0.5+0.3</f>
        <v>0.8</v>
      </c>
      <c r="BN97" s="11">
        <v>0.1</v>
      </c>
      <c r="BO97" s="11">
        <f>0.4+4.1</f>
        <v>4.5</v>
      </c>
      <c r="BP97" s="3">
        <v>0</v>
      </c>
      <c r="BQ97" s="3" t="s">
        <v>92</v>
      </c>
      <c r="BR97" s="3">
        <v>5.4</v>
      </c>
      <c r="BS97" s="3" t="s">
        <v>92</v>
      </c>
      <c r="BT97" s="3" t="s">
        <v>92</v>
      </c>
      <c r="BU97" s="3" t="s">
        <v>92</v>
      </c>
      <c r="BV97" s="3">
        <v>4.5</v>
      </c>
      <c r="BW97" s="3" t="s">
        <v>92</v>
      </c>
      <c r="BX97" s="3" t="s">
        <v>92</v>
      </c>
      <c r="BY97" s="3" t="s">
        <v>92</v>
      </c>
      <c r="BZ97" s="3" t="s">
        <v>92</v>
      </c>
      <c r="CA97" s="3" t="s">
        <v>92</v>
      </c>
      <c r="CB97" s="3" t="s">
        <v>92</v>
      </c>
      <c r="CC97" s="3" t="s">
        <v>92</v>
      </c>
      <c r="CD97" s="3">
        <f>0.1+2.2</f>
        <v>2.3000000000000003</v>
      </c>
      <c r="CF97" s="16" t="s">
        <v>155</v>
      </c>
    </row>
    <row r="98" spans="1:85" s="3" customFormat="1" x14ac:dyDescent="0.15">
      <c r="A98" s="3" t="s">
        <v>90</v>
      </c>
      <c r="B98" s="3" t="s">
        <v>91</v>
      </c>
      <c r="C98" s="3">
        <v>416.2</v>
      </c>
      <c r="D98" s="3" t="s">
        <v>92</v>
      </c>
      <c r="E98" s="3" t="s">
        <v>93</v>
      </c>
      <c r="F98" s="3" t="s">
        <v>92</v>
      </c>
      <c r="G98" s="3" t="s">
        <v>92</v>
      </c>
      <c r="H98" s="3">
        <v>730</v>
      </c>
      <c r="I98" s="3" t="s">
        <v>92</v>
      </c>
      <c r="J98" s="3">
        <v>0.25</v>
      </c>
      <c r="K98" s="3" t="s">
        <v>112</v>
      </c>
      <c r="L98" s="3">
        <v>1.26</v>
      </c>
      <c r="M98" s="3">
        <v>1.6</v>
      </c>
      <c r="N98" s="3" t="s">
        <v>92</v>
      </c>
      <c r="O98" s="3" t="s">
        <v>92</v>
      </c>
      <c r="S98" s="56">
        <v>5.47</v>
      </c>
      <c r="W98" s="56">
        <v>82.94</v>
      </c>
      <c r="AA98" s="56">
        <v>0</v>
      </c>
      <c r="AE98" s="56">
        <v>1.08</v>
      </c>
      <c r="AI98" s="56">
        <v>51.87</v>
      </c>
      <c r="AM98" s="56">
        <v>6.49</v>
      </c>
      <c r="AQ98" s="56">
        <v>7.0000000000000007E-2</v>
      </c>
      <c r="AU98" s="56">
        <v>40.479999999999997</v>
      </c>
      <c r="AV98" s="56">
        <v>18.2</v>
      </c>
      <c r="AZ98" s="3">
        <f t="shared" si="11"/>
        <v>100</v>
      </c>
      <c r="BA98" s="3">
        <f t="shared" si="8"/>
        <v>0</v>
      </c>
      <c r="BB98" s="3">
        <f>22+5.6</f>
        <v>27.6</v>
      </c>
      <c r="BC98" s="3">
        <f>100-(BB98+BD98)</f>
        <v>5.0999999999999943</v>
      </c>
      <c r="BD98" s="3">
        <v>67.3</v>
      </c>
      <c r="BE98" s="3" t="s">
        <v>96</v>
      </c>
      <c r="BF98" s="3">
        <f t="shared" si="9"/>
        <v>27.6</v>
      </c>
      <c r="BH98" s="3">
        <f t="shared" si="10"/>
        <v>6.6</v>
      </c>
      <c r="BI98" s="3">
        <v>0</v>
      </c>
      <c r="BJ98" s="3">
        <v>1</v>
      </c>
      <c r="BK98" s="3">
        <f>2.5+3.1</f>
        <v>5.6</v>
      </c>
      <c r="BL98" s="3">
        <v>0.4</v>
      </c>
      <c r="BM98" s="3">
        <f>0.1+0.6</f>
        <v>0.7</v>
      </c>
      <c r="BN98" s="3">
        <v>0.1</v>
      </c>
      <c r="BO98" s="3">
        <f>0.1+1.5</f>
        <v>1.6</v>
      </c>
      <c r="BP98" s="3">
        <v>0.1</v>
      </c>
      <c r="BQ98" s="3" t="s">
        <v>92</v>
      </c>
      <c r="BR98" s="3">
        <v>6.7</v>
      </c>
      <c r="BS98" s="3" t="s">
        <v>92</v>
      </c>
      <c r="BT98" s="3" t="s">
        <v>92</v>
      </c>
      <c r="BU98" s="3" t="s">
        <v>92</v>
      </c>
      <c r="BV98" s="3">
        <v>2</v>
      </c>
      <c r="BW98" s="3" t="s">
        <v>92</v>
      </c>
      <c r="BX98" s="3" t="s">
        <v>92</v>
      </c>
      <c r="BY98" s="3" t="s">
        <v>92</v>
      </c>
      <c r="BZ98" s="3" t="s">
        <v>92</v>
      </c>
      <c r="CA98" s="3" t="s">
        <v>92</v>
      </c>
      <c r="CB98" s="3" t="s">
        <v>92</v>
      </c>
      <c r="CC98" s="3" t="s">
        <v>92</v>
      </c>
      <c r="CD98" s="3">
        <f>1.3+3.2</f>
        <v>4.5</v>
      </c>
      <c r="CF98" s="39" t="s">
        <v>155</v>
      </c>
    </row>
    <row r="99" spans="1:85" s="3" customFormat="1" x14ac:dyDescent="0.15">
      <c r="A99" s="3" t="s">
        <v>90</v>
      </c>
      <c r="B99" s="3" t="s">
        <v>91</v>
      </c>
      <c r="C99" s="3">
        <v>416.2</v>
      </c>
      <c r="D99" s="3" t="s">
        <v>92</v>
      </c>
      <c r="E99" s="3" t="s">
        <v>93</v>
      </c>
      <c r="F99" s="3" t="s">
        <v>92</v>
      </c>
      <c r="G99" s="3" t="s">
        <v>92</v>
      </c>
      <c r="H99" s="3">
        <v>780</v>
      </c>
      <c r="I99" s="3" t="s">
        <v>92</v>
      </c>
      <c r="J99" s="3">
        <v>0.25</v>
      </c>
      <c r="K99" s="3" t="s">
        <v>112</v>
      </c>
      <c r="L99" s="3">
        <v>2.2599999999999998</v>
      </c>
      <c r="M99" s="3">
        <v>1.6</v>
      </c>
      <c r="N99" s="3" t="s">
        <v>92</v>
      </c>
      <c r="O99" s="3" t="s">
        <v>92</v>
      </c>
      <c r="S99" s="56">
        <v>5.47</v>
      </c>
      <c r="W99" s="56">
        <v>82.94</v>
      </c>
      <c r="AA99" s="56">
        <v>0</v>
      </c>
      <c r="AE99" s="56">
        <v>1.08</v>
      </c>
      <c r="AI99" s="56">
        <v>51.87</v>
      </c>
      <c r="AM99" s="56">
        <v>6.49</v>
      </c>
      <c r="AQ99" s="56">
        <v>7.0000000000000007E-2</v>
      </c>
      <c r="AU99" s="56">
        <v>40.479999999999997</v>
      </c>
      <c r="AV99" s="56">
        <v>18.2</v>
      </c>
      <c r="AZ99" s="3">
        <f t="shared" si="11"/>
        <v>100</v>
      </c>
      <c r="BA99" s="3">
        <f t="shared" si="8"/>
        <v>0</v>
      </c>
      <c r="BB99" s="3">
        <f>16.9+4.3</f>
        <v>21.2</v>
      </c>
      <c r="BC99" s="3">
        <f>100-(BB99+BD99)</f>
        <v>8.8999999999999915</v>
      </c>
      <c r="BD99" s="3">
        <v>69.900000000000006</v>
      </c>
      <c r="BE99" s="3" t="s">
        <v>96</v>
      </c>
      <c r="BF99" s="3">
        <f t="shared" si="9"/>
        <v>21.2</v>
      </c>
      <c r="BH99" s="11">
        <f t="shared" si="10"/>
        <v>4.7</v>
      </c>
      <c r="BI99" s="3">
        <v>0</v>
      </c>
      <c r="BJ99" s="3">
        <v>0.4</v>
      </c>
      <c r="BK99" s="3">
        <f>3.3+1</f>
        <v>4.3</v>
      </c>
      <c r="BL99" s="11">
        <v>0.1</v>
      </c>
      <c r="BM99" s="3">
        <f>0.1+0.3</f>
        <v>0.4</v>
      </c>
      <c r="BN99" s="11">
        <v>0</v>
      </c>
      <c r="BO99" s="11">
        <v>0.2</v>
      </c>
      <c r="BP99" s="3">
        <v>0</v>
      </c>
      <c r="BQ99" s="3" t="s">
        <v>92</v>
      </c>
      <c r="BR99" s="3">
        <v>8.8000000000000007</v>
      </c>
      <c r="BS99" s="3" t="s">
        <v>92</v>
      </c>
      <c r="BT99" s="3" t="s">
        <v>92</v>
      </c>
      <c r="BU99" s="3" t="s">
        <v>92</v>
      </c>
      <c r="BV99" s="3">
        <v>1</v>
      </c>
      <c r="BW99" s="3" t="s">
        <v>92</v>
      </c>
      <c r="BX99" s="3" t="s">
        <v>92</v>
      </c>
      <c r="BY99" s="3" t="s">
        <v>92</v>
      </c>
      <c r="BZ99" s="3" t="s">
        <v>92</v>
      </c>
      <c r="CA99" s="3" t="s">
        <v>92</v>
      </c>
      <c r="CB99" s="3" t="s">
        <v>92</v>
      </c>
      <c r="CC99" s="3" t="s">
        <v>92</v>
      </c>
      <c r="CD99" s="3">
        <f>0.3+1.6</f>
        <v>1.9000000000000001</v>
      </c>
      <c r="CF99" s="16" t="s">
        <v>155</v>
      </c>
    </row>
    <row r="100" spans="1:85" s="3" customFormat="1" x14ac:dyDescent="0.15">
      <c r="A100" s="3" t="s">
        <v>90</v>
      </c>
      <c r="B100" s="3" t="s">
        <v>91</v>
      </c>
      <c r="C100" s="3">
        <v>416.2</v>
      </c>
      <c r="D100" s="3" t="s">
        <v>92</v>
      </c>
      <c r="E100" s="3" t="s">
        <v>93</v>
      </c>
      <c r="F100" s="3" t="s">
        <v>92</v>
      </c>
      <c r="G100" s="3" t="s">
        <v>92</v>
      </c>
      <c r="H100" s="3">
        <v>850</v>
      </c>
      <c r="I100" s="3" t="s">
        <v>92</v>
      </c>
      <c r="J100" s="3">
        <v>0.25</v>
      </c>
      <c r="K100" s="3" t="s">
        <v>112</v>
      </c>
      <c r="L100" s="3">
        <v>3.26</v>
      </c>
      <c r="M100" s="3">
        <v>1.6</v>
      </c>
      <c r="N100" s="3" t="s">
        <v>92</v>
      </c>
      <c r="O100" s="3" t="s">
        <v>92</v>
      </c>
      <c r="S100" s="56">
        <v>5.47</v>
      </c>
      <c r="W100" s="56">
        <v>82.94</v>
      </c>
      <c r="AA100" s="56">
        <v>0</v>
      </c>
      <c r="AE100" s="56">
        <v>1.08</v>
      </c>
      <c r="AI100" s="56">
        <v>51.87</v>
      </c>
      <c r="AM100" s="56">
        <v>6.49</v>
      </c>
      <c r="AQ100" s="56">
        <v>7.0000000000000007E-2</v>
      </c>
      <c r="AU100" s="56">
        <v>40.479999999999997</v>
      </c>
      <c r="AV100" s="56">
        <v>18.2</v>
      </c>
      <c r="AZ100" s="3">
        <f t="shared" si="11"/>
        <v>100</v>
      </c>
      <c r="BA100" s="3">
        <f t="shared" si="8"/>
        <v>0</v>
      </c>
      <c r="BB100" s="3">
        <f>12.5+2.7</f>
        <v>15.2</v>
      </c>
      <c r="BC100" s="3">
        <f>100-(BB100+BD100)</f>
        <v>6.5</v>
      </c>
      <c r="BD100" s="3">
        <v>78.3</v>
      </c>
      <c r="BE100" s="3" t="s">
        <v>96</v>
      </c>
      <c r="BF100" s="3">
        <f t="shared" si="9"/>
        <v>15.2</v>
      </c>
      <c r="BH100" s="11">
        <f t="shared" si="10"/>
        <v>1.6</v>
      </c>
      <c r="BI100" s="3">
        <v>0</v>
      </c>
      <c r="BJ100" s="3">
        <v>0</v>
      </c>
      <c r="BK100" s="3">
        <f>1.5+0.1</f>
        <v>1.6</v>
      </c>
      <c r="BL100" s="11">
        <v>0.2</v>
      </c>
      <c r="BM100" s="3">
        <v>0.2</v>
      </c>
      <c r="BN100" s="11">
        <v>0</v>
      </c>
      <c r="BO100" s="11">
        <v>0</v>
      </c>
      <c r="BP100" s="3">
        <v>0</v>
      </c>
      <c r="BQ100" s="3" t="s">
        <v>92</v>
      </c>
      <c r="BR100" s="3">
        <v>7.8</v>
      </c>
      <c r="BS100" s="3" t="s">
        <v>92</v>
      </c>
      <c r="BT100" s="3" t="s">
        <v>92</v>
      </c>
      <c r="BU100" s="3" t="s">
        <v>92</v>
      </c>
      <c r="BV100" s="3">
        <v>0.3</v>
      </c>
      <c r="BW100" s="3" t="s">
        <v>92</v>
      </c>
      <c r="BX100" s="3" t="s">
        <v>92</v>
      </c>
      <c r="BY100" s="3" t="s">
        <v>92</v>
      </c>
      <c r="BZ100" s="3" t="s">
        <v>92</v>
      </c>
      <c r="CA100" s="3" t="s">
        <v>92</v>
      </c>
      <c r="CB100" s="3" t="s">
        <v>92</v>
      </c>
      <c r="CC100" s="3" t="s">
        <v>92</v>
      </c>
      <c r="CD100" s="3">
        <f>0.4+1.2</f>
        <v>1.6</v>
      </c>
      <c r="CF100" s="16" t="s">
        <v>155</v>
      </c>
    </row>
    <row r="101" spans="1:85" s="29" customFormat="1" x14ac:dyDescent="0.15">
      <c r="A101" s="29" t="s">
        <v>117</v>
      </c>
      <c r="B101" s="29" t="s">
        <v>100</v>
      </c>
      <c r="C101" s="29" t="s">
        <v>92</v>
      </c>
      <c r="D101" s="29">
        <v>648</v>
      </c>
      <c r="E101" s="29" t="s">
        <v>93</v>
      </c>
      <c r="F101" s="29">
        <v>2</v>
      </c>
      <c r="G101" s="29">
        <f>((D101/1000)/(F101))*60</f>
        <v>19.440000000000001</v>
      </c>
      <c r="H101" s="29">
        <f>673-273</f>
        <v>400</v>
      </c>
      <c r="I101" s="29" t="s">
        <v>92</v>
      </c>
      <c r="J101" s="29">
        <v>0.1</v>
      </c>
      <c r="M101" s="29">
        <v>8.0000000000000002E-3</v>
      </c>
      <c r="N101" s="29" t="s">
        <v>92</v>
      </c>
      <c r="O101" s="29" t="s">
        <v>92</v>
      </c>
      <c r="S101" s="56">
        <v>7.8</v>
      </c>
      <c r="W101" s="56">
        <v>82.5</v>
      </c>
      <c r="AA101" s="56">
        <v>0.01</v>
      </c>
      <c r="AE101" s="56">
        <v>0.4</v>
      </c>
      <c r="AI101" s="56">
        <v>50.4</v>
      </c>
      <c r="AM101" s="56">
        <v>5.49</v>
      </c>
      <c r="AQ101" s="56">
        <v>0.02</v>
      </c>
      <c r="AU101" s="56">
        <v>44.08</v>
      </c>
      <c r="AV101" s="56" t="s">
        <v>92</v>
      </c>
      <c r="AZ101" s="29">
        <f t="shared" si="11"/>
        <v>97.9</v>
      </c>
      <c r="BA101" s="29">
        <f t="shared" si="8"/>
        <v>2.0999999999999943</v>
      </c>
      <c r="BB101" s="29">
        <v>57.6</v>
      </c>
      <c r="BC101" s="29">
        <v>29.4</v>
      </c>
      <c r="BD101" s="29">
        <v>10.9</v>
      </c>
      <c r="BE101" s="29" t="s">
        <v>96</v>
      </c>
      <c r="BF101" s="29">
        <f t="shared" si="9"/>
        <v>59.699999999999996</v>
      </c>
      <c r="BH101" s="29">
        <f t="shared" si="10"/>
        <v>0</v>
      </c>
      <c r="BI101" s="29">
        <v>0</v>
      </c>
      <c r="BJ101" s="29">
        <v>0</v>
      </c>
      <c r="BK101" s="29">
        <v>0</v>
      </c>
      <c r="BL101" s="29" t="s">
        <v>92</v>
      </c>
      <c r="BM101" s="29" t="s">
        <v>92</v>
      </c>
      <c r="BN101" s="29" t="s">
        <v>92</v>
      </c>
      <c r="BO101" s="29" t="s">
        <v>92</v>
      </c>
      <c r="BP101" s="29" t="s">
        <v>92</v>
      </c>
      <c r="BQ101" s="29" t="s">
        <v>92</v>
      </c>
      <c r="BR101" s="29" t="s">
        <v>92</v>
      </c>
      <c r="BS101" s="29" t="s">
        <v>92</v>
      </c>
      <c r="BT101" s="29" t="s">
        <v>92</v>
      </c>
      <c r="BU101" s="29" t="s">
        <v>92</v>
      </c>
      <c r="BV101" s="29" t="s">
        <v>92</v>
      </c>
      <c r="BW101" s="29" t="s">
        <v>92</v>
      </c>
      <c r="BX101" s="29" t="s">
        <v>92</v>
      </c>
      <c r="BY101" s="29" t="s">
        <v>92</v>
      </c>
      <c r="BZ101" s="29" t="s">
        <v>92</v>
      </c>
      <c r="CA101" s="29" t="s">
        <v>92</v>
      </c>
      <c r="CB101" s="29" t="s">
        <v>92</v>
      </c>
      <c r="CC101" s="29" t="s">
        <v>92</v>
      </c>
      <c r="CD101" s="29" t="s">
        <v>92</v>
      </c>
      <c r="CF101" s="29" t="s">
        <v>156</v>
      </c>
    </row>
    <row r="102" spans="1:85" s="3" customFormat="1" x14ac:dyDescent="0.15">
      <c r="A102" s="3" t="s">
        <v>117</v>
      </c>
      <c r="B102" s="3" t="s">
        <v>100</v>
      </c>
      <c r="C102" s="3" t="s">
        <v>92</v>
      </c>
      <c r="D102" s="3">
        <v>648</v>
      </c>
      <c r="E102" s="3" t="s">
        <v>93</v>
      </c>
      <c r="F102" s="3">
        <v>2</v>
      </c>
      <c r="G102" s="3">
        <f>((D102/1000)/(F102))*60</f>
        <v>19.440000000000001</v>
      </c>
      <c r="H102" s="3">
        <f>1073-273</f>
        <v>800</v>
      </c>
      <c r="I102" s="3" t="s">
        <v>92</v>
      </c>
      <c r="J102" s="3">
        <v>0.1</v>
      </c>
      <c r="M102" s="3">
        <v>8.0000000000000002E-3</v>
      </c>
      <c r="N102" s="3" t="s">
        <v>92</v>
      </c>
      <c r="O102" s="3" t="s">
        <v>92</v>
      </c>
      <c r="S102" s="56">
        <v>7.8</v>
      </c>
      <c r="W102" s="56">
        <v>82.5</v>
      </c>
      <c r="AA102" s="56">
        <v>0.01</v>
      </c>
      <c r="AE102" s="56">
        <v>0.4</v>
      </c>
      <c r="AI102" s="56">
        <v>50.4</v>
      </c>
      <c r="AM102" s="56">
        <v>5.49</v>
      </c>
      <c r="AQ102" s="56">
        <v>0.02</v>
      </c>
      <c r="AU102" s="56">
        <v>44.08</v>
      </c>
      <c r="AV102" s="56" t="s">
        <v>92</v>
      </c>
      <c r="AZ102" s="3">
        <f t="shared" si="11"/>
        <v>97.100000000000009</v>
      </c>
      <c r="BA102" s="3">
        <f t="shared" si="8"/>
        <v>2.8999999999999915</v>
      </c>
      <c r="BB102" s="3">
        <v>58.2</v>
      </c>
      <c r="BC102" s="3">
        <v>19.7</v>
      </c>
      <c r="BD102" s="3">
        <v>19.2</v>
      </c>
      <c r="BE102" s="3" t="s">
        <v>96</v>
      </c>
      <c r="BF102" s="3">
        <f t="shared" si="9"/>
        <v>61.099999999999994</v>
      </c>
      <c r="BH102" s="11">
        <f t="shared" si="10"/>
        <v>0</v>
      </c>
      <c r="BI102" s="3">
        <v>0</v>
      </c>
      <c r="BJ102" s="3">
        <v>0</v>
      </c>
      <c r="BK102" s="3">
        <v>0</v>
      </c>
      <c r="BL102" s="11" t="s">
        <v>92</v>
      </c>
      <c r="BM102" s="3" t="s">
        <v>92</v>
      </c>
      <c r="BN102" s="11" t="s">
        <v>92</v>
      </c>
      <c r="BO102" s="11" t="s">
        <v>92</v>
      </c>
      <c r="BP102" s="3" t="s">
        <v>92</v>
      </c>
      <c r="BQ102" s="3" t="s">
        <v>92</v>
      </c>
      <c r="BR102" s="3" t="s">
        <v>92</v>
      </c>
      <c r="BS102" s="3" t="s">
        <v>92</v>
      </c>
      <c r="BT102" s="3" t="s">
        <v>92</v>
      </c>
      <c r="BU102" s="3" t="s">
        <v>92</v>
      </c>
      <c r="BV102" s="3" t="s">
        <v>92</v>
      </c>
      <c r="BW102" s="3" t="s">
        <v>92</v>
      </c>
      <c r="BX102" s="3" t="s">
        <v>92</v>
      </c>
      <c r="BY102" s="3" t="s">
        <v>92</v>
      </c>
      <c r="BZ102" s="3" t="s">
        <v>92</v>
      </c>
      <c r="CA102" s="3" t="s">
        <v>92</v>
      </c>
      <c r="CB102" s="3" t="s">
        <v>92</v>
      </c>
      <c r="CC102" s="3" t="s">
        <v>92</v>
      </c>
      <c r="CD102" s="3" t="s">
        <v>92</v>
      </c>
      <c r="CF102" s="16" t="s">
        <v>156</v>
      </c>
    </row>
    <row r="103" spans="1:85" s="3" customFormat="1" x14ac:dyDescent="0.15">
      <c r="A103" s="3" t="s">
        <v>117</v>
      </c>
      <c r="B103" s="3" t="s">
        <v>100</v>
      </c>
      <c r="C103" s="3" t="s">
        <v>92</v>
      </c>
      <c r="D103" s="3">
        <v>648</v>
      </c>
      <c r="E103" s="3" t="s">
        <v>93</v>
      </c>
      <c r="F103" s="3">
        <v>2</v>
      </c>
      <c r="G103" s="3">
        <f>((D103/1000)/(F103))*60</f>
        <v>19.440000000000001</v>
      </c>
      <c r="H103" s="3">
        <f>1273-273</f>
        <v>1000</v>
      </c>
      <c r="I103" s="3" t="s">
        <v>92</v>
      </c>
      <c r="J103" s="3">
        <v>0.1</v>
      </c>
      <c r="M103" s="3">
        <v>8.0000000000000002E-3</v>
      </c>
      <c r="N103" s="3" t="s">
        <v>92</v>
      </c>
      <c r="O103" s="3" t="s">
        <v>92</v>
      </c>
      <c r="S103" s="56">
        <v>7.8</v>
      </c>
      <c r="W103" s="56">
        <v>82.5</v>
      </c>
      <c r="AA103" s="56">
        <v>0.01</v>
      </c>
      <c r="AE103" s="56">
        <v>0.4</v>
      </c>
      <c r="AI103" s="56">
        <v>50.4</v>
      </c>
      <c r="AM103" s="56">
        <v>5.49</v>
      </c>
      <c r="AQ103" s="56">
        <v>0.02</v>
      </c>
      <c r="AU103" s="56">
        <v>44.08</v>
      </c>
      <c r="AV103" s="56" t="s">
        <v>92</v>
      </c>
      <c r="AZ103" s="3">
        <f t="shared" si="11"/>
        <v>97.6</v>
      </c>
      <c r="BA103" s="3">
        <f t="shared" si="8"/>
        <v>2.4000000000000057</v>
      </c>
      <c r="BB103" s="3">
        <v>58.4</v>
      </c>
      <c r="BC103" s="3">
        <v>20.2</v>
      </c>
      <c r="BD103" s="3">
        <v>19</v>
      </c>
      <c r="BE103" s="3" t="s">
        <v>96</v>
      </c>
      <c r="BF103" s="3">
        <f t="shared" si="9"/>
        <v>60.800000000000004</v>
      </c>
      <c r="BH103" s="11">
        <f t="shared" si="10"/>
        <v>0</v>
      </c>
      <c r="BI103" s="3">
        <v>0</v>
      </c>
      <c r="BJ103" s="3">
        <v>0</v>
      </c>
      <c r="BK103" s="3">
        <v>0</v>
      </c>
      <c r="BL103" s="11" t="s">
        <v>92</v>
      </c>
      <c r="BM103" s="3" t="s">
        <v>92</v>
      </c>
      <c r="BN103" s="11" t="s">
        <v>92</v>
      </c>
      <c r="BO103" s="11" t="s">
        <v>92</v>
      </c>
      <c r="BP103" s="3" t="s">
        <v>92</v>
      </c>
      <c r="BQ103" s="3" t="s">
        <v>92</v>
      </c>
      <c r="BR103" s="3" t="s">
        <v>92</v>
      </c>
      <c r="BS103" s="3" t="s">
        <v>92</v>
      </c>
      <c r="BT103" s="3" t="s">
        <v>92</v>
      </c>
      <c r="BU103" s="3" t="s">
        <v>92</v>
      </c>
      <c r="BV103" s="3" t="s">
        <v>92</v>
      </c>
      <c r="BW103" s="3" t="s">
        <v>92</v>
      </c>
      <c r="BX103" s="3" t="s">
        <v>92</v>
      </c>
      <c r="BY103" s="3" t="s">
        <v>92</v>
      </c>
      <c r="BZ103" s="3" t="s">
        <v>92</v>
      </c>
      <c r="CA103" s="3" t="s">
        <v>92</v>
      </c>
      <c r="CB103" s="3" t="s">
        <v>92</v>
      </c>
      <c r="CC103" s="3" t="s">
        <v>92</v>
      </c>
      <c r="CD103" s="3" t="s">
        <v>92</v>
      </c>
      <c r="CF103" s="16" t="s">
        <v>156</v>
      </c>
    </row>
    <row r="104" spans="1:85" s="29" customFormat="1" ht="14.25" customHeight="1" x14ac:dyDescent="0.15">
      <c r="A104" s="29" t="s">
        <v>90</v>
      </c>
      <c r="B104" s="29" t="s">
        <v>157</v>
      </c>
      <c r="C104" s="29" t="s">
        <v>92</v>
      </c>
      <c r="D104" s="29">
        <v>282.74</v>
      </c>
      <c r="E104" s="29" t="s">
        <v>93</v>
      </c>
      <c r="F104" s="29" t="s">
        <v>92</v>
      </c>
      <c r="G104" s="29" t="s">
        <v>92</v>
      </c>
      <c r="H104" s="29">
        <v>550</v>
      </c>
      <c r="I104" s="29" t="s">
        <v>92</v>
      </c>
      <c r="J104" s="29">
        <v>0.65</v>
      </c>
      <c r="M104" s="29" t="s">
        <v>92</v>
      </c>
      <c r="N104" s="29" t="s">
        <v>92</v>
      </c>
      <c r="O104" s="29" t="s">
        <v>92</v>
      </c>
      <c r="S104" s="56">
        <v>14.6</v>
      </c>
      <c r="W104" s="56">
        <v>84.91</v>
      </c>
      <c r="AA104" s="56" t="s">
        <v>92</v>
      </c>
      <c r="AE104" s="56">
        <v>0.49</v>
      </c>
      <c r="AI104" s="56">
        <v>49.41</v>
      </c>
      <c r="AM104" s="56">
        <v>6.28</v>
      </c>
      <c r="AQ104" s="56">
        <v>0.24</v>
      </c>
      <c r="AU104" s="56">
        <v>44.07</v>
      </c>
      <c r="AV104" s="56" t="s">
        <v>92</v>
      </c>
      <c r="AZ104" s="29">
        <f t="shared" si="11"/>
        <v>100</v>
      </c>
      <c r="BA104" s="29">
        <f t="shared" si="8"/>
        <v>0</v>
      </c>
      <c r="BB104" s="29">
        <f>30.3+19.2</f>
        <v>49.5</v>
      </c>
      <c r="BC104" s="29">
        <v>24.9</v>
      </c>
      <c r="BD104" s="29">
        <v>25.6</v>
      </c>
      <c r="BE104" s="29" t="s">
        <v>96</v>
      </c>
      <c r="BF104" s="29">
        <f t="shared" si="9"/>
        <v>49.5</v>
      </c>
      <c r="BH104" s="29">
        <f t="shared" si="10"/>
        <v>33.299999999999997</v>
      </c>
      <c r="BI104" s="29">
        <v>0</v>
      </c>
      <c r="BJ104" s="29">
        <v>0</v>
      </c>
      <c r="BK104" s="29">
        <v>33.299999999999997</v>
      </c>
      <c r="BL104" s="29">
        <v>37.67</v>
      </c>
      <c r="BM104" s="29">
        <v>5.05</v>
      </c>
      <c r="BN104" s="29">
        <v>6.65</v>
      </c>
      <c r="BO104" s="29">
        <v>2.2599999999999998</v>
      </c>
      <c r="BP104" s="29">
        <v>5.07</v>
      </c>
      <c r="BQ104" s="29" t="s">
        <v>92</v>
      </c>
      <c r="BR104" s="29" t="s">
        <v>92</v>
      </c>
      <c r="BS104" s="29" t="s">
        <v>92</v>
      </c>
      <c r="BT104" s="29" t="s">
        <v>92</v>
      </c>
      <c r="BU104" s="29" t="s">
        <v>92</v>
      </c>
      <c r="BV104" s="29" t="s">
        <v>92</v>
      </c>
      <c r="BW104" s="29" t="s">
        <v>92</v>
      </c>
      <c r="BX104" s="29" t="s">
        <v>92</v>
      </c>
      <c r="BY104" s="29" t="s">
        <v>92</v>
      </c>
      <c r="BZ104" s="29" t="s">
        <v>92</v>
      </c>
      <c r="CA104" s="29" t="s">
        <v>92</v>
      </c>
      <c r="CB104" s="29" t="s">
        <v>92</v>
      </c>
      <c r="CC104" s="29" t="s">
        <v>92</v>
      </c>
      <c r="CD104" s="29" t="s">
        <v>92</v>
      </c>
      <c r="CF104" s="29" t="s">
        <v>158</v>
      </c>
      <c r="CG104" s="34" t="s">
        <v>159</v>
      </c>
    </row>
    <row r="105" spans="1:85" s="29" customFormat="1" x14ac:dyDescent="0.15">
      <c r="A105" s="29" t="s">
        <v>90</v>
      </c>
      <c r="B105" s="29" t="s">
        <v>91</v>
      </c>
      <c r="C105" s="29" t="s">
        <v>92</v>
      </c>
      <c r="D105" s="29" t="s">
        <v>92</v>
      </c>
      <c r="E105" s="29" t="s">
        <v>93</v>
      </c>
      <c r="F105" s="29">
        <v>60</v>
      </c>
      <c r="G105" s="29" t="s">
        <v>92</v>
      </c>
      <c r="H105" s="29">
        <v>500</v>
      </c>
      <c r="I105" s="29" t="s">
        <v>92</v>
      </c>
      <c r="J105" s="29">
        <v>0.35</v>
      </c>
      <c r="K105" s="29" t="s">
        <v>92</v>
      </c>
      <c r="L105" s="29" t="s">
        <v>92</v>
      </c>
      <c r="M105" s="29">
        <v>50</v>
      </c>
      <c r="N105" s="29" t="s">
        <v>92</v>
      </c>
      <c r="O105" s="29" t="s">
        <v>92</v>
      </c>
      <c r="S105" s="56">
        <v>7.84</v>
      </c>
      <c r="W105" s="56">
        <v>73.52</v>
      </c>
      <c r="AA105" s="56">
        <v>0.21</v>
      </c>
      <c r="AE105" s="56">
        <v>1.88</v>
      </c>
      <c r="AI105" s="56">
        <v>47.21</v>
      </c>
      <c r="AM105" s="56">
        <v>6.25</v>
      </c>
      <c r="AQ105" s="56">
        <v>0.05</v>
      </c>
      <c r="AU105" s="56">
        <v>44.4</v>
      </c>
      <c r="AV105" s="56">
        <v>19.41</v>
      </c>
      <c r="AZ105" s="29" t="e">
        <f t="shared" si="11"/>
        <v>#VALUE!</v>
      </c>
      <c r="BA105" s="29" t="e">
        <f t="shared" si="8"/>
        <v>#VALUE!</v>
      </c>
      <c r="BB105" s="29" t="s">
        <v>92</v>
      </c>
      <c r="BC105" s="29" t="s">
        <v>92</v>
      </c>
      <c r="BD105" s="29" t="s">
        <v>92</v>
      </c>
      <c r="BF105" s="29" t="e">
        <f t="shared" si="9"/>
        <v>#VALUE!</v>
      </c>
      <c r="BH105" s="29">
        <f t="shared" si="10"/>
        <v>20.100000000000001</v>
      </c>
      <c r="BI105" s="29">
        <v>0</v>
      </c>
      <c r="BJ105" s="29">
        <v>0</v>
      </c>
      <c r="BK105" s="29">
        <v>20.100000000000001</v>
      </c>
      <c r="BL105" s="29">
        <v>9.5</v>
      </c>
      <c r="BM105" s="29">
        <v>5.18</v>
      </c>
      <c r="BN105" s="29">
        <v>3.7</v>
      </c>
      <c r="BO105" s="29">
        <v>2.67</v>
      </c>
      <c r="BP105" s="29">
        <v>2.19</v>
      </c>
      <c r="BQ105" s="29" t="s">
        <v>92</v>
      </c>
      <c r="BR105" s="29">
        <v>2.37</v>
      </c>
      <c r="BS105" s="29" t="s">
        <v>92</v>
      </c>
      <c r="BT105" s="29">
        <v>0.94</v>
      </c>
      <c r="BU105" s="29" t="s">
        <v>92</v>
      </c>
      <c r="BV105" s="29">
        <v>4.16</v>
      </c>
      <c r="BW105" s="29" t="s">
        <v>92</v>
      </c>
      <c r="BX105" s="29" t="s">
        <v>92</v>
      </c>
      <c r="BY105" s="29" t="s">
        <v>92</v>
      </c>
      <c r="BZ105" s="29" t="s">
        <v>92</v>
      </c>
      <c r="CA105" s="29" t="s">
        <v>92</v>
      </c>
      <c r="CB105" s="29" t="s">
        <v>92</v>
      </c>
      <c r="CC105" s="29" t="s">
        <v>92</v>
      </c>
      <c r="CD105" s="29" t="s">
        <v>92</v>
      </c>
      <c r="CF105" s="29" t="s">
        <v>160</v>
      </c>
      <c r="CG105" s="29" t="s">
        <v>122</v>
      </c>
    </row>
    <row r="106" spans="1:85" s="29" customFormat="1" x14ac:dyDescent="0.15">
      <c r="A106" s="29" t="s">
        <v>90</v>
      </c>
      <c r="B106" s="29" t="s">
        <v>91</v>
      </c>
      <c r="C106" s="29">
        <v>14815.75</v>
      </c>
      <c r="D106" s="29" t="s">
        <v>92</v>
      </c>
      <c r="E106" s="29" t="s">
        <v>93</v>
      </c>
      <c r="F106" s="29" t="s">
        <v>92</v>
      </c>
      <c r="G106" s="29" t="s">
        <v>92</v>
      </c>
      <c r="H106" s="29">
        <v>490</v>
      </c>
      <c r="I106" s="29" t="s">
        <v>92</v>
      </c>
      <c r="J106" s="29">
        <v>0.33500000000000002</v>
      </c>
      <c r="K106" s="29" t="s">
        <v>92</v>
      </c>
      <c r="L106" s="29" t="s">
        <v>92</v>
      </c>
      <c r="M106" s="29" t="s">
        <v>92</v>
      </c>
      <c r="N106" s="29" t="s">
        <v>92</v>
      </c>
      <c r="O106" s="29" t="s">
        <v>92</v>
      </c>
      <c r="S106" s="56">
        <v>9.1</v>
      </c>
      <c r="W106" s="56">
        <v>84.1</v>
      </c>
      <c r="AA106" s="56">
        <v>0.23</v>
      </c>
      <c r="AE106" s="56">
        <v>0.7</v>
      </c>
      <c r="AI106" s="56">
        <v>48.28</v>
      </c>
      <c r="AM106" s="56">
        <v>7.31</v>
      </c>
      <c r="AQ106" s="56">
        <v>0.25</v>
      </c>
      <c r="AU106" s="56">
        <v>43.41</v>
      </c>
      <c r="AV106" s="56">
        <v>19.48</v>
      </c>
      <c r="AZ106" s="29" t="e">
        <f t="shared" si="11"/>
        <v>#VALUE!</v>
      </c>
      <c r="BA106" s="29" t="e">
        <f t="shared" si="8"/>
        <v>#VALUE!</v>
      </c>
      <c r="BB106" s="29" t="s">
        <v>92</v>
      </c>
      <c r="BC106" s="29" t="s">
        <v>92</v>
      </c>
      <c r="BD106" s="29" t="s">
        <v>92</v>
      </c>
      <c r="BF106" s="29" t="e">
        <f t="shared" si="9"/>
        <v>#VALUE!</v>
      </c>
      <c r="BH106" s="29">
        <f t="shared" si="10"/>
        <v>0</v>
      </c>
      <c r="BI106" s="29">
        <v>0</v>
      </c>
      <c r="BJ106" s="29">
        <v>0</v>
      </c>
      <c r="BK106" s="29">
        <v>0</v>
      </c>
      <c r="BL106" s="29" t="s">
        <v>92</v>
      </c>
      <c r="BM106" s="29" t="s">
        <v>92</v>
      </c>
      <c r="BN106" s="29" t="s">
        <v>92</v>
      </c>
      <c r="BO106" s="29" t="s">
        <v>92</v>
      </c>
      <c r="BP106" s="29">
        <v>9.09</v>
      </c>
      <c r="BQ106" s="29" t="s">
        <v>92</v>
      </c>
      <c r="BR106" s="29" t="s">
        <v>92</v>
      </c>
      <c r="BS106" s="29" t="s">
        <v>92</v>
      </c>
      <c r="BT106" s="29" t="s">
        <v>92</v>
      </c>
      <c r="BU106" s="29" t="s">
        <v>92</v>
      </c>
      <c r="BV106" s="29">
        <v>10.44</v>
      </c>
      <c r="BW106" s="29" t="s">
        <v>92</v>
      </c>
      <c r="BX106" s="29" t="s">
        <v>92</v>
      </c>
      <c r="BY106" s="29" t="s">
        <v>92</v>
      </c>
      <c r="BZ106" s="29" t="s">
        <v>92</v>
      </c>
      <c r="CA106" s="29" t="s">
        <v>92</v>
      </c>
      <c r="CB106" s="29" t="s">
        <v>92</v>
      </c>
      <c r="CC106" s="29" t="s">
        <v>92</v>
      </c>
      <c r="CD106" s="29" t="s">
        <v>92</v>
      </c>
      <c r="CF106" s="29" t="s">
        <v>161</v>
      </c>
    </row>
    <row r="107" spans="1:85" s="29" customFormat="1" x14ac:dyDescent="0.15">
      <c r="A107" s="29" t="s">
        <v>90</v>
      </c>
      <c r="B107" s="29" t="s">
        <v>144</v>
      </c>
      <c r="C107" s="29" t="s">
        <v>92</v>
      </c>
      <c r="D107" s="29" t="s">
        <v>92</v>
      </c>
      <c r="E107" s="29" t="s">
        <v>93</v>
      </c>
      <c r="F107" s="29" t="s">
        <v>92</v>
      </c>
      <c r="G107" s="29" t="s">
        <v>92</v>
      </c>
      <c r="H107" s="29">
        <v>500</v>
      </c>
      <c r="I107" s="29" t="s">
        <v>92</v>
      </c>
      <c r="J107" s="29">
        <v>1</v>
      </c>
      <c r="M107" s="29" t="s">
        <v>92</v>
      </c>
      <c r="N107" s="29" t="s">
        <v>92</v>
      </c>
      <c r="O107" s="29" t="s">
        <v>92</v>
      </c>
      <c r="S107" s="56" t="s">
        <v>92</v>
      </c>
      <c r="W107" s="56" t="s">
        <v>92</v>
      </c>
      <c r="AA107" s="56">
        <v>0.63</v>
      </c>
      <c r="AE107" s="56" t="s">
        <v>92</v>
      </c>
      <c r="AI107" s="56">
        <v>48.64</v>
      </c>
      <c r="AM107" s="56">
        <v>7.7</v>
      </c>
      <c r="AQ107" s="56">
        <v>0.37</v>
      </c>
      <c r="AU107" s="56">
        <v>43.29</v>
      </c>
      <c r="AV107" s="56">
        <v>18.98</v>
      </c>
      <c r="AZ107" s="29">
        <f t="shared" si="11"/>
        <v>100</v>
      </c>
      <c r="BA107" s="29">
        <f t="shared" si="8"/>
        <v>0</v>
      </c>
      <c r="BB107" s="29">
        <v>42.2</v>
      </c>
      <c r="BC107" s="29">
        <f>71.24-BB107</f>
        <v>29.039999999999992</v>
      </c>
      <c r="BD107" s="29">
        <f>100-71.24</f>
        <v>28.760000000000005</v>
      </c>
      <c r="BE107" s="29" t="s">
        <v>96</v>
      </c>
      <c r="BF107" s="29">
        <f t="shared" si="9"/>
        <v>42.2</v>
      </c>
      <c r="BH107" s="29">
        <f t="shared" si="10"/>
        <v>86</v>
      </c>
      <c r="BI107" s="29">
        <v>18.260000000000002</v>
      </c>
      <c r="BJ107" s="29">
        <v>19.899999999999999</v>
      </c>
      <c r="BK107" s="29">
        <f>43.04+2+2.8</f>
        <v>47.839999999999996</v>
      </c>
      <c r="BL107" s="29">
        <v>13.96</v>
      </c>
      <c r="BM107" s="29">
        <v>25.8</v>
      </c>
      <c r="BN107" s="29">
        <v>1.47</v>
      </c>
      <c r="BO107" s="29">
        <v>0.09</v>
      </c>
      <c r="BP107" s="29" t="s">
        <v>92</v>
      </c>
      <c r="BQ107" s="29" t="s">
        <v>92</v>
      </c>
      <c r="BR107" s="29" t="s">
        <v>92</v>
      </c>
      <c r="BS107" s="29" t="s">
        <v>92</v>
      </c>
      <c r="BT107" s="29" t="s">
        <v>92</v>
      </c>
      <c r="BU107" s="29" t="s">
        <v>92</v>
      </c>
      <c r="BV107" s="29">
        <v>0.84</v>
      </c>
      <c r="BW107" s="29" t="s">
        <v>92</v>
      </c>
      <c r="BX107" s="29" t="s">
        <v>92</v>
      </c>
      <c r="BY107" s="29" t="s">
        <v>92</v>
      </c>
      <c r="BZ107" s="29" t="s">
        <v>92</v>
      </c>
      <c r="CA107" s="29" t="s">
        <v>92</v>
      </c>
      <c r="CB107" s="29" t="s">
        <v>92</v>
      </c>
      <c r="CC107" s="29" t="s">
        <v>92</v>
      </c>
      <c r="CD107" s="29" t="s">
        <v>92</v>
      </c>
      <c r="CF107" s="29" t="s">
        <v>162</v>
      </c>
      <c r="CG107" s="29" t="s">
        <v>122</v>
      </c>
    </row>
    <row r="108" spans="1:85" s="29" customFormat="1" x14ac:dyDescent="0.15">
      <c r="A108" s="29" t="s">
        <v>90</v>
      </c>
      <c r="B108" s="29" t="s">
        <v>91</v>
      </c>
      <c r="C108" s="29">
        <v>7700</v>
      </c>
      <c r="D108" s="29" t="s">
        <v>92</v>
      </c>
      <c r="E108" s="29" t="s">
        <v>93</v>
      </c>
      <c r="F108" s="29" t="s">
        <v>92</v>
      </c>
      <c r="G108" s="29" t="s">
        <v>92</v>
      </c>
      <c r="H108" s="29">
        <v>420</v>
      </c>
      <c r="I108" s="29" t="s">
        <v>92</v>
      </c>
      <c r="J108" s="29">
        <v>0.34399999999999997</v>
      </c>
      <c r="K108" s="29" t="s">
        <v>92</v>
      </c>
      <c r="L108" s="29" t="s">
        <v>92</v>
      </c>
      <c r="M108" s="29">
        <v>115</v>
      </c>
      <c r="N108" s="29" t="s">
        <v>92</v>
      </c>
      <c r="O108" s="29" t="s">
        <v>92</v>
      </c>
      <c r="S108" s="56">
        <v>9.06</v>
      </c>
      <c r="W108" s="56">
        <v>71.900000000000006</v>
      </c>
      <c r="AA108" s="56" t="s">
        <v>92</v>
      </c>
      <c r="AE108" s="56">
        <v>7.36</v>
      </c>
      <c r="AI108" s="56" t="s">
        <v>92</v>
      </c>
      <c r="AM108" s="56" t="s">
        <v>92</v>
      </c>
      <c r="AQ108" s="56" t="s">
        <v>92</v>
      </c>
      <c r="AU108" s="56" t="s">
        <v>92</v>
      </c>
      <c r="AV108" s="56">
        <v>15.21</v>
      </c>
      <c r="AZ108" s="29">
        <f t="shared" si="11"/>
        <v>100</v>
      </c>
      <c r="BA108" s="29">
        <f t="shared" si="8"/>
        <v>0</v>
      </c>
      <c r="BB108" s="29">
        <v>58</v>
      </c>
      <c r="BC108" s="29">
        <v>30</v>
      </c>
      <c r="BD108" s="29">
        <v>12</v>
      </c>
      <c r="BE108" s="29" t="s">
        <v>96</v>
      </c>
      <c r="BF108" s="29">
        <f t="shared" si="9"/>
        <v>58</v>
      </c>
      <c r="BH108" s="29">
        <f t="shared" si="10"/>
        <v>0</v>
      </c>
      <c r="BI108" s="29">
        <v>0</v>
      </c>
      <c r="BJ108" s="29">
        <v>0</v>
      </c>
      <c r="BK108" s="29">
        <v>0</v>
      </c>
      <c r="BL108" s="29" t="s">
        <v>92</v>
      </c>
      <c r="BM108" s="29" t="s">
        <v>92</v>
      </c>
      <c r="BN108" s="29" t="s">
        <v>92</v>
      </c>
      <c r="BO108" s="29" t="s">
        <v>92</v>
      </c>
      <c r="BP108" s="29" t="s">
        <v>92</v>
      </c>
      <c r="BQ108" s="29" t="s">
        <v>92</v>
      </c>
      <c r="BR108" s="29" t="s">
        <v>92</v>
      </c>
      <c r="BS108" s="29" t="s">
        <v>92</v>
      </c>
      <c r="BT108" s="29" t="s">
        <v>92</v>
      </c>
      <c r="BU108" s="29" t="s">
        <v>92</v>
      </c>
      <c r="BV108" s="29" t="s">
        <v>92</v>
      </c>
      <c r="BW108" s="29" t="s">
        <v>92</v>
      </c>
      <c r="BX108" s="29" t="s">
        <v>92</v>
      </c>
      <c r="BY108" s="29" t="s">
        <v>92</v>
      </c>
      <c r="BZ108" s="29" t="s">
        <v>92</v>
      </c>
      <c r="CA108" s="29" t="s">
        <v>92</v>
      </c>
      <c r="CB108" s="29" t="s">
        <v>92</v>
      </c>
      <c r="CC108" s="29" t="s">
        <v>92</v>
      </c>
      <c r="CD108" s="29" t="s">
        <v>92</v>
      </c>
      <c r="CF108" s="29" t="s">
        <v>163</v>
      </c>
    </row>
    <row r="109" spans="1:85" s="3" customFormat="1" x14ac:dyDescent="0.15">
      <c r="A109" s="3" t="s">
        <v>90</v>
      </c>
      <c r="B109" s="3" t="s">
        <v>91</v>
      </c>
      <c r="C109" s="3">
        <v>7700</v>
      </c>
      <c r="D109" s="3" t="s">
        <v>92</v>
      </c>
      <c r="E109" s="3" t="s">
        <v>93</v>
      </c>
      <c r="F109" s="3" t="s">
        <v>92</v>
      </c>
      <c r="G109" s="3" t="s">
        <v>92</v>
      </c>
      <c r="H109" s="3">
        <v>450</v>
      </c>
      <c r="I109" s="3" t="s">
        <v>92</v>
      </c>
      <c r="J109" s="3">
        <v>0.34399999999999997</v>
      </c>
      <c r="K109" s="3" t="s">
        <v>92</v>
      </c>
      <c r="L109" s="3" t="s">
        <v>92</v>
      </c>
      <c r="M109" s="3">
        <v>115</v>
      </c>
      <c r="N109" s="3" t="s">
        <v>92</v>
      </c>
      <c r="O109" s="3" t="s">
        <v>92</v>
      </c>
      <c r="S109" s="56">
        <v>9.06</v>
      </c>
      <c r="W109" s="56">
        <v>71.900000000000006</v>
      </c>
      <c r="AA109" s="56" t="s">
        <v>92</v>
      </c>
      <c r="AE109" s="56">
        <v>7.36</v>
      </c>
      <c r="AI109" s="56" t="s">
        <v>92</v>
      </c>
      <c r="AM109" s="56" t="s">
        <v>92</v>
      </c>
      <c r="AQ109" s="56" t="s">
        <v>92</v>
      </c>
      <c r="AU109" s="56" t="s">
        <v>92</v>
      </c>
      <c r="AV109" s="56">
        <v>15.21</v>
      </c>
      <c r="AZ109" s="3">
        <f t="shared" si="11"/>
        <v>100</v>
      </c>
      <c r="BA109" s="3">
        <f t="shared" si="8"/>
        <v>0</v>
      </c>
      <c r="BB109" s="3">
        <v>61</v>
      </c>
      <c r="BC109" s="3">
        <v>25</v>
      </c>
      <c r="BD109" s="3">
        <v>14</v>
      </c>
      <c r="BE109" s="3" t="s">
        <v>96</v>
      </c>
      <c r="BF109" s="3">
        <f t="shared" si="9"/>
        <v>61</v>
      </c>
      <c r="BH109" s="11">
        <f t="shared" si="10"/>
        <v>0</v>
      </c>
      <c r="BI109" s="3">
        <v>0</v>
      </c>
      <c r="BJ109" s="3">
        <v>0</v>
      </c>
      <c r="BK109" s="3">
        <v>0</v>
      </c>
      <c r="BL109" s="11" t="s">
        <v>92</v>
      </c>
      <c r="BM109" s="3" t="s">
        <v>92</v>
      </c>
      <c r="BN109" s="11" t="s">
        <v>92</v>
      </c>
      <c r="BO109" s="11" t="s">
        <v>92</v>
      </c>
      <c r="BP109" s="3" t="s">
        <v>92</v>
      </c>
      <c r="BQ109" s="3" t="s">
        <v>92</v>
      </c>
      <c r="BR109" s="3" t="s">
        <v>92</v>
      </c>
      <c r="BS109" s="3" t="s">
        <v>92</v>
      </c>
      <c r="BT109" s="3" t="s">
        <v>92</v>
      </c>
      <c r="BU109" s="3" t="s">
        <v>92</v>
      </c>
      <c r="BV109" s="3" t="s">
        <v>92</v>
      </c>
      <c r="BW109" s="3" t="s">
        <v>92</v>
      </c>
      <c r="BX109" s="3" t="s">
        <v>92</v>
      </c>
      <c r="BY109" s="3" t="s">
        <v>92</v>
      </c>
      <c r="BZ109" s="3" t="s">
        <v>92</v>
      </c>
      <c r="CA109" s="3" t="s">
        <v>92</v>
      </c>
      <c r="CB109" s="3" t="s">
        <v>92</v>
      </c>
      <c r="CC109" s="3" t="s">
        <v>92</v>
      </c>
      <c r="CD109" s="3" t="s">
        <v>92</v>
      </c>
      <c r="CF109" s="3" t="s">
        <v>163</v>
      </c>
    </row>
    <row r="110" spans="1:85" s="3" customFormat="1" x14ac:dyDescent="0.15">
      <c r="A110" s="3" t="s">
        <v>90</v>
      </c>
      <c r="B110" s="3" t="s">
        <v>91</v>
      </c>
      <c r="C110" s="3">
        <v>7700</v>
      </c>
      <c r="D110" s="3" t="s">
        <v>92</v>
      </c>
      <c r="E110" s="3" t="s">
        <v>93</v>
      </c>
      <c r="F110" s="3" t="s">
        <v>92</v>
      </c>
      <c r="G110" s="3" t="s">
        <v>92</v>
      </c>
      <c r="H110" s="3">
        <v>480</v>
      </c>
      <c r="I110" s="3" t="s">
        <v>92</v>
      </c>
      <c r="J110" s="3">
        <v>0.34399999999999997</v>
      </c>
      <c r="K110" s="3" t="s">
        <v>92</v>
      </c>
      <c r="L110" s="3" t="s">
        <v>92</v>
      </c>
      <c r="M110" s="3">
        <v>115</v>
      </c>
      <c r="N110" s="3" t="s">
        <v>92</v>
      </c>
      <c r="O110" s="3" t="s">
        <v>92</v>
      </c>
      <c r="S110" s="56">
        <v>9.06</v>
      </c>
      <c r="W110" s="56">
        <v>71.900000000000006</v>
      </c>
      <c r="AA110" s="56" t="s">
        <v>92</v>
      </c>
      <c r="AE110" s="56">
        <v>7.36</v>
      </c>
      <c r="AI110" s="56" t="s">
        <v>92</v>
      </c>
      <c r="AM110" s="56" t="s">
        <v>92</v>
      </c>
      <c r="AQ110" s="56" t="s">
        <v>92</v>
      </c>
      <c r="AU110" s="56" t="s">
        <v>92</v>
      </c>
      <c r="AV110" s="56">
        <v>15.21</v>
      </c>
      <c r="AZ110" s="3">
        <f t="shared" si="11"/>
        <v>45</v>
      </c>
      <c r="BA110" s="3">
        <f t="shared" si="8"/>
        <v>55</v>
      </c>
      <c r="BB110" s="3">
        <v>6</v>
      </c>
      <c r="BC110" s="3">
        <v>21</v>
      </c>
      <c r="BD110" s="3">
        <v>18</v>
      </c>
      <c r="BE110" s="3" t="s">
        <v>101</v>
      </c>
      <c r="BF110" s="3">
        <f t="shared" si="9"/>
        <v>61</v>
      </c>
      <c r="BH110" s="3">
        <f t="shared" si="10"/>
        <v>0</v>
      </c>
      <c r="BI110" s="3">
        <v>0</v>
      </c>
      <c r="BJ110" s="3">
        <v>0</v>
      </c>
      <c r="BK110" s="3">
        <v>0</v>
      </c>
      <c r="BL110" s="3" t="s">
        <v>92</v>
      </c>
      <c r="BM110" s="3" t="s">
        <v>92</v>
      </c>
      <c r="BN110" s="3" t="s">
        <v>92</v>
      </c>
      <c r="BO110" s="3" t="s">
        <v>92</v>
      </c>
      <c r="BP110" s="3" t="s">
        <v>92</v>
      </c>
      <c r="BQ110" s="3" t="s">
        <v>92</v>
      </c>
      <c r="BR110" s="3" t="s">
        <v>92</v>
      </c>
      <c r="BS110" s="3" t="s">
        <v>92</v>
      </c>
      <c r="BT110" s="3" t="s">
        <v>92</v>
      </c>
      <c r="BU110" s="3" t="s">
        <v>92</v>
      </c>
      <c r="BV110" s="3" t="s">
        <v>92</v>
      </c>
      <c r="BW110" s="3" t="s">
        <v>92</v>
      </c>
      <c r="BX110" s="3" t="s">
        <v>92</v>
      </c>
      <c r="BY110" s="3" t="s">
        <v>92</v>
      </c>
      <c r="BZ110" s="3" t="s">
        <v>92</v>
      </c>
      <c r="CA110" s="3" t="s">
        <v>92</v>
      </c>
      <c r="CB110" s="3" t="s">
        <v>92</v>
      </c>
      <c r="CC110" s="3" t="s">
        <v>92</v>
      </c>
      <c r="CD110" s="3" t="s">
        <v>92</v>
      </c>
      <c r="CF110" s="3" t="s">
        <v>163</v>
      </c>
    </row>
    <row r="111" spans="1:85" s="3" customFormat="1" x14ac:dyDescent="0.15">
      <c r="A111" s="3" t="s">
        <v>90</v>
      </c>
      <c r="B111" s="3" t="s">
        <v>91</v>
      </c>
      <c r="C111" s="3">
        <v>7700</v>
      </c>
      <c r="D111" s="3" t="s">
        <v>92</v>
      </c>
      <c r="E111" s="3" t="s">
        <v>93</v>
      </c>
      <c r="F111" s="3" t="s">
        <v>92</v>
      </c>
      <c r="G111" s="3" t="s">
        <v>92</v>
      </c>
      <c r="H111" s="3">
        <v>510</v>
      </c>
      <c r="I111" s="3" t="s">
        <v>92</v>
      </c>
      <c r="J111" s="3">
        <v>0.34399999999999997</v>
      </c>
      <c r="K111" s="3" t="s">
        <v>92</v>
      </c>
      <c r="L111" s="3" t="s">
        <v>92</v>
      </c>
      <c r="M111" s="3">
        <v>115</v>
      </c>
      <c r="N111" s="3" t="s">
        <v>92</v>
      </c>
      <c r="O111" s="3" t="s">
        <v>92</v>
      </c>
      <c r="S111" s="56">
        <v>9.06</v>
      </c>
      <c r="W111" s="56">
        <v>71.900000000000006</v>
      </c>
      <c r="AA111" s="56" t="s">
        <v>92</v>
      </c>
      <c r="AE111" s="56">
        <v>7.36</v>
      </c>
      <c r="AI111" s="56" t="s">
        <v>92</v>
      </c>
      <c r="AM111" s="56" t="s">
        <v>92</v>
      </c>
      <c r="AQ111" s="56" t="s">
        <v>92</v>
      </c>
      <c r="AU111" s="56" t="s">
        <v>92</v>
      </c>
      <c r="AV111" s="56">
        <v>15.21</v>
      </c>
      <c r="AZ111" s="3">
        <f t="shared" si="11"/>
        <v>100</v>
      </c>
      <c r="BA111" s="3">
        <f t="shared" si="8"/>
        <v>0</v>
      </c>
      <c r="BB111" s="3">
        <v>59</v>
      </c>
      <c r="BC111" s="3">
        <v>18</v>
      </c>
      <c r="BD111" s="3">
        <v>23</v>
      </c>
      <c r="BE111" s="3" t="s">
        <v>96</v>
      </c>
      <c r="BF111" s="3">
        <f t="shared" si="9"/>
        <v>59</v>
      </c>
      <c r="BH111" s="11">
        <f t="shared" si="10"/>
        <v>7.41</v>
      </c>
      <c r="BI111" s="3">
        <v>0</v>
      </c>
      <c r="BJ111" s="3">
        <v>0</v>
      </c>
      <c r="BK111" s="3">
        <f>4.2+1.73+1.48</f>
        <v>7.41</v>
      </c>
      <c r="BL111" s="11">
        <f>1.9+1.73</f>
        <v>3.63</v>
      </c>
      <c r="BM111" s="3" t="s">
        <v>92</v>
      </c>
      <c r="BN111" s="11">
        <f>1.03</f>
        <v>1.03</v>
      </c>
      <c r="BO111" s="11" t="s">
        <v>92</v>
      </c>
      <c r="BP111" s="3" t="s">
        <v>92</v>
      </c>
      <c r="BQ111" s="3" t="s">
        <v>92</v>
      </c>
      <c r="BR111" s="3" t="s">
        <v>92</v>
      </c>
      <c r="BS111" s="3" t="s">
        <v>92</v>
      </c>
      <c r="BT111" s="3" t="s">
        <v>92</v>
      </c>
      <c r="BU111" s="3" t="s">
        <v>92</v>
      </c>
      <c r="BV111" s="3">
        <f>6.9+1.2</f>
        <v>8.1</v>
      </c>
      <c r="BW111" s="3" t="s">
        <v>92</v>
      </c>
      <c r="BX111" s="3" t="s">
        <v>92</v>
      </c>
      <c r="BY111" s="3" t="s">
        <v>92</v>
      </c>
      <c r="BZ111" s="3" t="s">
        <v>92</v>
      </c>
      <c r="CA111" s="3" t="s">
        <v>92</v>
      </c>
      <c r="CB111" s="3" t="s">
        <v>92</v>
      </c>
      <c r="CC111" s="3" t="s">
        <v>92</v>
      </c>
      <c r="CF111" s="3" t="s">
        <v>163</v>
      </c>
    </row>
    <row r="112" spans="1:85" s="3" customFormat="1" x14ac:dyDescent="0.15">
      <c r="A112" s="3" t="s">
        <v>90</v>
      </c>
      <c r="B112" s="3" t="s">
        <v>91</v>
      </c>
      <c r="C112" s="3">
        <v>7700</v>
      </c>
      <c r="D112" s="3" t="s">
        <v>92</v>
      </c>
      <c r="E112" s="3" t="s">
        <v>93</v>
      </c>
      <c r="F112" s="3" t="s">
        <v>92</v>
      </c>
      <c r="G112" s="3" t="s">
        <v>92</v>
      </c>
      <c r="H112" s="3">
        <v>540</v>
      </c>
      <c r="I112" s="3" t="s">
        <v>92</v>
      </c>
      <c r="J112" s="3">
        <v>0.34399999999999997</v>
      </c>
      <c r="K112" s="3" t="s">
        <v>92</v>
      </c>
      <c r="L112" s="3" t="s">
        <v>92</v>
      </c>
      <c r="M112" s="3">
        <v>115</v>
      </c>
      <c r="N112" s="3" t="s">
        <v>92</v>
      </c>
      <c r="O112" s="3" t="s">
        <v>92</v>
      </c>
      <c r="S112" s="56">
        <v>9.06</v>
      </c>
      <c r="W112" s="56">
        <v>71.900000000000006</v>
      </c>
      <c r="AA112" s="56" t="s">
        <v>92</v>
      </c>
      <c r="AE112" s="56">
        <v>7.36</v>
      </c>
      <c r="AI112" s="56" t="s">
        <v>92</v>
      </c>
      <c r="AM112" s="56" t="s">
        <v>92</v>
      </c>
      <c r="AQ112" s="56" t="s">
        <v>92</v>
      </c>
      <c r="AU112" s="56" t="s">
        <v>92</v>
      </c>
      <c r="AV112" s="56">
        <v>15.21</v>
      </c>
      <c r="AZ112" s="3">
        <f t="shared" si="11"/>
        <v>100</v>
      </c>
      <c r="BA112" s="3">
        <f t="shared" si="8"/>
        <v>0</v>
      </c>
      <c r="BB112" s="3">
        <v>54</v>
      </c>
      <c r="BC112" s="3">
        <v>16</v>
      </c>
      <c r="BD112" s="3">
        <v>30</v>
      </c>
      <c r="BE112" s="3" t="s">
        <v>96</v>
      </c>
      <c r="BF112" s="3">
        <f t="shared" si="9"/>
        <v>54</v>
      </c>
      <c r="BH112" s="11" t="e">
        <f t="shared" si="10"/>
        <v>#VALUE!</v>
      </c>
      <c r="BI112" s="3">
        <v>0</v>
      </c>
      <c r="BJ112" s="3">
        <v>0</v>
      </c>
      <c r="BK112" s="3" t="s">
        <v>92</v>
      </c>
      <c r="BL112" s="11" t="s">
        <v>92</v>
      </c>
      <c r="BM112" s="3" t="s">
        <v>92</v>
      </c>
      <c r="BN112" s="11" t="s">
        <v>92</v>
      </c>
      <c r="BO112" s="11" t="s">
        <v>92</v>
      </c>
      <c r="BP112" s="3" t="s">
        <v>92</v>
      </c>
      <c r="BQ112" s="3" t="s">
        <v>92</v>
      </c>
      <c r="BR112" s="3" t="s">
        <v>92</v>
      </c>
      <c r="BS112" s="3" t="s">
        <v>92</v>
      </c>
      <c r="BT112" s="3" t="s">
        <v>92</v>
      </c>
      <c r="BU112" s="3" t="s">
        <v>92</v>
      </c>
      <c r="BV112" s="3" t="s">
        <v>92</v>
      </c>
      <c r="BW112" s="3" t="s">
        <v>92</v>
      </c>
      <c r="BX112" s="3" t="s">
        <v>92</v>
      </c>
      <c r="BY112" s="3" t="s">
        <v>92</v>
      </c>
      <c r="BZ112" s="3" t="s">
        <v>92</v>
      </c>
      <c r="CA112" s="3" t="s">
        <v>92</v>
      </c>
      <c r="CB112" s="3" t="s">
        <v>92</v>
      </c>
      <c r="CC112" s="3" t="s">
        <v>92</v>
      </c>
      <c r="CD112" s="3" t="s">
        <v>92</v>
      </c>
      <c r="CF112" s="3" t="s">
        <v>163</v>
      </c>
    </row>
    <row r="113" spans="1:85" s="29" customFormat="1" x14ac:dyDescent="0.15">
      <c r="A113" s="29" t="s">
        <v>117</v>
      </c>
      <c r="B113" s="29" t="s">
        <v>91</v>
      </c>
      <c r="C113" s="29" t="s">
        <v>92</v>
      </c>
      <c r="D113" s="29" t="s">
        <v>92</v>
      </c>
      <c r="E113" s="29" t="s">
        <v>93</v>
      </c>
      <c r="F113" s="29">
        <v>6</v>
      </c>
      <c r="G113" s="29" t="s">
        <v>92</v>
      </c>
      <c r="H113" s="29">
        <v>540</v>
      </c>
      <c r="I113" s="29" t="s">
        <v>92</v>
      </c>
      <c r="J113" s="29">
        <v>1</v>
      </c>
      <c r="K113" s="29" t="s">
        <v>92</v>
      </c>
      <c r="L113" s="29" t="s">
        <v>92</v>
      </c>
      <c r="M113" s="29">
        <v>1.67</v>
      </c>
      <c r="N113" s="29" t="s">
        <v>92</v>
      </c>
      <c r="O113" s="29" t="s">
        <v>92</v>
      </c>
      <c r="S113" s="56">
        <v>5.24</v>
      </c>
      <c r="W113" s="56">
        <v>94.7</v>
      </c>
      <c r="AA113" s="56">
        <v>0</v>
      </c>
      <c r="AE113" s="56">
        <v>0.89</v>
      </c>
      <c r="AI113" s="56">
        <v>48.18</v>
      </c>
      <c r="AM113" s="56">
        <v>5.61</v>
      </c>
      <c r="AQ113" s="56">
        <v>7.0000000000000007E-2</v>
      </c>
      <c r="AU113" s="56">
        <v>49.74</v>
      </c>
      <c r="AV113" s="56" t="s">
        <v>92</v>
      </c>
      <c r="AZ113" s="29">
        <f t="shared" si="11"/>
        <v>103.00999999999999</v>
      </c>
      <c r="BA113" s="29">
        <f t="shared" si="8"/>
        <v>-3.0099999999999909</v>
      </c>
      <c r="BB113" s="29">
        <v>47.78</v>
      </c>
      <c r="BC113" s="29">
        <v>9.68</v>
      </c>
      <c r="BD113" s="29">
        <v>45.55</v>
      </c>
      <c r="BE113" s="29" t="s">
        <v>96</v>
      </c>
      <c r="BF113" s="29">
        <f t="shared" si="9"/>
        <v>44.77000000000001</v>
      </c>
      <c r="BH113" s="29">
        <f>BI113+BJ113+BK113</f>
        <v>12.967492</v>
      </c>
      <c r="BI113" s="29">
        <f>21.63*BB113/100</f>
        <v>10.334814</v>
      </c>
      <c r="BJ113" s="29">
        <v>0</v>
      </c>
      <c r="BK113" s="29">
        <f>5.51*BB113/100</f>
        <v>2.6326780000000003</v>
      </c>
      <c r="BL113" s="29">
        <f>10.17*BB113/100</f>
        <v>4.8592259999999996</v>
      </c>
      <c r="BM113" s="29">
        <f>6.56*BB113/100</f>
        <v>3.1343680000000003</v>
      </c>
      <c r="BN113" s="29">
        <f>(13.5+0.77)*BB113/100</f>
        <v>6.818206</v>
      </c>
      <c r="BO113" s="29">
        <f>1.43*BB113/100</f>
        <v>0.68325400000000003</v>
      </c>
      <c r="BP113" s="29">
        <f>10.3*BB113/100</f>
        <v>4.9213400000000007</v>
      </c>
      <c r="BQ113" s="29" t="s">
        <v>92</v>
      </c>
      <c r="BR113" s="29" t="s">
        <v>92</v>
      </c>
      <c r="BS113" s="29" t="s">
        <v>92</v>
      </c>
      <c r="BT113" s="29">
        <f>(5.08+1.05)*BB113/100</f>
        <v>2.9289139999999998</v>
      </c>
      <c r="BU113" s="29" t="s">
        <v>92</v>
      </c>
      <c r="BV113" s="29">
        <f>4.16*BB113/100</f>
        <v>1.9876480000000001</v>
      </c>
      <c r="BW113" s="29" t="s">
        <v>92</v>
      </c>
      <c r="BX113" s="29" t="s">
        <v>92</v>
      </c>
      <c r="BY113" s="29" t="s">
        <v>92</v>
      </c>
      <c r="BZ113" s="29" t="s">
        <v>92</v>
      </c>
      <c r="CA113" s="29" t="s">
        <v>92</v>
      </c>
      <c r="CB113" s="29" t="s">
        <v>92</v>
      </c>
      <c r="CC113" s="29" t="s">
        <v>92</v>
      </c>
      <c r="CD113" s="29">
        <f>(15.5+5.5)*BB113/100</f>
        <v>10.033799999999999</v>
      </c>
      <c r="CF113" s="41" t="s">
        <v>164</v>
      </c>
      <c r="CG113" s="29" t="s">
        <v>165</v>
      </c>
    </row>
    <row r="114" spans="1:85" s="29" customFormat="1" x14ac:dyDescent="0.15">
      <c r="A114" s="29" t="s">
        <v>90</v>
      </c>
      <c r="B114" s="29" t="s">
        <v>166</v>
      </c>
      <c r="C114" s="29" t="s">
        <v>92</v>
      </c>
      <c r="D114" s="29">
        <v>59.54</v>
      </c>
      <c r="E114" s="29" t="s">
        <v>93</v>
      </c>
      <c r="F114" s="29">
        <v>0.02</v>
      </c>
      <c r="G114" s="29">
        <f>((D114/1000)/(F114))*60</f>
        <v>178.62</v>
      </c>
      <c r="H114" s="29">
        <v>300</v>
      </c>
      <c r="I114" s="29" t="s">
        <v>92</v>
      </c>
      <c r="J114" s="29" t="s">
        <v>92</v>
      </c>
      <c r="M114" s="29" t="s">
        <v>92</v>
      </c>
      <c r="N114" s="29" t="s">
        <v>92</v>
      </c>
      <c r="O114" s="29" t="s">
        <v>92</v>
      </c>
      <c r="S114" s="56">
        <v>10.199999999999999</v>
      </c>
      <c r="W114" s="56" t="s">
        <v>92</v>
      </c>
      <c r="AA114" s="56" t="s">
        <v>92</v>
      </c>
      <c r="AE114" s="56">
        <v>0.3</v>
      </c>
      <c r="AI114" s="56">
        <v>51</v>
      </c>
      <c r="AM114" s="56">
        <v>5.3</v>
      </c>
      <c r="AQ114" s="56">
        <v>0.09</v>
      </c>
      <c r="AU114" s="56">
        <v>43.6</v>
      </c>
      <c r="AV114" s="56">
        <v>15.4</v>
      </c>
      <c r="AZ114" s="29">
        <f t="shared" si="11"/>
        <v>100</v>
      </c>
      <c r="BA114" s="29">
        <f t="shared" si="8"/>
        <v>0</v>
      </c>
      <c r="BB114" s="29">
        <v>24.1</v>
      </c>
      <c r="BC114" s="29">
        <v>63.3</v>
      </c>
      <c r="BD114" s="29">
        <v>12.6</v>
      </c>
      <c r="BE114" s="29" t="s">
        <v>96</v>
      </c>
      <c r="BF114" s="29">
        <f t="shared" si="9"/>
        <v>24.1</v>
      </c>
      <c r="BH114" s="29">
        <f t="shared" si="10"/>
        <v>3</v>
      </c>
      <c r="BI114" s="29">
        <v>0</v>
      </c>
      <c r="BJ114" s="29">
        <v>0</v>
      </c>
      <c r="BK114" s="29">
        <v>3</v>
      </c>
      <c r="BL114" s="29">
        <v>1.9</v>
      </c>
      <c r="BM114" s="29">
        <v>3.3</v>
      </c>
      <c r="BN114" s="29">
        <v>8.5</v>
      </c>
      <c r="BP114" s="29">
        <v>2.9</v>
      </c>
      <c r="BQ114" s="29">
        <v>0.3</v>
      </c>
      <c r="BR114" s="29">
        <f>0.2+1.2</f>
        <v>1.4</v>
      </c>
      <c r="BS114" s="29" t="s">
        <v>92</v>
      </c>
      <c r="BT114" s="29" t="s">
        <v>92</v>
      </c>
      <c r="BU114" s="29" t="s">
        <v>92</v>
      </c>
      <c r="BV114" s="29">
        <f>11.8*BB114/100</f>
        <v>2.8438000000000003</v>
      </c>
      <c r="BW114" s="29" t="s">
        <v>92</v>
      </c>
      <c r="BX114" s="29">
        <f>0.5*BB114/100</f>
        <v>0.12050000000000001</v>
      </c>
      <c r="BY114" s="29" t="s">
        <v>92</v>
      </c>
      <c r="BZ114" s="29" t="s">
        <v>92</v>
      </c>
      <c r="CA114" s="29">
        <f>53.7*BB114/100</f>
        <v>12.941700000000001</v>
      </c>
      <c r="CB114" s="29" t="s">
        <v>92</v>
      </c>
      <c r="CC114" s="29" t="s">
        <v>92</v>
      </c>
      <c r="CD114" s="29">
        <f>7.9*BB114/100</f>
        <v>1.9039000000000001</v>
      </c>
      <c r="CF114" s="29" t="s">
        <v>167</v>
      </c>
    </row>
    <row r="115" spans="1:85" s="3" customFormat="1" x14ac:dyDescent="0.15">
      <c r="A115" s="3" t="s">
        <v>90</v>
      </c>
      <c r="B115" s="3" t="s">
        <v>166</v>
      </c>
      <c r="C115" s="3" t="s">
        <v>92</v>
      </c>
      <c r="D115" s="3">
        <v>59.54</v>
      </c>
      <c r="E115" s="3" t="s">
        <v>93</v>
      </c>
      <c r="F115" s="3">
        <v>0.02</v>
      </c>
      <c r="G115" s="3">
        <f>((D115/1000)/(F115))*60</f>
        <v>178.62</v>
      </c>
      <c r="H115" s="3">
        <v>350</v>
      </c>
      <c r="I115" s="3" t="s">
        <v>92</v>
      </c>
      <c r="J115" s="3" t="s">
        <v>92</v>
      </c>
      <c r="M115" s="3" t="s">
        <v>92</v>
      </c>
      <c r="N115" s="3" t="s">
        <v>92</v>
      </c>
      <c r="O115" s="3" t="s">
        <v>92</v>
      </c>
      <c r="S115" s="56">
        <v>11.2</v>
      </c>
      <c r="W115" s="56" t="s">
        <v>92</v>
      </c>
      <c r="AA115" s="56" t="s">
        <v>92</v>
      </c>
      <c r="AE115" s="56">
        <v>0.3</v>
      </c>
      <c r="AI115" s="56">
        <v>51</v>
      </c>
      <c r="AM115" s="56">
        <v>5.3</v>
      </c>
      <c r="AQ115" s="56" t="s">
        <v>142</v>
      </c>
      <c r="AU115" s="56">
        <v>43.6</v>
      </c>
      <c r="AV115" s="56">
        <v>15.4</v>
      </c>
      <c r="AZ115" s="3">
        <f t="shared" si="11"/>
        <v>100</v>
      </c>
      <c r="BA115" s="3">
        <f t="shared" si="8"/>
        <v>0</v>
      </c>
      <c r="BB115" s="3">
        <v>31.2</v>
      </c>
      <c r="BC115" s="3">
        <v>56.2</v>
      </c>
      <c r="BD115" s="3">
        <v>12.6</v>
      </c>
      <c r="BE115" s="3" t="s">
        <v>96</v>
      </c>
      <c r="BF115" s="3">
        <f t="shared" si="9"/>
        <v>31.2</v>
      </c>
      <c r="BH115" s="3">
        <f t="shared" si="10"/>
        <v>3.7</v>
      </c>
      <c r="BI115" s="3">
        <v>0</v>
      </c>
      <c r="BJ115" s="3">
        <v>0</v>
      </c>
      <c r="BK115" s="3">
        <v>3.7</v>
      </c>
      <c r="BL115" s="3">
        <v>2.2000000000000002</v>
      </c>
      <c r="BM115" s="3">
        <v>4.4000000000000004</v>
      </c>
      <c r="BN115" s="3">
        <v>10.6</v>
      </c>
      <c r="BP115" s="3">
        <v>3</v>
      </c>
      <c r="BQ115" s="3">
        <v>0.3</v>
      </c>
      <c r="BR115" s="3">
        <f>0.2+1.1</f>
        <v>1.3</v>
      </c>
      <c r="BS115" s="3" t="s">
        <v>92</v>
      </c>
      <c r="BT115" s="3" t="s">
        <v>92</v>
      </c>
      <c r="BU115" s="3" t="s">
        <v>92</v>
      </c>
      <c r="BV115" s="3">
        <f>13.2*BB115/100</f>
        <v>4.1183999999999994</v>
      </c>
      <c r="BW115" s="3" t="s">
        <v>92</v>
      </c>
      <c r="BX115" s="3">
        <f>0.6*BB115/100</f>
        <v>0.18719999999999998</v>
      </c>
      <c r="BY115" s="3" t="s">
        <v>92</v>
      </c>
      <c r="BZ115" s="3" t="s">
        <v>92</v>
      </c>
      <c r="CA115" s="3">
        <f>48.4*BB115/100</f>
        <v>15.1008</v>
      </c>
      <c r="CB115" s="3" t="s">
        <v>92</v>
      </c>
      <c r="CC115" s="3" t="s">
        <v>92</v>
      </c>
      <c r="CD115" s="3">
        <f>4.9*BB115/100</f>
        <v>1.5287999999999999</v>
      </c>
      <c r="CF115" s="3" t="s">
        <v>167</v>
      </c>
    </row>
    <row r="116" spans="1:85" s="3" customFormat="1" x14ac:dyDescent="0.15">
      <c r="A116" s="3" t="s">
        <v>90</v>
      </c>
      <c r="B116" s="3" t="s">
        <v>166</v>
      </c>
      <c r="C116" s="3" t="s">
        <v>92</v>
      </c>
      <c r="D116" s="3">
        <v>59.54</v>
      </c>
      <c r="E116" s="3" t="s">
        <v>93</v>
      </c>
      <c r="F116" s="3">
        <v>0.02</v>
      </c>
      <c r="G116" s="3">
        <f>((D116/1000)/(F116))*60</f>
        <v>178.62</v>
      </c>
      <c r="H116" s="3">
        <v>550</v>
      </c>
      <c r="I116" s="3" t="s">
        <v>92</v>
      </c>
      <c r="J116" s="3" t="s">
        <v>92</v>
      </c>
      <c r="M116" s="3" t="s">
        <v>92</v>
      </c>
      <c r="N116" s="3" t="s">
        <v>92</v>
      </c>
      <c r="O116" s="3" t="s">
        <v>92</v>
      </c>
      <c r="S116" s="56">
        <v>12.2</v>
      </c>
      <c r="W116" s="56" t="s">
        <v>92</v>
      </c>
      <c r="AA116" s="56" t="s">
        <v>92</v>
      </c>
      <c r="AE116" s="56">
        <v>0.3</v>
      </c>
      <c r="AI116" s="56">
        <v>51</v>
      </c>
      <c r="AM116" s="56">
        <v>5.3</v>
      </c>
      <c r="AQ116" s="56" t="s">
        <v>142</v>
      </c>
      <c r="AU116" s="56">
        <v>43.6</v>
      </c>
      <c r="AV116" s="56">
        <v>15.4</v>
      </c>
      <c r="AZ116" s="3">
        <f t="shared" si="11"/>
        <v>99.999999999999986</v>
      </c>
      <c r="BA116" s="3">
        <f t="shared" si="8"/>
        <v>0</v>
      </c>
      <c r="BB116" s="3">
        <v>50.3</v>
      </c>
      <c r="BC116" s="3">
        <v>28.9</v>
      </c>
      <c r="BD116" s="3">
        <v>20.8</v>
      </c>
      <c r="BE116" s="3" t="s">
        <v>96</v>
      </c>
      <c r="BF116" s="3">
        <f t="shared" si="9"/>
        <v>50.3</v>
      </c>
      <c r="BH116" s="3">
        <f t="shared" si="10"/>
        <v>8.1999999999999993</v>
      </c>
      <c r="BI116" s="3">
        <v>0</v>
      </c>
      <c r="BJ116" s="3">
        <v>0</v>
      </c>
      <c r="BK116" s="3">
        <v>8.1999999999999993</v>
      </c>
      <c r="BL116" s="3">
        <v>1.7</v>
      </c>
      <c r="BM116" s="3">
        <v>3.2</v>
      </c>
      <c r="BN116" s="3">
        <v>5.5</v>
      </c>
      <c r="BP116" s="3">
        <v>2.8</v>
      </c>
      <c r="BQ116" s="3">
        <v>0.4</v>
      </c>
      <c r="BR116" s="3">
        <f>0.6+1.9</f>
        <v>2.5</v>
      </c>
      <c r="BS116" s="3" t="s">
        <v>92</v>
      </c>
      <c r="BT116" s="3" t="s">
        <v>92</v>
      </c>
      <c r="BU116" s="3" t="s">
        <v>92</v>
      </c>
      <c r="BV116" s="3">
        <f>5.6*BB116/100</f>
        <v>2.8167999999999993</v>
      </c>
      <c r="BW116" s="3" t="s">
        <v>92</v>
      </c>
      <c r="BX116" s="3">
        <f>0.8*BB116/100</f>
        <v>0.40240000000000004</v>
      </c>
      <c r="BY116" s="3" t="s">
        <v>92</v>
      </c>
      <c r="BZ116" s="3" t="s">
        <v>92</v>
      </c>
      <c r="CA116" s="3">
        <f>49.6*BB116/100</f>
        <v>24.948800000000002</v>
      </c>
      <c r="CB116" s="3" t="s">
        <v>92</v>
      </c>
      <c r="CC116" s="3" t="s">
        <v>92</v>
      </c>
      <c r="CD116" s="3">
        <f>12.5*BB116/100</f>
        <v>6.2874999999999996</v>
      </c>
      <c r="CF116" s="3" t="s">
        <v>167</v>
      </c>
    </row>
    <row r="117" spans="1:85" s="3" customFormat="1" x14ac:dyDescent="0.15">
      <c r="A117" s="3" t="s">
        <v>90</v>
      </c>
      <c r="B117" s="3" t="s">
        <v>166</v>
      </c>
      <c r="C117" s="3" t="s">
        <v>92</v>
      </c>
      <c r="D117" s="3">
        <v>59.54</v>
      </c>
      <c r="E117" s="3" t="s">
        <v>93</v>
      </c>
      <c r="F117" s="3">
        <v>0.02</v>
      </c>
      <c r="G117" s="3">
        <f>((D117/1000)/(F117))*60</f>
        <v>178.62</v>
      </c>
      <c r="H117" s="3">
        <v>650</v>
      </c>
      <c r="I117" s="3" t="s">
        <v>92</v>
      </c>
      <c r="J117" s="3" t="s">
        <v>92</v>
      </c>
      <c r="M117" s="3" t="s">
        <v>92</v>
      </c>
      <c r="N117" s="3" t="s">
        <v>92</v>
      </c>
      <c r="O117" s="3" t="s">
        <v>92</v>
      </c>
      <c r="S117" s="56">
        <v>13.2</v>
      </c>
      <c r="W117" s="56" t="s">
        <v>92</v>
      </c>
      <c r="AA117" s="56" t="s">
        <v>92</v>
      </c>
      <c r="AE117" s="56">
        <v>0.3</v>
      </c>
      <c r="AI117" s="56">
        <v>51</v>
      </c>
      <c r="AM117" s="56">
        <v>5.3</v>
      </c>
      <c r="AQ117" s="56" t="s">
        <v>142</v>
      </c>
      <c r="AU117" s="56">
        <v>43.6</v>
      </c>
      <c r="AV117" s="56">
        <v>15.4</v>
      </c>
      <c r="AZ117" s="3">
        <f t="shared" si="11"/>
        <v>99.300000000000011</v>
      </c>
      <c r="BA117" s="3">
        <f t="shared" si="8"/>
        <v>0.69999999999998863</v>
      </c>
      <c r="BB117" s="3">
        <v>44.7</v>
      </c>
      <c r="BC117" s="3">
        <v>32</v>
      </c>
      <c r="BD117" s="3">
        <v>22.6</v>
      </c>
      <c r="BE117" s="3" t="s">
        <v>96</v>
      </c>
      <c r="BF117" s="3">
        <f t="shared" si="9"/>
        <v>45.399999999999991</v>
      </c>
      <c r="BH117" s="3">
        <f t="shared" si="10"/>
        <v>7.3</v>
      </c>
      <c r="BI117" s="3">
        <v>0</v>
      </c>
      <c r="BJ117" s="3">
        <v>0</v>
      </c>
      <c r="BK117" s="3">
        <v>7.3</v>
      </c>
      <c r="BL117" s="3">
        <v>1.9</v>
      </c>
      <c r="BM117" s="3">
        <v>2.7</v>
      </c>
      <c r="BN117" s="3">
        <v>7.2</v>
      </c>
      <c r="BP117" s="3">
        <v>2.2999999999999998</v>
      </c>
      <c r="BQ117" s="3">
        <v>1.4</v>
      </c>
      <c r="BR117" s="3">
        <f>0.4+2.8</f>
        <v>3.1999999999999997</v>
      </c>
      <c r="BS117" s="3" t="s">
        <v>92</v>
      </c>
      <c r="BT117" s="3" t="s">
        <v>92</v>
      </c>
      <c r="BU117" s="3" t="s">
        <v>92</v>
      </c>
      <c r="BV117" s="3">
        <f>8.1*BB117/100</f>
        <v>3.6206999999999998</v>
      </c>
      <c r="BW117" s="3" t="s">
        <v>92</v>
      </c>
      <c r="BX117" s="3">
        <f>0.8*BB117/100</f>
        <v>0.35760000000000003</v>
      </c>
      <c r="BY117" s="3" t="s">
        <v>92</v>
      </c>
      <c r="BZ117" s="3" t="s">
        <v>92</v>
      </c>
      <c r="CA117" s="3">
        <f>41*BB117/100</f>
        <v>18.327000000000002</v>
      </c>
      <c r="CB117" s="3" t="s">
        <v>92</v>
      </c>
      <c r="CC117" s="3" t="s">
        <v>92</v>
      </c>
      <c r="CD117" s="3">
        <f>12.9*BB117/100</f>
        <v>5.7663000000000011</v>
      </c>
      <c r="CF117" s="3" t="s">
        <v>167</v>
      </c>
    </row>
    <row r="118" spans="1:85" s="29" customFormat="1" x14ac:dyDescent="0.15">
      <c r="A118" s="29" t="s">
        <v>90</v>
      </c>
      <c r="B118" s="29" t="s">
        <v>157</v>
      </c>
      <c r="C118" s="29" t="s">
        <v>92</v>
      </c>
      <c r="D118" s="29" t="s">
        <v>92</v>
      </c>
      <c r="E118" s="29" t="s">
        <v>92</v>
      </c>
      <c r="F118" s="29" t="s">
        <v>92</v>
      </c>
      <c r="G118" s="29" t="s">
        <v>92</v>
      </c>
      <c r="H118" s="29">
        <v>750</v>
      </c>
      <c r="I118" s="29" t="s">
        <v>92</v>
      </c>
      <c r="J118" s="29">
        <v>0.15</v>
      </c>
      <c r="M118" s="29" t="s">
        <v>92</v>
      </c>
      <c r="N118" s="29" t="s">
        <v>92</v>
      </c>
      <c r="O118" s="29" t="s">
        <v>92</v>
      </c>
      <c r="S118" s="56" t="s">
        <v>92</v>
      </c>
      <c r="W118" s="56">
        <v>85.89</v>
      </c>
      <c r="AA118" s="56">
        <v>0</v>
      </c>
      <c r="AE118" s="56">
        <v>0.84</v>
      </c>
      <c r="AI118" s="56">
        <v>49.37</v>
      </c>
      <c r="AM118" s="56">
        <v>6.94</v>
      </c>
      <c r="AQ118" s="56">
        <v>0.04</v>
      </c>
      <c r="AU118" s="56">
        <v>42.8</v>
      </c>
      <c r="AV118" s="56" t="s">
        <v>92</v>
      </c>
      <c r="AZ118" s="29" t="e">
        <f t="shared" si="11"/>
        <v>#VALUE!</v>
      </c>
      <c r="BA118" s="29" t="e">
        <f t="shared" si="8"/>
        <v>#VALUE!</v>
      </c>
      <c r="BB118" s="29" t="s">
        <v>92</v>
      </c>
      <c r="BC118" s="29" t="s">
        <v>92</v>
      </c>
      <c r="BD118" s="29" t="s">
        <v>92</v>
      </c>
      <c r="BE118" s="29" t="s">
        <v>96</v>
      </c>
      <c r="BF118" s="29" t="e">
        <f t="shared" si="9"/>
        <v>#VALUE!</v>
      </c>
      <c r="BH118" s="29">
        <f t="shared" si="10"/>
        <v>29.55</v>
      </c>
      <c r="BI118" s="29">
        <v>0</v>
      </c>
      <c r="BJ118" s="29">
        <v>0</v>
      </c>
      <c r="BK118" s="29">
        <v>29.55</v>
      </c>
      <c r="BL118" s="29">
        <v>10.55</v>
      </c>
      <c r="BM118" s="29" t="s">
        <v>92</v>
      </c>
      <c r="BN118" s="29">
        <v>9.16</v>
      </c>
      <c r="BO118" s="29" t="s">
        <v>92</v>
      </c>
      <c r="BP118" s="29" t="s">
        <v>92</v>
      </c>
      <c r="BQ118" s="29" t="s">
        <v>92</v>
      </c>
      <c r="BR118" s="29" t="s">
        <v>92</v>
      </c>
      <c r="BS118" s="29" t="s">
        <v>92</v>
      </c>
      <c r="BT118" s="29" t="s">
        <v>92</v>
      </c>
      <c r="BU118" s="29" t="s">
        <v>92</v>
      </c>
      <c r="BV118" s="29">
        <v>5.69</v>
      </c>
      <c r="BW118" s="29" t="s">
        <v>92</v>
      </c>
      <c r="BX118" s="29" t="s">
        <v>92</v>
      </c>
      <c r="BY118" s="29" t="s">
        <v>92</v>
      </c>
      <c r="BZ118" s="29" t="s">
        <v>92</v>
      </c>
      <c r="CA118" s="29" t="s">
        <v>92</v>
      </c>
      <c r="CB118" s="29" t="s">
        <v>92</v>
      </c>
      <c r="CC118" s="29" t="s">
        <v>92</v>
      </c>
      <c r="CD118" s="29" t="s">
        <v>92</v>
      </c>
      <c r="CF118" s="29" t="s">
        <v>168</v>
      </c>
      <c r="CG118" s="29" t="s">
        <v>122</v>
      </c>
    </row>
    <row r="119" spans="1:85" s="29" customFormat="1" x14ac:dyDescent="0.15">
      <c r="A119" s="29" t="s">
        <v>90</v>
      </c>
      <c r="B119" s="29" t="s">
        <v>91</v>
      </c>
      <c r="C119" s="29">
        <v>5500</v>
      </c>
      <c r="D119" s="29" t="s">
        <v>92</v>
      </c>
      <c r="E119" s="29" t="s">
        <v>93</v>
      </c>
      <c r="F119" s="29">
        <v>75</v>
      </c>
      <c r="G119" s="29">
        <f>((C119/1000)/(F119))*60</f>
        <v>4.4000000000000004</v>
      </c>
      <c r="H119" s="29">
        <v>550</v>
      </c>
      <c r="I119" s="29" t="s">
        <v>92</v>
      </c>
      <c r="J119" s="29">
        <f>(0.25+0.85)/2</f>
        <v>0.55000000000000004</v>
      </c>
      <c r="K119" s="29" t="s">
        <v>112</v>
      </c>
      <c r="L119" s="29">
        <f>(0.3+0.45)/2</f>
        <v>0.375</v>
      </c>
      <c r="M119" s="29">
        <v>33.299999999999997</v>
      </c>
      <c r="N119" s="29" t="s">
        <v>92</v>
      </c>
      <c r="O119" s="29" t="s">
        <v>92</v>
      </c>
      <c r="S119" s="56">
        <v>6.59</v>
      </c>
      <c r="W119" s="56">
        <v>72.83</v>
      </c>
      <c r="AA119" s="56">
        <v>0.79</v>
      </c>
      <c r="AE119" s="56">
        <v>5.92</v>
      </c>
      <c r="AI119" s="56">
        <v>46.35</v>
      </c>
      <c r="AM119" s="56">
        <v>6.96</v>
      </c>
      <c r="AQ119" s="56">
        <v>0.06</v>
      </c>
      <c r="AU119" s="56">
        <v>45.84</v>
      </c>
      <c r="AV119" s="56">
        <v>16.04</v>
      </c>
      <c r="AZ119" s="29">
        <f t="shared" si="11"/>
        <v>100</v>
      </c>
      <c r="BA119" s="29">
        <f t="shared" si="8"/>
        <v>0</v>
      </c>
      <c r="BB119" s="29">
        <v>45.3</v>
      </c>
      <c r="BC119" s="29">
        <v>22.8</v>
      </c>
      <c r="BD119" s="29">
        <v>31.9</v>
      </c>
      <c r="BE119" s="29" t="s">
        <v>96</v>
      </c>
      <c r="BF119" s="29">
        <f t="shared" si="9"/>
        <v>45.3</v>
      </c>
      <c r="BH119" s="29">
        <f t="shared" si="10"/>
        <v>16.434839999999998</v>
      </c>
      <c r="BI119" s="29">
        <v>0</v>
      </c>
      <c r="BJ119" s="29">
        <v>0</v>
      </c>
      <c r="BK119" s="29">
        <f>36.28*BB119/100</f>
        <v>16.434839999999998</v>
      </c>
      <c r="BL119" s="29">
        <f>10.73*BB119/100</f>
        <v>4.86069</v>
      </c>
      <c r="BM119" s="29">
        <f>13.32*BB119/100</f>
        <v>6.0339599999999995</v>
      </c>
      <c r="BN119" s="29">
        <f>6.42*BB119/100</f>
        <v>2.9082599999999998</v>
      </c>
      <c r="BO119" s="29">
        <f>4.9*BB119/100</f>
        <v>2.2197</v>
      </c>
      <c r="BP119" s="29">
        <f>1.81*BB119/100</f>
        <v>0.81992999999999994</v>
      </c>
      <c r="BQ119" s="29">
        <f>2.02*BB119/100</f>
        <v>0.91505999999999998</v>
      </c>
      <c r="BR119" s="29">
        <f>0.4*BB119/100</f>
        <v>0.1812</v>
      </c>
      <c r="BS119" s="29" t="s">
        <v>92</v>
      </c>
      <c r="BT119" s="29" t="s">
        <v>92</v>
      </c>
      <c r="BU119" s="29" t="s">
        <v>92</v>
      </c>
      <c r="BV119" s="29">
        <f>11.3*BB119/100</f>
        <v>5.1189</v>
      </c>
      <c r="BW119" s="29" t="s">
        <v>92</v>
      </c>
      <c r="BX119" s="29">
        <f>3.35*BB119/100</f>
        <v>1.51755</v>
      </c>
      <c r="BY119" s="29" t="s">
        <v>92</v>
      </c>
      <c r="BZ119" s="29" t="s">
        <v>92</v>
      </c>
      <c r="CA119" s="29" t="s">
        <v>92</v>
      </c>
      <c r="CB119" s="29" t="s">
        <v>92</v>
      </c>
      <c r="CC119" s="29" t="s">
        <v>92</v>
      </c>
      <c r="CD119" s="29">
        <v>5.74</v>
      </c>
      <c r="CF119" s="41" t="s">
        <v>169</v>
      </c>
    </row>
    <row r="120" spans="1:85" s="29" customFormat="1" x14ac:dyDescent="0.15">
      <c r="A120" s="29" t="s">
        <v>90</v>
      </c>
      <c r="B120" s="29" t="s">
        <v>91</v>
      </c>
      <c r="C120" s="29">
        <v>34.39</v>
      </c>
      <c r="D120" s="29" t="s">
        <v>92</v>
      </c>
      <c r="E120" s="29" t="s">
        <v>93</v>
      </c>
      <c r="F120" s="29">
        <v>1.7150000000000001</v>
      </c>
      <c r="G120" s="29">
        <f>((C120/1000)/(F120))*60</f>
        <v>1.2031486880466473</v>
      </c>
      <c r="H120" s="29">
        <v>650</v>
      </c>
      <c r="I120" s="29" t="s">
        <v>92</v>
      </c>
      <c r="J120" s="29">
        <v>0.35</v>
      </c>
      <c r="K120" s="29" t="s">
        <v>135</v>
      </c>
      <c r="L120" s="29" t="s">
        <v>92</v>
      </c>
      <c r="M120" s="29">
        <v>0.24</v>
      </c>
      <c r="N120" s="29" t="s">
        <v>92</v>
      </c>
      <c r="O120" s="29" t="s">
        <v>92</v>
      </c>
      <c r="S120" s="56">
        <v>10</v>
      </c>
      <c r="W120" s="56" t="s">
        <v>92</v>
      </c>
      <c r="AA120" s="56" t="s">
        <v>92</v>
      </c>
      <c r="AE120" s="56" t="s">
        <v>92</v>
      </c>
      <c r="AI120" s="56">
        <v>48.27</v>
      </c>
      <c r="AM120" s="56">
        <v>6.45</v>
      </c>
      <c r="AQ120" s="56">
        <v>0.09</v>
      </c>
      <c r="AU120" s="56">
        <v>45.19</v>
      </c>
      <c r="AV120" s="56" t="s">
        <v>92</v>
      </c>
      <c r="AZ120" s="29">
        <f t="shared" si="11"/>
        <v>88.199999999999989</v>
      </c>
      <c r="BA120" s="29">
        <f t="shared" si="8"/>
        <v>11.800000000000011</v>
      </c>
      <c r="BB120" s="29">
        <v>50.6</v>
      </c>
      <c r="BC120" s="29">
        <v>3.8</v>
      </c>
      <c r="BD120" s="29">
        <v>33.799999999999997</v>
      </c>
      <c r="BE120" s="29" t="s">
        <v>101</v>
      </c>
      <c r="BF120" s="29">
        <f t="shared" si="9"/>
        <v>62.400000000000013</v>
      </c>
      <c r="BH120" s="29">
        <f t="shared" si="10"/>
        <v>0</v>
      </c>
      <c r="BI120" s="29">
        <v>0</v>
      </c>
      <c r="BJ120" s="29">
        <v>0</v>
      </c>
      <c r="BK120" s="29">
        <v>0</v>
      </c>
      <c r="BL120" s="29" t="s">
        <v>92</v>
      </c>
      <c r="BM120" s="29" t="s">
        <v>92</v>
      </c>
      <c r="BN120" s="29" t="s">
        <v>92</v>
      </c>
      <c r="BO120" s="29" t="s">
        <v>92</v>
      </c>
      <c r="BP120" s="29" t="s">
        <v>92</v>
      </c>
      <c r="BQ120" s="29" t="s">
        <v>92</v>
      </c>
      <c r="BR120" s="29" t="s">
        <v>92</v>
      </c>
      <c r="BS120" s="29" t="s">
        <v>92</v>
      </c>
      <c r="BT120" s="29" t="s">
        <v>92</v>
      </c>
      <c r="BU120" s="29" t="s">
        <v>92</v>
      </c>
      <c r="BV120" s="29" t="s">
        <v>92</v>
      </c>
      <c r="BW120" s="29" t="s">
        <v>92</v>
      </c>
      <c r="BX120" s="29" t="s">
        <v>92</v>
      </c>
      <c r="BY120" s="29" t="s">
        <v>92</v>
      </c>
      <c r="BZ120" s="29" t="s">
        <v>92</v>
      </c>
      <c r="CA120" s="29" t="s">
        <v>92</v>
      </c>
      <c r="CB120" s="29" t="s">
        <v>92</v>
      </c>
      <c r="CC120" s="29" t="s">
        <v>92</v>
      </c>
      <c r="CD120" s="29" t="s">
        <v>92</v>
      </c>
      <c r="CF120" s="41" t="s">
        <v>170</v>
      </c>
    </row>
    <row r="121" spans="1:85" s="3" customFormat="1" x14ac:dyDescent="0.15">
      <c r="A121" s="3" t="s">
        <v>90</v>
      </c>
      <c r="B121" s="3" t="s">
        <v>91</v>
      </c>
      <c r="C121" s="3">
        <v>34.39</v>
      </c>
      <c r="D121" s="3" t="s">
        <v>92</v>
      </c>
      <c r="E121" s="3" t="s">
        <v>93</v>
      </c>
      <c r="F121" s="3">
        <v>1.7150000000000001</v>
      </c>
      <c r="G121" s="3">
        <f>((C121/1000)/(F121))*60</f>
        <v>1.2031486880466473</v>
      </c>
      <c r="H121" s="3">
        <v>700</v>
      </c>
      <c r="I121" s="3" t="s">
        <v>92</v>
      </c>
      <c r="J121" s="3">
        <v>0.35</v>
      </c>
      <c r="K121" s="3" t="s">
        <v>135</v>
      </c>
      <c r="L121" s="3" t="s">
        <v>92</v>
      </c>
      <c r="M121" s="3">
        <v>0.39150000000000001</v>
      </c>
      <c r="N121" s="3" t="s">
        <v>92</v>
      </c>
      <c r="O121" s="3" t="s">
        <v>92</v>
      </c>
      <c r="S121" s="56">
        <v>10</v>
      </c>
      <c r="W121" s="56" t="s">
        <v>92</v>
      </c>
      <c r="AA121" s="56" t="s">
        <v>92</v>
      </c>
      <c r="AE121" s="56" t="s">
        <v>92</v>
      </c>
      <c r="AI121" s="56">
        <v>48.27</v>
      </c>
      <c r="AM121" s="56">
        <v>6.45</v>
      </c>
      <c r="AQ121" s="56">
        <v>0.09</v>
      </c>
      <c r="AU121" s="56">
        <v>45.19</v>
      </c>
      <c r="AV121" s="56" t="s">
        <v>92</v>
      </c>
      <c r="AZ121" s="3">
        <f t="shared" si="11"/>
        <v>92</v>
      </c>
      <c r="BA121" s="3">
        <f t="shared" si="8"/>
        <v>8</v>
      </c>
      <c r="BB121" s="3">
        <v>38.799999999999997</v>
      </c>
      <c r="BC121" s="3">
        <v>3.6</v>
      </c>
      <c r="BD121" s="3">
        <v>49.6</v>
      </c>
      <c r="BE121" s="3" t="s">
        <v>101</v>
      </c>
      <c r="BF121" s="3">
        <f t="shared" si="9"/>
        <v>46.8</v>
      </c>
      <c r="BH121" s="11">
        <f t="shared" si="10"/>
        <v>0</v>
      </c>
      <c r="BI121" s="3">
        <v>0</v>
      </c>
      <c r="BJ121" s="3">
        <v>0</v>
      </c>
      <c r="BK121" s="3">
        <v>0</v>
      </c>
      <c r="BL121" s="11" t="s">
        <v>92</v>
      </c>
      <c r="BM121" s="3" t="s">
        <v>92</v>
      </c>
      <c r="BN121" s="11" t="s">
        <v>92</v>
      </c>
      <c r="BO121" s="11" t="s">
        <v>92</v>
      </c>
      <c r="BP121" s="3" t="s">
        <v>92</v>
      </c>
      <c r="BQ121" s="3" t="s">
        <v>92</v>
      </c>
      <c r="BR121" s="3" t="s">
        <v>92</v>
      </c>
      <c r="BS121" s="3" t="s">
        <v>92</v>
      </c>
      <c r="BT121" s="3" t="s">
        <v>92</v>
      </c>
      <c r="BU121" s="3" t="s">
        <v>92</v>
      </c>
      <c r="BV121" s="3" t="s">
        <v>92</v>
      </c>
      <c r="BW121" s="3" t="s">
        <v>92</v>
      </c>
      <c r="BX121" s="3" t="s">
        <v>92</v>
      </c>
      <c r="BY121" s="3" t="s">
        <v>92</v>
      </c>
      <c r="BZ121" s="3" t="s">
        <v>92</v>
      </c>
      <c r="CA121" s="3" t="s">
        <v>92</v>
      </c>
      <c r="CB121" s="3" t="s">
        <v>92</v>
      </c>
      <c r="CC121" s="3" t="s">
        <v>92</v>
      </c>
      <c r="CD121" s="3" t="s">
        <v>92</v>
      </c>
      <c r="CF121" s="42" t="s">
        <v>170</v>
      </c>
    </row>
    <row r="122" spans="1:85" s="29" customFormat="1" x14ac:dyDescent="0.15">
      <c r="A122" s="29" t="s">
        <v>90</v>
      </c>
      <c r="B122" s="29" t="s">
        <v>171</v>
      </c>
      <c r="C122" s="29" t="s">
        <v>92</v>
      </c>
      <c r="D122" s="29" t="s">
        <v>92</v>
      </c>
      <c r="E122" s="29" t="s">
        <v>93</v>
      </c>
      <c r="F122" s="29">
        <v>0.09</v>
      </c>
      <c r="G122" s="29" t="s">
        <v>92</v>
      </c>
      <c r="H122" s="29">
        <v>500</v>
      </c>
      <c r="I122" s="29" t="s">
        <v>92</v>
      </c>
      <c r="J122" s="29" t="s">
        <v>172</v>
      </c>
      <c r="M122" s="29" t="s">
        <v>92</v>
      </c>
      <c r="N122" s="29" t="s">
        <v>92</v>
      </c>
      <c r="O122" s="29" t="s">
        <v>92</v>
      </c>
      <c r="S122" s="56" t="s">
        <v>92</v>
      </c>
      <c r="W122" s="56">
        <v>84.14</v>
      </c>
      <c r="AA122" s="56" t="s">
        <v>92</v>
      </c>
      <c r="AE122" s="56">
        <v>0.38</v>
      </c>
      <c r="AI122" s="56">
        <v>53.75</v>
      </c>
      <c r="AM122" s="56">
        <v>5.93</v>
      </c>
      <c r="AQ122" s="56">
        <v>0.13</v>
      </c>
      <c r="AU122" s="56">
        <v>40.18</v>
      </c>
      <c r="AV122" s="56" t="s">
        <v>92</v>
      </c>
      <c r="AZ122" s="29">
        <f t="shared" si="11"/>
        <v>100.26</v>
      </c>
      <c r="BA122" s="29">
        <f t="shared" si="8"/>
        <v>-0.26000000000000512</v>
      </c>
      <c r="BB122" s="29">
        <f>15.26+27.1</f>
        <v>42.36</v>
      </c>
      <c r="BC122" s="29">
        <v>26.7</v>
      </c>
      <c r="BD122" s="29">
        <v>31.2</v>
      </c>
      <c r="BE122" s="29" t="s">
        <v>96</v>
      </c>
      <c r="BF122" s="29">
        <f t="shared" si="9"/>
        <v>42.099999999999994</v>
      </c>
      <c r="BH122" s="29">
        <f t="shared" si="10"/>
        <v>61.43</v>
      </c>
      <c r="BI122" s="29">
        <v>0</v>
      </c>
      <c r="BJ122" s="29">
        <v>0</v>
      </c>
      <c r="BK122" s="29">
        <f>0.79+3.7+0.88+56.06</f>
        <v>61.43</v>
      </c>
      <c r="BL122" s="29" t="s">
        <v>92</v>
      </c>
      <c r="BM122" s="29">
        <v>17.239999999999998</v>
      </c>
      <c r="BN122" s="29" t="s">
        <v>92</v>
      </c>
      <c r="BO122" s="29" t="s">
        <v>92</v>
      </c>
      <c r="BP122" s="29" t="s">
        <v>92</v>
      </c>
      <c r="BQ122" s="29" t="s">
        <v>92</v>
      </c>
      <c r="BR122" s="29" t="s">
        <v>92</v>
      </c>
      <c r="BS122" s="29" t="s">
        <v>92</v>
      </c>
      <c r="BT122" s="29" t="s">
        <v>92</v>
      </c>
      <c r="BU122" s="29" t="s">
        <v>92</v>
      </c>
      <c r="BV122" s="29" t="s">
        <v>92</v>
      </c>
      <c r="BW122" s="29" t="s">
        <v>92</v>
      </c>
      <c r="BX122" s="29" t="s">
        <v>92</v>
      </c>
      <c r="BY122" s="29" t="s">
        <v>92</v>
      </c>
      <c r="BZ122" s="29" t="s">
        <v>92</v>
      </c>
      <c r="CA122" s="29" t="s">
        <v>92</v>
      </c>
      <c r="CB122" s="29" t="s">
        <v>92</v>
      </c>
      <c r="CC122" s="29" t="s">
        <v>92</v>
      </c>
      <c r="CD122" s="29" t="s">
        <v>92</v>
      </c>
      <c r="CF122" s="29" t="s">
        <v>173</v>
      </c>
    </row>
    <row r="123" spans="1:85" s="3" customFormat="1" x14ac:dyDescent="0.15">
      <c r="A123" s="3" t="s">
        <v>90</v>
      </c>
      <c r="B123" s="3" t="s">
        <v>171</v>
      </c>
      <c r="C123" s="3" t="s">
        <v>92</v>
      </c>
      <c r="D123" s="3" t="s">
        <v>92</v>
      </c>
      <c r="E123" s="3" t="s">
        <v>93</v>
      </c>
      <c r="F123" s="3">
        <v>0.09</v>
      </c>
      <c r="G123" s="3" t="s">
        <v>92</v>
      </c>
      <c r="H123" s="3">
        <v>700</v>
      </c>
      <c r="I123" s="3" t="s">
        <v>92</v>
      </c>
      <c r="J123" s="3" t="s">
        <v>172</v>
      </c>
      <c r="M123" s="3" t="s">
        <v>92</v>
      </c>
      <c r="N123" s="3" t="s">
        <v>92</v>
      </c>
      <c r="O123" s="3" t="s">
        <v>92</v>
      </c>
      <c r="S123" s="56" t="s">
        <v>92</v>
      </c>
      <c r="W123" s="56">
        <v>84.14</v>
      </c>
      <c r="AA123" s="56" t="s">
        <v>92</v>
      </c>
      <c r="AE123" s="56">
        <v>0.38</v>
      </c>
      <c r="AI123" s="56">
        <v>53.75</v>
      </c>
      <c r="AM123" s="56">
        <v>5.96</v>
      </c>
      <c r="AQ123" s="56">
        <v>0.13</v>
      </c>
      <c r="AU123" s="56">
        <v>40.18</v>
      </c>
      <c r="AV123" s="56" t="s">
        <v>92</v>
      </c>
      <c r="AZ123" s="3" t="e">
        <f t="shared" si="11"/>
        <v>#VALUE!</v>
      </c>
      <c r="BA123" s="3" t="e">
        <f t="shared" si="8"/>
        <v>#VALUE!</v>
      </c>
      <c r="BB123" s="3" t="s">
        <v>92</v>
      </c>
      <c r="BC123" s="3" t="s">
        <v>92</v>
      </c>
      <c r="BD123" s="3" t="s">
        <v>92</v>
      </c>
      <c r="BF123" s="3" t="e">
        <f t="shared" si="9"/>
        <v>#VALUE!</v>
      </c>
      <c r="BH123" s="11">
        <f t="shared" si="10"/>
        <v>65.099999999999994</v>
      </c>
      <c r="BI123" s="3">
        <v>0</v>
      </c>
      <c r="BJ123" s="3">
        <v>0</v>
      </c>
      <c r="BK123" s="3">
        <f>2.2+4.1+3.4+55.4</f>
        <v>65.099999999999994</v>
      </c>
      <c r="BL123" s="11" t="s">
        <v>92</v>
      </c>
      <c r="BM123" s="3">
        <v>15.9</v>
      </c>
      <c r="BN123" s="11" t="s">
        <v>92</v>
      </c>
      <c r="BO123" s="11" t="s">
        <v>92</v>
      </c>
      <c r="BP123" s="3" t="s">
        <v>92</v>
      </c>
      <c r="BQ123" s="3" t="s">
        <v>92</v>
      </c>
      <c r="BR123" s="3" t="s">
        <v>92</v>
      </c>
      <c r="BS123" s="3" t="s">
        <v>92</v>
      </c>
      <c r="BT123" s="3" t="s">
        <v>92</v>
      </c>
      <c r="BU123" s="3" t="s">
        <v>92</v>
      </c>
      <c r="BV123" s="3" t="s">
        <v>92</v>
      </c>
      <c r="BW123" s="3" t="s">
        <v>92</v>
      </c>
      <c r="BX123" s="3" t="s">
        <v>92</v>
      </c>
      <c r="BY123" s="3" t="s">
        <v>92</v>
      </c>
      <c r="BZ123" s="3" t="s">
        <v>92</v>
      </c>
      <c r="CA123" s="3" t="s">
        <v>92</v>
      </c>
      <c r="CB123" s="3" t="s">
        <v>92</v>
      </c>
      <c r="CC123" s="3" t="s">
        <v>92</v>
      </c>
      <c r="CD123" s="3" t="s">
        <v>92</v>
      </c>
      <c r="CF123" s="16" t="s">
        <v>173</v>
      </c>
    </row>
    <row r="124" spans="1:85" s="29" customFormat="1" x14ac:dyDescent="0.15">
      <c r="A124" s="29" t="s">
        <v>90</v>
      </c>
      <c r="B124" s="29" t="s">
        <v>100</v>
      </c>
      <c r="C124" s="29" t="s">
        <v>92</v>
      </c>
      <c r="D124" s="29" t="s">
        <v>92</v>
      </c>
      <c r="E124" s="29" t="s">
        <v>93</v>
      </c>
      <c r="F124" s="29">
        <v>0.3</v>
      </c>
      <c r="G124" s="29" t="s">
        <v>92</v>
      </c>
      <c r="H124" s="29">
        <v>400</v>
      </c>
      <c r="I124" s="29" t="s">
        <v>92</v>
      </c>
      <c r="J124" s="29">
        <v>0.65</v>
      </c>
      <c r="M124" s="29" t="s">
        <v>92</v>
      </c>
      <c r="N124" s="29" t="s">
        <v>92</v>
      </c>
      <c r="O124" s="29" t="s">
        <v>92</v>
      </c>
      <c r="S124" s="56">
        <v>9.9600000000000009</v>
      </c>
      <c r="W124" s="56">
        <v>78.75</v>
      </c>
      <c r="AA124" s="56">
        <v>0.09</v>
      </c>
      <c r="AE124" s="56">
        <v>0.81</v>
      </c>
      <c r="AI124" s="56">
        <v>50.43</v>
      </c>
      <c r="AM124" s="56">
        <v>6.15</v>
      </c>
      <c r="AQ124" s="56">
        <v>0.12</v>
      </c>
      <c r="AU124" s="56">
        <v>42.4</v>
      </c>
      <c r="AV124" s="56">
        <v>18.87</v>
      </c>
      <c r="AZ124" s="29" t="e">
        <f t="shared" si="11"/>
        <v>#VALUE!</v>
      </c>
      <c r="BA124" s="29" t="e">
        <f t="shared" si="8"/>
        <v>#VALUE!</v>
      </c>
      <c r="BB124" s="29" t="s">
        <v>92</v>
      </c>
      <c r="BC124" s="29" t="s">
        <v>92</v>
      </c>
      <c r="BD124" s="29" t="s">
        <v>92</v>
      </c>
      <c r="BF124" s="29" t="e">
        <f t="shared" si="9"/>
        <v>#VALUE!</v>
      </c>
      <c r="BH124" s="29">
        <f t="shared" si="10"/>
        <v>0</v>
      </c>
      <c r="BI124" s="29">
        <v>0</v>
      </c>
      <c r="BJ124" s="29">
        <v>0</v>
      </c>
      <c r="BK124" s="29">
        <v>0</v>
      </c>
      <c r="BL124" s="29" t="s">
        <v>92</v>
      </c>
      <c r="BM124" s="29" t="s">
        <v>92</v>
      </c>
      <c r="BN124" s="29" t="s">
        <v>92</v>
      </c>
      <c r="BO124" s="29" t="s">
        <v>92</v>
      </c>
      <c r="BP124" s="29">
        <v>9.8000000000000007</v>
      </c>
      <c r="BR124" s="29">
        <v>4.8</v>
      </c>
      <c r="BS124" s="29" t="s">
        <v>92</v>
      </c>
      <c r="BT124" s="29">
        <v>11.9</v>
      </c>
      <c r="BU124" s="29" t="s">
        <v>92</v>
      </c>
      <c r="BV124" s="29">
        <v>5.7</v>
      </c>
      <c r="BW124" s="29" t="s">
        <v>92</v>
      </c>
      <c r="BX124" s="29" t="s">
        <v>92</v>
      </c>
      <c r="BY124" s="29" t="s">
        <v>92</v>
      </c>
      <c r="BZ124" s="29" t="s">
        <v>92</v>
      </c>
      <c r="CA124" s="29" t="s">
        <v>92</v>
      </c>
      <c r="CB124" s="29" t="s">
        <v>92</v>
      </c>
      <c r="CC124" s="29" t="s">
        <v>92</v>
      </c>
      <c r="CD124" s="29">
        <v>67.400000000000006</v>
      </c>
      <c r="CF124" s="29" t="s">
        <v>174</v>
      </c>
      <c r="CG124" s="29" t="s">
        <v>122</v>
      </c>
    </row>
    <row r="125" spans="1:85" s="3" customFormat="1" x14ac:dyDescent="0.15">
      <c r="A125" s="3" t="s">
        <v>90</v>
      </c>
      <c r="B125" s="3" t="s">
        <v>100</v>
      </c>
      <c r="C125" s="3" t="s">
        <v>92</v>
      </c>
      <c r="D125" s="3" t="s">
        <v>92</v>
      </c>
      <c r="E125" s="3" t="s">
        <v>93</v>
      </c>
      <c r="F125" s="3">
        <v>0.3</v>
      </c>
      <c r="G125" s="3" t="s">
        <v>92</v>
      </c>
      <c r="H125" s="3">
        <v>450</v>
      </c>
      <c r="I125" s="3" t="s">
        <v>92</v>
      </c>
      <c r="J125" s="3">
        <v>0.65</v>
      </c>
      <c r="M125" s="3" t="s">
        <v>92</v>
      </c>
      <c r="N125" s="3" t="s">
        <v>92</v>
      </c>
      <c r="O125" s="3" t="s">
        <v>92</v>
      </c>
      <c r="S125" s="56">
        <v>9.9600000000000009</v>
      </c>
      <c r="W125" s="56">
        <v>78.75</v>
      </c>
      <c r="AA125" s="56">
        <v>0.09</v>
      </c>
      <c r="AE125" s="56">
        <v>0.81</v>
      </c>
      <c r="AI125" s="56">
        <v>50.43</v>
      </c>
      <c r="AM125" s="56">
        <v>6.15</v>
      </c>
      <c r="AQ125" s="56">
        <v>0.12</v>
      </c>
      <c r="AU125" s="56">
        <v>42.4</v>
      </c>
      <c r="AV125" s="56">
        <v>18.87</v>
      </c>
      <c r="AZ125" s="3">
        <f t="shared" si="11"/>
        <v>100</v>
      </c>
      <c r="BA125" s="3">
        <f t="shared" si="8"/>
        <v>0</v>
      </c>
      <c r="BB125" s="3">
        <v>60.34</v>
      </c>
      <c r="BC125" s="3">
        <f>79.1-BB125</f>
        <v>18.759999999999991</v>
      </c>
      <c r="BD125" s="3">
        <f>100-79.1</f>
        <v>20.900000000000006</v>
      </c>
      <c r="BE125" s="3" t="s">
        <v>101</v>
      </c>
      <c r="BF125" s="3">
        <f t="shared" si="9"/>
        <v>60.34</v>
      </c>
      <c r="BH125" s="11">
        <f t="shared" si="10"/>
        <v>0</v>
      </c>
      <c r="BI125" s="3">
        <v>0</v>
      </c>
      <c r="BJ125" s="3">
        <v>0</v>
      </c>
      <c r="BK125" s="3">
        <v>0</v>
      </c>
      <c r="BL125" s="11" t="s">
        <v>92</v>
      </c>
      <c r="BM125" s="3" t="s">
        <v>92</v>
      </c>
      <c r="BN125" s="11" t="s">
        <v>92</v>
      </c>
      <c r="BO125" s="11" t="s">
        <v>92</v>
      </c>
      <c r="BP125" s="3">
        <v>3.8</v>
      </c>
      <c r="BQ125" s="3" t="s">
        <v>92</v>
      </c>
      <c r="BR125" s="3">
        <v>5.4</v>
      </c>
      <c r="BS125" s="3" t="s">
        <v>92</v>
      </c>
      <c r="BT125" s="3">
        <v>19.399999999999999</v>
      </c>
      <c r="BU125" s="3" t="s">
        <v>92</v>
      </c>
      <c r="BV125" s="3">
        <v>17.3</v>
      </c>
      <c r="BW125" s="3" t="s">
        <v>92</v>
      </c>
      <c r="BX125" s="3" t="s">
        <v>92</v>
      </c>
      <c r="BY125" s="3" t="s">
        <v>92</v>
      </c>
      <c r="BZ125" s="3" t="s">
        <v>92</v>
      </c>
      <c r="CA125" s="3" t="s">
        <v>92</v>
      </c>
      <c r="CB125" s="3" t="s">
        <v>92</v>
      </c>
      <c r="CC125" s="3" t="s">
        <v>92</v>
      </c>
      <c r="CD125" s="3">
        <v>53.9</v>
      </c>
      <c r="CF125" s="16" t="s">
        <v>174</v>
      </c>
    </row>
    <row r="126" spans="1:85" s="3" customFormat="1" x14ac:dyDescent="0.15">
      <c r="A126" s="3" t="s">
        <v>90</v>
      </c>
      <c r="B126" s="3" t="s">
        <v>100</v>
      </c>
      <c r="C126" s="3" t="s">
        <v>92</v>
      </c>
      <c r="D126" s="3" t="s">
        <v>92</v>
      </c>
      <c r="E126" s="3" t="s">
        <v>93</v>
      </c>
      <c r="F126" s="3">
        <v>0.3</v>
      </c>
      <c r="G126" s="3" t="s">
        <v>92</v>
      </c>
      <c r="H126" s="3">
        <v>500</v>
      </c>
      <c r="I126" s="3" t="s">
        <v>92</v>
      </c>
      <c r="J126" s="3">
        <v>0.65</v>
      </c>
      <c r="M126" s="3" t="s">
        <v>92</v>
      </c>
      <c r="N126" s="3" t="s">
        <v>92</v>
      </c>
      <c r="O126" s="3" t="s">
        <v>92</v>
      </c>
      <c r="S126" s="56">
        <v>9.9600000000000009</v>
      </c>
      <c r="W126" s="56">
        <v>78.75</v>
      </c>
      <c r="AA126" s="56">
        <v>0.09</v>
      </c>
      <c r="AE126" s="56">
        <v>0.81</v>
      </c>
      <c r="AI126" s="56">
        <v>50.43</v>
      </c>
      <c r="AM126" s="56">
        <v>6.15</v>
      </c>
      <c r="AQ126" s="56">
        <v>0.12</v>
      </c>
      <c r="AU126" s="56">
        <v>42.4</v>
      </c>
      <c r="AV126" s="56">
        <v>18.87</v>
      </c>
      <c r="AZ126" s="3" t="e">
        <f t="shared" si="11"/>
        <v>#VALUE!</v>
      </c>
      <c r="BA126" s="3" t="e">
        <f t="shared" si="8"/>
        <v>#VALUE!</v>
      </c>
      <c r="BB126" s="3" t="s">
        <v>92</v>
      </c>
      <c r="BC126" s="3" t="s">
        <v>92</v>
      </c>
      <c r="BD126" s="3" t="s">
        <v>92</v>
      </c>
      <c r="BF126" s="3" t="e">
        <f t="shared" si="9"/>
        <v>#VALUE!</v>
      </c>
      <c r="BH126" s="11">
        <f t="shared" si="10"/>
        <v>0</v>
      </c>
      <c r="BI126" s="3">
        <v>0</v>
      </c>
      <c r="BJ126" s="3">
        <v>0</v>
      </c>
      <c r="BK126" s="3">
        <v>0</v>
      </c>
      <c r="BL126" s="11" t="s">
        <v>92</v>
      </c>
      <c r="BM126" s="3" t="s">
        <v>92</v>
      </c>
      <c r="BN126" s="11" t="s">
        <v>92</v>
      </c>
      <c r="BO126" s="11" t="s">
        <v>92</v>
      </c>
      <c r="BP126" s="3">
        <v>6.3</v>
      </c>
      <c r="BQ126" s="3" t="s">
        <v>92</v>
      </c>
      <c r="BR126" s="3">
        <v>13.05</v>
      </c>
      <c r="BS126" s="3" t="s">
        <v>92</v>
      </c>
      <c r="BT126" s="3">
        <v>23.9</v>
      </c>
      <c r="BU126" s="3" t="s">
        <v>92</v>
      </c>
      <c r="BV126" s="3">
        <v>15.6</v>
      </c>
      <c r="BW126" s="3" t="s">
        <v>92</v>
      </c>
      <c r="BX126" s="3" t="s">
        <v>92</v>
      </c>
      <c r="BY126" s="3" t="s">
        <v>92</v>
      </c>
      <c r="BZ126" s="3" t="s">
        <v>92</v>
      </c>
      <c r="CA126" s="3" t="s">
        <v>92</v>
      </c>
      <c r="CB126" s="3" t="s">
        <v>92</v>
      </c>
      <c r="CC126" s="3" t="s">
        <v>92</v>
      </c>
      <c r="CD126" s="3">
        <v>41.2</v>
      </c>
      <c r="CF126" s="16" t="s">
        <v>174</v>
      </c>
      <c r="CG126" s="3" t="s">
        <v>175</v>
      </c>
    </row>
    <row r="127" spans="1:85" s="3" customFormat="1" x14ac:dyDescent="0.15">
      <c r="A127" s="3" t="s">
        <v>90</v>
      </c>
      <c r="B127" s="3" t="s">
        <v>100</v>
      </c>
      <c r="C127" s="3" t="s">
        <v>92</v>
      </c>
      <c r="D127" s="3" t="s">
        <v>92</v>
      </c>
      <c r="E127" s="3" t="s">
        <v>93</v>
      </c>
      <c r="F127" s="3">
        <v>0.3</v>
      </c>
      <c r="G127" s="3" t="s">
        <v>92</v>
      </c>
      <c r="H127" s="3">
        <v>550</v>
      </c>
      <c r="I127" s="3" t="s">
        <v>92</v>
      </c>
      <c r="J127" s="3">
        <v>0.65</v>
      </c>
      <c r="M127" s="3" t="s">
        <v>92</v>
      </c>
      <c r="N127" s="3" t="s">
        <v>92</v>
      </c>
      <c r="O127" s="3" t="s">
        <v>92</v>
      </c>
      <c r="S127" s="56">
        <v>9.9600000000000009</v>
      </c>
      <c r="W127" s="56">
        <v>78.75</v>
      </c>
      <c r="AA127" s="56">
        <v>0.09</v>
      </c>
      <c r="AE127" s="56">
        <v>0.81</v>
      </c>
      <c r="AI127" s="56">
        <v>50.43</v>
      </c>
      <c r="AM127" s="56">
        <v>6.15</v>
      </c>
      <c r="AQ127" s="56">
        <v>0.12</v>
      </c>
      <c r="AU127" s="56">
        <v>42.4</v>
      </c>
      <c r="AV127" s="56">
        <v>18.87</v>
      </c>
      <c r="AZ127" s="3" t="e">
        <f t="shared" si="11"/>
        <v>#VALUE!</v>
      </c>
      <c r="BA127" s="3" t="e">
        <f t="shared" si="8"/>
        <v>#VALUE!</v>
      </c>
      <c r="BB127" s="3" t="s">
        <v>92</v>
      </c>
      <c r="BC127" s="3" t="s">
        <v>92</v>
      </c>
      <c r="BD127" s="3" t="s">
        <v>92</v>
      </c>
      <c r="BF127" s="3" t="e">
        <f t="shared" si="9"/>
        <v>#VALUE!</v>
      </c>
      <c r="BH127" s="11">
        <f t="shared" si="10"/>
        <v>0</v>
      </c>
      <c r="BI127" s="3">
        <v>0</v>
      </c>
      <c r="BJ127" s="3">
        <v>0</v>
      </c>
      <c r="BK127" s="3">
        <v>0</v>
      </c>
      <c r="BL127" s="11" t="s">
        <v>92</v>
      </c>
      <c r="BM127" s="3" t="s">
        <v>92</v>
      </c>
      <c r="BN127" s="11" t="s">
        <v>92</v>
      </c>
      <c r="BO127" s="11" t="s">
        <v>92</v>
      </c>
      <c r="BP127" s="3">
        <v>1.1599999999999999</v>
      </c>
      <c r="BQ127" s="3" t="s">
        <v>92</v>
      </c>
      <c r="BR127" s="3">
        <v>31.9</v>
      </c>
      <c r="BS127" s="3" t="s">
        <v>92</v>
      </c>
      <c r="BT127" s="3">
        <v>30.8</v>
      </c>
      <c r="BU127" s="3" t="s">
        <v>92</v>
      </c>
      <c r="BV127" s="3">
        <v>11.9</v>
      </c>
      <c r="BW127" s="3" t="s">
        <v>92</v>
      </c>
      <c r="BX127" s="3" t="s">
        <v>92</v>
      </c>
      <c r="BY127" s="3" t="s">
        <v>92</v>
      </c>
      <c r="BZ127" s="3" t="s">
        <v>92</v>
      </c>
      <c r="CA127" s="3" t="s">
        <v>92</v>
      </c>
      <c r="CB127" s="3" t="s">
        <v>92</v>
      </c>
      <c r="CC127" s="3" t="s">
        <v>92</v>
      </c>
      <c r="CD127" s="3">
        <v>26.4</v>
      </c>
      <c r="CF127" s="16" t="s">
        <v>174</v>
      </c>
    </row>
    <row r="128" spans="1:85" s="3" customFormat="1" x14ac:dyDescent="0.15">
      <c r="A128" s="3" t="s">
        <v>90</v>
      </c>
      <c r="B128" s="3" t="s">
        <v>100</v>
      </c>
      <c r="C128" s="3" t="s">
        <v>92</v>
      </c>
      <c r="D128" s="3" t="s">
        <v>92</v>
      </c>
      <c r="E128" s="3" t="s">
        <v>93</v>
      </c>
      <c r="F128" s="3">
        <v>0.3</v>
      </c>
      <c r="G128" s="3" t="s">
        <v>92</v>
      </c>
      <c r="H128" s="3">
        <v>600</v>
      </c>
      <c r="I128" s="3" t="s">
        <v>92</v>
      </c>
      <c r="J128" s="3">
        <v>0.65</v>
      </c>
      <c r="M128" s="3" t="s">
        <v>92</v>
      </c>
      <c r="N128" s="3" t="s">
        <v>92</v>
      </c>
      <c r="O128" s="3" t="s">
        <v>92</v>
      </c>
      <c r="S128" s="56">
        <v>9.9600000000000009</v>
      </c>
      <c r="W128" s="56">
        <v>78.75</v>
      </c>
      <c r="AA128" s="56">
        <v>0.09</v>
      </c>
      <c r="AE128" s="56">
        <v>0.81</v>
      </c>
      <c r="AI128" s="56">
        <v>50.43</v>
      </c>
      <c r="AM128" s="56">
        <v>6.15</v>
      </c>
      <c r="AQ128" s="56">
        <v>0.12</v>
      </c>
      <c r="AU128" s="56">
        <v>42.4</v>
      </c>
      <c r="AV128" s="56">
        <v>18.87</v>
      </c>
      <c r="AZ128" s="3" t="e">
        <f t="shared" si="11"/>
        <v>#VALUE!</v>
      </c>
      <c r="BA128" s="3" t="e">
        <f t="shared" si="8"/>
        <v>#VALUE!</v>
      </c>
      <c r="BB128" s="3" t="s">
        <v>92</v>
      </c>
      <c r="BC128" s="3" t="s">
        <v>92</v>
      </c>
      <c r="BD128" s="3" t="s">
        <v>92</v>
      </c>
      <c r="BF128" s="3" t="e">
        <f t="shared" si="9"/>
        <v>#VALUE!</v>
      </c>
      <c r="BH128" s="11">
        <f t="shared" si="10"/>
        <v>0</v>
      </c>
      <c r="BI128" s="3">
        <v>0</v>
      </c>
      <c r="BJ128" s="3">
        <v>0</v>
      </c>
      <c r="BK128" s="3">
        <v>0</v>
      </c>
      <c r="BL128" s="11" t="s">
        <v>92</v>
      </c>
      <c r="BM128" s="3" t="s">
        <v>92</v>
      </c>
      <c r="BN128" s="11" t="s">
        <v>92</v>
      </c>
      <c r="BO128" s="11" t="s">
        <v>92</v>
      </c>
      <c r="BP128" s="3">
        <v>1.2</v>
      </c>
      <c r="BQ128" s="3" t="s">
        <v>92</v>
      </c>
      <c r="BR128" s="3">
        <v>54.2</v>
      </c>
      <c r="BS128" s="3" t="s">
        <v>92</v>
      </c>
      <c r="BT128" s="3">
        <v>29.9</v>
      </c>
      <c r="BU128" s="3" t="s">
        <v>92</v>
      </c>
      <c r="BV128" s="3">
        <v>8.4</v>
      </c>
      <c r="BW128" s="3" t="s">
        <v>92</v>
      </c>
      <c r="BX128" s="3" t="s">
        <v>92</v>
      </c>
      <c r="BY128" s="3" t="s">
        <v>92</v>
      </c>
      <c r="BZ128" s="3" t="s">
        <v>92</v>
      </c>
      <c r="CA128" s="3" t="s">
        <v>92</v>
      </c>
      <c r="CB128" s="3" t="s">
        <v>92</v>
      </c>
      <c r="CC128" s="3" t="s">
        <v>92</v>
      </c>
      <c r="CD128" s="3">
        <v>7.7</v>
      </c>
      <c r="CF128" s="16" t="s">
        <v>174</v>
      </c>
    </row>
    <row r="129" spans="1:85" s="29" customFormat="1" x14ac:dyDescent="0.15">
      <c r="A129" s="29" t="s">
        <v>90</v>
      </c>
      <c r="B129" s="29" t="s">
        <v>176</v>
      </c>
      <c r="C129" s="29" t="s">
        <v>92</v>
      </c>
      <c r="D129" s="29" t="s">
        <v>92</v>
      </c>
      <c r="E129" s="29" t="s">
        <v>92</v>
      </c>
      <c r="F129" s="29" t="s">
        <v>92</v>
      </c>
      <c r="G129" s="29" t="s">
        <v>92</v>
      </c>
      <c r="H129" s="29">
        <v>450</v>
      </c>
      <c r="I129" s="29" t="s">
        <v>92</v>
      </c>
      <c r="J129" s="29">
        <v>1.45</v>
      </c>
      <c r="M129" s="29">
        <v>1</v>
      </c>
      <c r="N129" s="29" t="s">
        <v>92</v>
      </c>
      <c r="O129" s="29" t="s">
        <v>92</v>
      </c>
      <c r="S129" s="56">
        <v>5.15</v>
      </c>
      <c r="W129" s="56">
        <v>95</v>
      </c>
      <c r="AA129" s="56" t="s">
        <v>92</v>
      </c>
      <c r="AE129" s="56">
        <v>0.11</v>
      </c>
      <c r="AI129" s="56">
        <v>42.62</v>
      </c>
      <c r="AM129" s="56">
        <v>5.47</v>
      </c>
      <c r="AQ129" s="56">
        <v>0.38</v>
      </c>
      <c r="AU129" s="56">
        <v>51.43</v>
      </c>
      <c r="AV129" s="56" t="s">
        <v>92</v>
      </c>
      <c r="AZ129" s="29">
        <f t="shared" si="11"/>
        <v>99.9</v>
      </c>
      <c r="BA129" s="29">
        <f t="shared" si="8"/>
        <v>9.9999999999994316E-2</v>
      </c>
      <c r="BB129" s="29">
        <v>56.7</v>
      </c>
      <c r="BC129" s="29">
        <v>34.1</v>
      </c>
      <c r="BD129" s="29">
        <v>9.1</v>
      </c>
      <c r="BE129" s="29" t="s">
        <v>96</v>
      </c>
      <c r="BF129" s="29">
        <f t="shared" si="9"/>
        <v>56.8</v>
      </c>
      <c r="BH129" s="29">
        <f t="shared" si="10"/>
        <v>0</v>
      </c>
      <c r="BI129" s="29">
        <v>0</v>
      </c>
      <c r="BJ129" s="29">
        <v>0</v>
      </c>
      <c r="BK129" s="29">
        <v>0</v>
      </c>
      <c r="BL129" s="29" t="s">
        <v>92</v>
      </c>
      <c r="BM129" s="29" t="s">
        <v>92</v>
      </c>
      <c r="BN129" s="29" t="s">
        <v>92</v>
      </c>
      <c r="BO129" s="29" t="s">
        <v>92</v>
      </c>
      <c r="BP129" s="29" t="s">
        <v>92</v>
      </c>
      <c r="BQ129" s="29" t="s">
        <v>92</v>
      </c>
      <c r="BR129" s="29" t="s">
        <v>92</v>
      </c>
      <c r="BS129" s="29" t="s">
        <v>92</v>
      </c>
      <c r="BT129" s="29" t="s">
        <v>92</v>
      </c>
      <c r="BU129" s="29" t="s">
        <v>92</v>
      </c>
      <c r="BV129" s="29" t="s">
        <v>92</v>
      </c>
      <c r="BW129" s="29" t="s">
        <v>92</v>
      </c>
      <c r="BX129" s="29" t="s">
        <v>92</v>
      </c>
      <c r="BY129" s="29" t="s">
        <v>92</v>
      </c>
      <c r="BZ129" s="29" t="s">
        <v>92</v>
      </c>
      <c r="CA129" s="29" t="s">
        <v>92</v>
      </c>
      <c r="CB129" s="29" t="s">
        <v>92</v>
      </c>
      <c r="CC129" s="29" t="s">
        <v>92</v>
      </c>
      <c r="CD129" s="29" t="s">
        <v>92</v>
      </c>
      <c r="CF129" s="29" t="s">
        <v>177</v>
      </c>
    </row>
    <row r="130" spans="1:85" s="3" customFormat="1" x14ac:dyDescent="0.15">
      <c r="A130" s="3" t="s">
        <v>90</v>
      </c>
      <c r="B130" s="3" t="s">
        <v>176</v>
      </c>
      <c r="C130" s="3" t="s">
        <v>92</v>
      </c>
      <c r="D130" s="3" t="s">
        <v>92</v>
      </c>
      <c r="E130" s="3" t="s">
        <v>92</v>
      </c>
      <c r="F130" s="3" t="s">
        <v>92</v>
      </c>
      <c r="G130" s="3" t="s">
        <v>92</v>
      </c>
      <c r="H130" s="3">
        <v>500</v>
      </c>
      <c r="I130" s="3" t="s">
        <v>92</v>
      </c>
      <c r="J130" s="3">
        <v>1.45</v>
      </c>
      <c r="M130" s="3">
        <v>1</v>
      </c>
      <c r="N130" s="3" t="s">
        <v>92</v>
      </c>
      <c r="O130" s="3" t="s">
        <v>92</v>
      </c>
      <c r="S130" s="56">
        <v>5.15</v>
      </c>
      <c r="W130" s="56">
        <v>95</v>
      </c>
      <c r="AA130" s="56" t="s">
        <v>92</v>
      </c>
      <c r="AE130" s="56">
        <v>0.11</v>
      </c>
      <c r="AI130" s="56">
        <v>42.62</v>
      </c>
      <c r="AM130" s="56">
        <v>5.47</v>
      </c>
      <c r="AQ130" s="56">
        <v>0.38</v>
      </c>
      <c r="AU130" s="56">
        <v>51.43</v>
      </c>
      <c r="AV130" s="56" t="s">
        <v>92</v>
      </c>
      <c r="AZ130" s="3">
        <f t="shared" si="11"/>
        <v>99.97</v>
      </c>
      <c r="BA130" s="3">
        <f t="shared" si="8"/>
        <v>3.0000000000001137E-2</v>
      </c>
      <c r="BB130" s="3">
        <v>58.03</v>
      </c>
      <c r="BC130" s="3">
        <v>17.04</v>
      </c>
      <c r="BD130" s="3">
        <v>24.9</v>
      </c>
      <c r="BE130" s="3" t="s">
        <v>96</v>
      </c>
      <c r="BF130" s="3">
        <f t="shared" si="9"/>
        <v>58.06</v>
      </c>
      <c r="BH130" s="3">
        <f t="shared" si="10"/>
        <v>25.700000000000003</v>
      </c>
      <c r="BI130" s="3">
        <v>0</v>
      </c>
      <c r="BJ130" s="3">
        <v>0</v>
      </c>
      <c r="BK130" s="3">
        <f>4.5+2.3+2.1+2+2+1.9+1.8+1.8+1.8+1.7+1.7+1.1+1</f>
        <v>25.700000000000003</v>
      </c>
      <c r="BL130" s="3" t="s">
        <v>92</v>
      </c>
      <c r="BM130" s="3">
        <v>2.7</v>
      </c>
      <c r="BN130" s="3">
        <f>1.2+1.1+1</f>
        <v>3.3</v>
      </c>
      <c r="BO130" s="3">
        <f>3.9+1.3+1.3</f>
        <v>6.5</v>
      </c>
      <c r="BP130" s="3" t="s">
        <v>92</v>
      </c>
      <c r="BQ130" s="3" t="s">
        <v>92</v>
      </c>
      <c r="BR130" s="3">
        <f>2.4+1.5+1.2</f>
        <v>5.0999999999999996</v>
      </c>
      <c r="BS130" s="3" t="s">
        <v>92</v>
      </c>
      <c r="BT130" s="3" t="s">
        <v>92</v>
      </c>
      <c r="BU130" s="3" t="s">
        <v>92</v>
      </c>
      <c r="BV130" s="3">
        <f>5.9+1.6</f>
        <v>7.5</v>
      </c>
      <c r="BW130" s="3" t="s">
        <v>92</v>
      </c>
      <c r="BX130" s="3" t="s">
        <v>92</v>
      </c>
      <c r="BY130" s="3" t="s">
        <v>92</v>
      </c>
      <c r="BZ130" s="3" t="s">
        <v>92</v>
      </c>
      <c r="CA130" s="3" t="s">
        <v>92</v>
      </c>
      <c r="CB130" s="3" t="s">
        <v>92</v>
      </c>
      <c r="CC130" s="3" t="s">
        <v>92</v>
      </c>
      <c r="CD130" s="3" t="s">
        <v>92</v>
      </c>
      <c r="CF130" s="43" t="s">
        <v>177</v>
      </c>
    </row>
    <row r="131" spans="1:85" s="3" customFormat="1" x14ac:dyDescent="0.15">
      <c r="A131" s="3" t="s">
        <v>90</v>
      </c>
      <c r="B131" s="3" t="s">
        <v>176</v>
      </c>
      <c r="C131" s="3" t="s">
        <v>92</v>
      </c>
      <c r="D131" s="3" t="s">
        <v>92</v>
      </c>
      <c r="E131" s="3" t="s">
        <v>92</v>
      </c>
      <c r="F131" s="3" t="s">
        <v>92</v>
      </c>
      <c r="G131" s="3" t="s">
        <v>92</v>
      </c>
      <c r="H131" s="3">
        <v>450</v>
      </c>
      <c r="I131" s="3" t="s">
        <v>92</v>
      </c>
      <c r="J131" s="3">
        <v>1.45</v>
      </c>
      <c r="M131" s="3">
        <v>5</v>
      </c>
      <c r="N131" s="3" t="s">
        <v>92</v>
      </c>
      <c r="O131" s="3" t="s">
        <v>92</v>
      </c>
      <c r="S131" s="56">
        <v>5.15</v>
      </c>
      <c r="W131" s="56">
        <v>95</v>
      </c>
      <c r="AA131" s="56" t="s">
        <v>92</v>
      </c>
      <c r="AE131" s="56">
        <v>0.11</v>
      </c>
      <c r="AI131" s="56">
        <v>42.62</v>
      </c>
      <c r="AM131" s="56">
        <v>5.47</v>
      </c>
      <c r="AQ131" s="56">
        <v>0.38</v>
      </c>
      <c r="AU131" s="56">
        <v>51.43</v>
      </c>
      <c r="AV131" s="56" t="s">
        <v>92</v>
      </c>
      <c r="AZ131" s="3">
        <f t="shared" si="11"/>
        <v>100.60000000000001</v>
      </c>
      <c r="BA131" s="3">
        <f t="shared" si="8"/>
        <v>-0.60000000000000853</v>
      </c>
      <c r="BB131" s="3">
        <v>46.7</v>
      </c>
      <c r="BC131" s="3">
        <v>50.6</v>
      </c>
      <c r="BD131" s="3">
        <v>3.3</v>
      </c>
      <c r="BE131" s="3" t="s">
        <v>96</v>
      </c>
      <c r="BF131" s="3">
        <f t="shared" si="9"/>
        <v>46.099999999999994</v>
      </c>
      <c r="BH131" s="11">
        <f t="shared" si="10"/>
        <v>0</v>
      </c>
      <c r="BI131" s="3">
        <v>0</v>
      </c>
      <c r="BJ131" s="3">
        <v>0</v>
      </c>
      <c r="BK131" s="3">
        <v>0</v>
      </c>
      <c r="BL131" s="11" t="s">
        <v>92</v>
      </c>
      <c r="BM131" s="3" t="s">
        <v>92</v>
      </c>
      <c r="BN131" s="11" t="s">
        <v>92</v>
      </c>
      <c r="BO131" s="11" t="s">
        <v>92</v>
      </c>
      <c r="BP131" s="3" t="s">
        <v>92</v>
      </c>
      <c r="BQ131" s="3" t="s">
        <v>92</v>
      </c>
      <c r="BR131" s="3" t="s">
        <v>92</v>
      </c>
      <c r="BS131" s="3" t="s">
        <v>92</v>
      </c>
      <c r="BT131" s="3" t="s">
        <v>92</v>
      </c>
      <c r="BU131" s="3" t="s">
        <v>92</v>
      </c>
      <c r="BV131" s="3" t="s">
        <v>92</v>
      </c>
      <c r="BW131" s="3" t="s">
        <v>92</v>
      </c>
      <c r="BX131" s="3" t="s">
        <v>92</v>
      </c>
      <c r="BY131" s="3" t="s">
        <v>92</v>
      </c>
      <c r="BZ131" s="3" t="s">
        <v>92</v>
      </c>
      <c r="CA131" s="3" t="s">
        <v>92</v>
      </c>
      <c r="CB131" s="3" t="s">
        <v>92</v>
      </c>
      <c r="CC131" s="3" t="s">
        <v>92</v>
      </c>
      <c r="CD131" s="3" t="s">
        <v>92</v>
      </c>
      <c r="CF131" s="16" t="s">
        <v>177</v>
      </c>
    </row>
    <row r="132" spans="1:85" s="3" customFormat="1" x14ac:dyDescent="0.15">
      <c r="A132" s="3" t="s">
        <v>90</v>
      </c>
      <c r="B132" s="3" t="s">
        <v>176</v>
      </c>
      <c r="C132" s="3" t="s">
        <v>92</v>
      </c>
      <c r="D132" s="3" t="s">
        <v>92</v>
      </c>
      <c r="E132" s="3" t="s">
        <v>92</v>
      </c>
      <c r="F132" s="3" t="s">
        <v>92</v>
      </c>
      <c r="G132" s="3" t="s">
        <v>92</v>
      </c>
      <c r="H132" s="3">
        <v>450</v>
      </c>
      <c r="I132" s="3" t="s">
        <v>92</v>
      </c>
      <c r="J132" s="3">
        <v>1.45</v>
      </c>
      <c r="M132" s="3">
        <v>5</v>
      </c>
      <c r="N132" s="3" t="s">
        <v>92</v>
      </c>
      <c r="O132" s="3" t="s">
        <v>92</v>
      </c>
      <c r="S132" s="56">
        <v>5.15</v>
      </c>
      <c r="W132" s="56">
        <v>95</v>
      </c>
      <c r="AA132" s="56" t="s">
        <v>92</v>
      </c>
      <c r="AE132" s="56">
        <v>0.11</v>
      </c>
      <c r="AI132" s="56">
        <v>42.62</v>
      </c>
      <c r="AM132" s="56">
        <v>5.47</v>
      </c>
      <c r="AQ132" s="56">
        <v>0.38</v>
      </c>
      <c r="AU132" s="56">
        <v>51.43</v>
      </c>
      <c r="AV132" s="56" t="s">
        <v>92</v>
      </c>
      <c r="AZ132" s="3">
        <f t="shared" si="11"/>
        <v>100.89999999999999</v>
      </c>
      <c r="BA132" s="3">
        <f t="shared" si="8"/>
        <v>-0.89999999999999147</v>
      </c>
      <c r="BB132" s="3">
        <v>57.3</v>
      </c>
      <c r="BC132" s="3">
        <v>28.4</v>
      </c>
      <c r="BD132" s="3">
        <v>15.2</v>
      </c>
      <c r="BE132" s="3" t="s">
        <v>96</v>
      </c>
      <c r="BF132" s="3">
        <f t="shared" si="9"/>
        <v>56.400000000000006</v>
      </c>
      <c r="BH132" s="11">
        <f t="shared" si="10"/>
        <v>0</v>
      </c>
      <c r="BI132" s="3">
        <v>0</v>
      </c>
      <c r="BJ132" s="3">
        <v>0</v>
      </c>
      <c r="BK132" s="3">
        <v>0</v>
      </c>
      <c r="BL132" s="11" t="s">
        <v>92</v>
      </c>
      <c r="BM132" s="3" t="s">
        <v>92</v>
      </c>
      <c r="BN132" s="11" t="s">
        <v>92</v>
      </c>
      <c r="BO132" s="11" t="s">
        <v>92</v>
      </c>
      <c r="BP132" s="3" t="s">
        <v>92</v>
      </c>
      <c r="BQ132" s="3" t="s">
        <v>92</v>
      </c>
      <c r="BR132" s="3" t="s">
        <v>92</v>
      </c>
      <c r="BS132" s="3" t="s">
        <v>92</v>
      </c>
      <c r="BT132" s="3" t="s">
        <v>92</v>
      </c>
      <c r="BU132" s="3" t="s">
        <v>92</v>
      </c>
      <c r="BV132" s="3" t="s">
        <v>92</v>
      </c>
      <c r="BW132" s="3" t="s">
        <v>92</v>
      </c>
      <c r="BX132" s="3" t="s">
        <v>92</v>
      </c>
      <c r="BY132" s="3" t="s">
        <v>92</v>
      </c>
      <c r="BZ132" s="3" t="s">
        <v>92</v>
      </c>
      <c r="CA132" s="3" t="s">
        <v>92</v>
      </c>
      <c r="CB132" s="3" t="s">
        <v>92</v>
      </c>
      <c r="CC132" s="3" t="s">
        <v>92</v>
      </c>
      <c r="CD132" s="3" t="s">
        <v>92</v>
      </c>
      <c r="CF132" s="16" t="s">
        <v>177</v>
      </c>
    </row>
    <row r="133" spans="1:85" s="29" customFormat="1" x14ac:dyDescent="0.15">
      <c r="A133" s="29" t="s">
        <v>90</v>
      </c>
      <c r="B133" s="29" t="s">
        <v>124</v>
      </c>
      <c r="C133" s="29">
        <v>101</v>
      </c>
      <c r="D133" s="29" t="s">
        <v>92</v>
      </c>
      <c r="E133" s="29" t="s">
        <v>93</v>
      </c>
      <c r="F133" s="29">
        <v>0.16</v>
      </c>
      <c r="G133" s="29">
        <f>((C133/1000)/(F133))*60</f>
        <v>37.875</v>
      </c>
      <c r="H133" s="29">
        <v>500</v>
      </c>
      <c r="I133" s="29" t="s">
        <v>92</v>
      </c>
      <c r="J133" s="29">
        <v>0.375</v>
      </c>
      <c r="M133" s="29" t="s">
        <v>92</v>
      </c>
      <c r="N133" s="29" t="s">
        <v>92</v>
      </c>
      <c r="O133" s="29" t="s">
        <v>92</v>
      </c>
      <c r="S133" s="56">
        <v>8.2100000000000009</v>
      </c>
      <c r="W133" s="56">
        <v>75.12</v>
      </c>
      <c r="AA133" s="56">
        <v>0.14000000000000001</v>
      </c>
      <c r="AE133" s="56">
        <v>1.45</v>
      </c>
      <c r="AI133" s="56">
        <v>48.12</v>
      </c>
      <c r="AM133" s="56">
        <v>6.09</v>
      </c>
      <c r="AQ133" s="56">
        <v>0.25</v>
      </c>
      <c r="AU133" s="56">
        <v>45.4</v>
      </c>
      <c r="AV133" s="56" t="s">
        <v>92</v>
      </c>
      <c r="AZ133" s="29">
        <f t="shared" si="11"/>
        <v>99.759999999999991</v>
      </c>
      <c r="BA133" s="29">
        <f t="shared" ref="BA133:BA179" si="13">100-AZ133</f>
        <v>0.24000000000000909</v>
      </c>
      <c r="BB133" s="29">
        <v>60</v>
      </c>
      <c r="BC133" s="29">
        <v>17.16</v>
      </c>
      <c r="BD133" s="29">
        <v>22.6</v>
      </c>
      <c r="BE133" s="29" t="s">
        <v>96</v>
      </c>
      <c r="BF133" s="29">
        <f t="shared" ref="BF133:BF179" si="14">BB133+BA133</f>
        <v>60.240000000000009</v>
      </c>
      <c r="BH133" s="29">
        <f t="shared" si="10"/>
        <v>36.299999999999997</v>
      </c>
      <c r="BI133" s="29">
        <v>0</v>
      </c>
      <c r="BJ133" s="29">
        <v>0</v>
      </c>
      <c r="BK133" s="29">
        <v>36.299999999999997</v>
      </c>
      <c r="BL133" s="29" t="s">
        <v>92</v>
      </c>
      <c r="BM133" s="29">
        <v>10.9</v>
      </c>
      <c r="BN133" s="29">
        <v>25.8</v>
      </c>
      <c r="BO133" s="29" t="s">
        <v>92</v>
      </c>
      <c r="BP133" s="29">
        <v>0.5</v>
      </c>
      <c r="BQ133" s="29" t="s">
        <v>92</v>
      </c>
      <c r="BR133" s="29">
        <v>3.8</v>
      </c>
      <c r="BS133" s="29" t="s">
        <v>92</v>
      </c>
      <c r="BT133" s="29" t="s">
        <v>92</v>
      </c>
      <c r="BU133" s="29" t="s">
        <v>92</v>
      </c>
      <c r="BV133" s="29">
        <v>17.2</v>
      </c>
      <c r="BW133" s="29" t="s">
        <v>92</v>
      </c>
      <c r="BX133" s="29" t="s">
        <v>92</v>
      </c>
      <c r="BY133" s="29" t="s">
        <v>92</v>
      </c>
      <c r="BZ133" s="29" t="s">
        <v>92</v>
      </c>
      <c r="CA133" s="29" t="s">
        <v>92</v>
      </c>
      <c r="CB133" s="29" t="s">
        <v>92</v>
      </c>
      <c r="CC133" s="29" t="s">
        <v>92</v>
      </c>
      <c r="CD133" s="29">
        <v>5.5</v>
      </c>
      <c r="CF133" s="29" t="s">
        <v>178</v>
      </c>
      <c r="CG133" s="29" t="s">
        <v>122</v>
      </c>
    </row>
    <row r="134" spans="1:85" s="29" customFormat="1" x14ac:dyDescent="0.15">
      <c r="A134" s="29" t="s">
        <v>90</v>
      </c>
      <c r="B134" s="29" t="s">
        <v>91</v>
      </c>
      <c r="C134" s="29" t="s">
        <v>92</v>
      </c>
      <c r="D134" s="29" t="s">
        <v>92</v>
      </c>
      <c r="E134" s="29" t="s">
        <v>92</v>
      </c>
      <c r="F134" s="29" t="s">
        <v>92</v>
      </c>
      <c r="G134" s="29" t="s">
        <v>92</v>
      </c>
      <c r="H134" s="29">
        <v>520</v>
      </c>
      <c r="I134" s="29" t="s">
        <v>92</v>
      </c>
      <c r="J134" s="29" t="s">
        <v>179</v>
      </c>
      <c r="M134" s="29">
        <v>16.670000000000002</v>
      </c>
      <c r="N134" s="29" t="s">
        <v>92</v>
      </c>
      <c r="O134" s="29" t="s">
        <v>92</v>
      </c>
      <c r="S134" s="56">
        <v>9.5</v>
      </c>
      <c r="W134" s="56">
        <v>84</v>
      </c>
      <c r="AA134" s="56">
        <v>0.01</v>
      </c>
      <c r="AE134" s="56">
        <v>0.1</v>
      </c>
      <c r="AI134" s="56">
        <v>50.5</v>
      </c>
      <c r="AM134" s="56">
        <v>6.4</v>
      </c>
      <c r="AQ134" s="56">
        <v>0.09</v>
      </c>
      <c r="AU134" s="56">
        <v>43</v>
      </c>
      <c r="AV134" s="56">
        <v>20.399999999999999</v>
      </c>
      <c r="AZ134" s="29">
        <f t="shared" si="11"/>
        <v>98.02000000000001</v>
      </c>
      <c r="BA134" s="29">
        <f t="shared" si="13"/>
        <v>1.9799999999999898</v>
      </c>
      <c r="BB134" s="29">
        <v>68.62</v>
      </c>
      <c r="BC134" s="29">
        <v>25</v>
      </c>
      <c r="BD134" s="29">
        <v>4.4000000000000004</v>
      </c>
      <c r="BE134" s="29" t="s">
        <v>96</v>
      </c>
      <c r="BF134" s="29">
        <f t="shared" si="14"/>
        <v>70.599999999999994</v>
      </c>
      <c r="BH134" s="29">
        <f t="shared" ref="BH134:BH151" si="15">BI134+BJ134+BK134</f>
        <v>0</v>
      </c>
      <c r="BI134" s="29">
        <v>0</v>
      </c>
      <c r="BJ134" s="29">
        <v>0</v>
      </c>
      <c r="BK134" s="29">
        <v>0</v>
      </c>
      <c r="BL134" s="29" t="s">
        <v>92</v>
      </c>
      <c r="BM134" s="29" t="s">
        <v>92</v>
      </c>
      <c r="BN134" s="29">
        <f>34.3-16.5</f>
        <v>17.799999999999997</v>
      </c>
      <c r="BO134" s="29" t="s">
        <v>92</v>
      </c>
      <c r="BP134" s="29" t="s">
        <v>92</v>
      </c>
      <c r="BQ134" s="29" t="s">
        <v>92</v>
      </c>
      <c r="BR134" s="29">
        <f>16.5-BV134</f>
        <v>12.7</v>
      </c>
      <c r="BS134" s="29" t="s">
        <v>92</v>
      </c>
      <c r="BT134" s="29">
        <f>62.5-34.3</f>
        <v>28.200000000000003</v>
      </c>
      <c r="BU134" s="29" t="s">
        <v>92</v>
      </c>
      <c r="BV134" s="29">
        <v>3.8</v>
      </c>
      <c r="BW134" s="29" t="s">
        <v>92</v>
      </c>
      <c r="BX134" s="29" t="s">
        <v>92</v>
      </c>
      <c r="BY134" s="29" t="s">
        <v>92</v>
      </c>
      <c r="BZ134" s="29" t="s">
        <v>92</v>
      </c>
      <c r="CA134" s="29">
        <f>72.9-62.5</f>
        <v>10.400000000000006</v>
      </c>
      <c r="CB134" s="29" t="s">
        <v>92</v>
      </c>
      <c r="CC134" s="29" t="s">
        <v>92</v>
      </c>
      <c r="CD134" s="29">
        <v>3.6</v>
      </c>
      <c r="CF134" s="29" t="s">
        <v>180</v>
      </c>
    </row>
    <row r="135" spans="1:85" s="29" customFormat="1" x14ac:dyDescent="0.15">
      <c r="A135" s="29" t="s">
        <v>90</v>
      </c>
      <c r="B135" s="29" t="s">
        <v>181</v>
      </c>
      <c r="C135" s="29" t="s">
        <v>92</v>
      </c>
      <c r="D135" s="29">
        <v>4039.98</v>
      </c>
      <c r="E135" s="29" t="s">
        <v>182</v>
      </c>
      <c r="F135" s="29">
        <v>30</v>
      </c>
      <c r="G135" s="29">
        <f>((D135/1000)/(F135))*60</f>
        <v>8.0799599999999998</v>
      </c>
      <c r="H135" s="29">
        <v>400</v>
      </c>
      <c r="I135" s="29" t="s">
        <v>92</v>
      </c>
      <c r="J135" s="29">
        <v>0.46500000000000002</v>
      </c>
      <c r="M135" s="29">
        <v>2</v>
      </c>
      <c r="N135" s="29" t="s">
        <v>92</v>
      </c>
      <c r="O135" s="29" t="s">
        <v>92</v>
      </c>
      <c r="S135" s="56">
        <v>9.4</v>
      </c>
      <c r="W135" s="56">
        <v>73.400000000000006</v>
      </c>
      <c r="AA135" s="56" t="s">
        <v>92</v>
      </c>
      <c r="AE135" s="56">
        <v>0.5</v>
      </c>
      <c r="AI135" s="56">
        <v>49.33</v>
      </c>
      <c r="AM135" s="56">
        <v>6.06</v>
      </c>
      <c r="AQ135" s="56">
        <v>0.04</v>
      </c>
      <c r="AU135" s="56">
        <v>44.57</v>
      </c>
      <c r="AV135" s="56">
        <v>19.8</v>
      </c>
      <c r="AZ135" s="29">
        <f t="shared" si="11"/>
        <v>99.98</v>
      </c>
      <c r="BA135" s="29">
        <f t="shared" si="13"/>
        <v>1.9999999999996021E-2</v>
      </c>
      <c r="BB135" s="29">
        <v>71.23</v>
      </c>
      <c r="BC135" s="29">
        <v>21.75</v>
      </c>
      <c r="BD135" s="29">
        <v>7</v>
      </c>
      <c r="BE135" s="29" t="s">
        <v>96</v>
      </c>
      <c r="BF135" s="29">
        <f t="shared" si="14"/>
        <v>71.25</v>
      </c>
      <c r="BH135" s="29">
        <f t="shared" si="15"/>
        <v>15.42</v>
      </c>
      <c r="BI135" s="29">
        <v>0</v>
      </c>
      <c r="BJ135" s="29">
        <v>0</v>
      </c>
      <c r="BK135" s="29">
        <v>15.42</v>
      </c>
      <c r="BL135" s="29">
        <v>6.44</v>
      </c>
      <c r="BM135" s="29">
        <v>3.3</v>
      </c>
      <c r="BN135" s="29">
        <v>2.44</v>
      </c>
      <c r="BO135" s="29">
        <v>1.75</v>
      </c>
      <c r="BP135" s="29" t="s">
        <v>92</v>
      </c>
      <c r="BQ135" s="29" t="s">
        <v>92</v>
      </c>
      <c r="BR135" s="29" t="s">
        <v>92</v>
      </c>
      <c r="BS135" s="29" t="s">
        <v>92</v>
      </c>
      <c r="BT135" s="29">
        <v>5.26</v>
      </c>
      <c r="BU135" s="29" t="s">
        <v>92</v>
      </c>
      <c r="BV135" s="29">
        <v>2.4900000000000002</v>
      </c>
      <c r="BW135" s="29" t="s">
        <v>92</v>
      </c>
      <c r="BX135" s="29" t="s">
        <v>92</v>
      </c>
      <c r="BY135" s="29" t="s">
        <v>92</v>
      </c>
      <c r="BZ135" s="29" t="s">
        <v>92</v>
      </c>
      <c r="CA135" s="29">
        <v>23.33</v>
      </c>
      <c r="CB135" s="29" t="s">
        <v>92</v>
      </c>
      <c r="CC135" s="29" t="s">
        <v>92</v>
      </c>
      <c r="CD135" s="29">
        <f>0.09+10.7</f>
        <v>10.79</v>
      </c>
      <c r="CF135" s="29" t="s">
        <v>183</v>
      </c>
    </row>
    <row r="136" spans="1:85" s="3" customFormat="1" x14ac:dyDescent="0.15">
      <c r="A136" s="3" t="s">
        <v>90</v>
      </c>
      <c r="B136" s="17" t="s">
        <v>181</v>
      </c>
      <c r="C136" s="3" t="s">
        <v>92</v>
      </c>
      <c r="D136" s="3">
        <v>4039.98</v>
      </c>
      <c r="E136" s="3" t="s">
        <v>182</v>
      </c>
      <c r="F136" s="3">
        <v>30</v>
      </c>
      <c r="G136" s="3">
        <f>((D136/1000)/(F136))*60</f>
        <v>8.0799599999999998</v>
      </c>
      <c r="H136" s="3">
        <v>450</v>
      </c>
      <c r="I136" s="3" t="s">
        <v>92</v>
      </c>
      <c r="J136" s="3">
        <v>0.46500000000000002</v>
      </c>
      <c r="M136" s="3">
        <v>2</v>
      </c>
      <c r="N136" s="3" t="s">
        <v>92</v>
      </c>
      <c r="O136" s="3" t="s">
        <v>92</v>
      </c>
      <c r="S136" s="56">
        <v>9.4</v>
      </c>
      <c r="W136" s="56">
        <v>73.400000000000006</v>
      </c>
      <c r="AA136" s="56" t="s">
        <v>92</v>
      </c>
      <c r="AE136" s="56">
        <v>0.5</v>
      </c>
      <c r="AI136" s="56">
        <v>49.33</v>
      </c>
      <c r="AM136" s="56">
        <v>6.06</v>
      </c>
      <c r="AQ136" s="56">
        <v>0.04</v>
      </c>
      <c r="AU136" s="56">
        <v>44.57</v>
      </c>
      <c r="AV136" s="56">
        <v>19.8</v>
      </c>
      <c r="AZ136" s="3">
        <f t="shared" si="11"/>
        <v>99.58</v>
      </c>
      <c r="BA136" s="3">
        <f t="shared" si="13"/>
        <v>0.42000000000000171</v>
      </c>
      <c r="BB136" s="3">
        <v>74.09</v>
      </c>
      <c r="BC136" s="3">
        <v>20.77</v>
      </c>
      <c r="BD136" s="3">
        <v>4.72</v>
      </c>
      <c r="BE136" s="3" t="s">
        <v>96</v>
      </c>
      <c r="BF136" s="3">
        <f t="shared" si="14"/>
        <v>74.510000000000005</v>
      </c>
      <c r="BH136" s="11">
        <f t="shared" si="15"/>
        <v>15.44</v>
      </c>
      <c r="BI136" s="3">
        <v>0</v>
      </c>
      <c r="BJ136" s="3">
        <v>0</v>
      </c>
      <c r="BK136" s="3">
        <v>15.44</v>
      </c>
      <c r="BL136" s="11">
        <v>7.52</v>
      </c>
      <c r="BM136" s="3">
        <v>3.25</v>
      </c>
      <c r="BN136" s="11">
        <v>2.0299999999999998</v>
      </c>
      <c r="BO136" s="11">
        <v>2</v>
      </c>
      <c r="BP136" s="3" t="s">
        <v>92</v>
      </c>
      <c r="BQ136" s="3" t="s">
        <v>92</v>
      </c>
      <c r="BR136" s="3" t="s">
        <v>92</v>
      </c>
      <c r="BS136" s="3" t="s">
        <v>92</v>
      </c>
      <c r="BT136" s="3">
        <v>4.09</v>
      </c>
      <c r="BU136" s="3" t="s">
        <v>92</v>
      </c>
      <c r="BV136" s="3">
        <v>2.99</v>
      </c>
      <c r="BW136" s="3" t="s">
        <v>92</v>
      </c>
      <c r="BX136" s="3" t="s">
        <v>92</v>
      </c>
      <c r="BY136" s="3" t="s">
        <v>92</v>
      </c>
      <c r="BZ136" s="3" t="s">
        <v>92</v>
      </c>
      <c r="CA136" s="3">
        <v>25.09</v>
      </c>
      <c r="CB136" s="3" t="s">
        <v>92</v>
      </c>
      <c r="CC136" s="3" t="s">
        <v>92</v>
      </c>
      <c r="CD136" s="3">
        <f>0.07+11.6</f>
        <v>11.67</v>
      </c>
      <c r="CF136" s="16" t="s">
        <v>183</v>
      </c>
    </row>
    <row r="137" spans="1:85" s="3" customFormat="1" x14ac:dyDescent="0.15">
      <c r="A137" s="3" t="s">
        <v>90</v>
      </c>
      <c r="B137" s="17" t="s">
        <v>181</v>
      </c>
      <c r="C137" s="3" t="s">
        <v>92</v>
      </c>
      <c r="D137" s="3">
        <v>4039.98</v>
      </c>
      <c r="E137" s="3" t="s">
        <v>182</v>
      </c>
      <c r="F137" s="3">
        <v>30</v>
      </c>
      <c r="G137" s="3">
        <f>((D137/1000)/(F137))*60</f>
        <v>8.0799599999999998</v>
      </c>
      <c r="H137" s="3">
        <v>500</v>
      </c>
      <c r="I137" s="3" t="s">
        <v>92</v>
      </c>
      <c r="J137" s="3">
        <v>0.46500000000000002</v>
      </c>
      <c r="M137" s="3">
        <v>2</v>
      </c>
      <c r="N137" s="3" t="s">
        <v>92</v>
      </c>
      <c r="O137" s="3" t="s">
        <v>92</v>
      </c>
      <c r="S137" s="56">
        <v>9.4</v>
      </c>
      <c r="W137" s="56">
        <v>73.400000000000006</v>
      </c>
      <c r="AA137" s="56" t="s">
        <v>92</v>
      </c>
      <c r="AE137" s="56">
        <v>0.5</v>
      </c>
      <c r="AI137" s="56">
        <v>49.33</v>
      </c>
      <c r="AM137" s="56">
        <v>6.06</v>
      </c>
      <c r="AQ137" s="56">
        <v>0.04</v>
      </c>
      <c r="AU137" s="56">
        <v>44.57</v>
      </c>
      <c r="AV137" s="56">
        <v>19.8</v>
      </c>
      <c r="AZ137" s="3">
        <f t="shared" si="11"/>
        <v>99.63</v>
      </c>
      <c r="BA137" s="3">
        <f t="shared" si="13"/>
        <v>0.37000000000000455</v>
      </c>
      <c r="BB137" s="3">
        <v>75.33</v>
      </c>
      <c r="BC137" s="3">
        <v>17.2</v>
      </c>
      <c r="BD137" s="3">
        <v>7.1</v>
      </c>
      <c r="BE137" s="3" t="s">
        <v>96</v>
      </c>
      <c r="BF137" s="3">
        <f t="shared" si="14"/>
        <v>75.7</v>
      </c>
      <c r="BH137" s="11">
        <f t="shared" si="15"/>
        <v>16.489999999999998</v>
      </c>
      <c r="BI137" s="3">
        <v>0</v>
      </c>
      <c r="BJ137" s="3">
        <v>0</v>
      </c>
      <c r="BK137" s="3">
        <v>16.489999999999998</v>
      </c>
      <c r="BL137" s="11">
        <v>6.37</v>
      </c>
      <c r="BM137" s="3">
        <v>3.32</v>
      </c>
      <c r="BN137" s="11">
        <v>1.93</v>
      </c>
      <c r="BO137" s="11">
        <v>2</v>
      </c>
      <c r="BP137" s="3" t="s">
        <v>92</v>
      </c>
      <c r="BQ137" s="3" t="s">
        <v>92</v>
      </c>
      <c r="BR137" s="3" t="s">
        <v>92</v>
      </c>
      <c r="BS137" s="3" t="s">
        <v>92</v>
      </c>
      <c r="BT137" s="3">
        <v>4.46</v>
      </c>
      <c r="BU137" s="3" t="s">
        <v>92</v>
      </c>
      <c r="BV137" s="3">
        <v>2.73</v>
      </c>
      <c r="BW137" s="3" t="s">
        <v>92</v>
      </c>
      <c r="BX137" s="3" t="s">
        <v>92</v>
      </c>
      <c r="BY137" s="3" t="s">
        <v>92</v>
      </c>
      <c r="BZ137" s="3" t="s">
        <v>92</v>
      </c>
      <c r="CA137" s="3">
        <v>25.36</v>
      </c>
      <c r="CB137" s="3" t="s">
        <v>92</v>
      </c>
      <c r="CC137" s="3" t="s">
        <v>92</v>
      </c>
      <c r="CD137" s="3">
        <f>0.06+12.61</f>
        <v>12.67</v>
      </c>
      <c r="CF137" s="16" t="s">
        <v>183</v>
      </c>
    </row>
    <row r="138" spans="1:85" s="3" customFormat="1" x14ac:dyDescent="0.15">
      <c r="A138" s="3" t="s">
        <v>90</v>
      </c>
      <c r="B138" s="17" t="s">
        <v>181</v>
      </c>
      <c r="C138" s="3" t="s">
        <v>92</v>
      </c>
      <c r="D138" s="3">
        <v>4039.98</v>
      </c>
      <c r="E138" s="3" t="s">
        <v>182</v>
      </c>
      <c r="F138" s="3">
        <v>30</v>
      </c>
      <c r="G138" s="3">
        <f>((D138/1000)/(F138))*60</f>
        <v>8.0799599999999998</v>
      </c>
      <c r="H138" s="3">
        <v>600</v>
      </c>
      <c r="I138" s="3" t="s">
        <v>92</v>
      </c>
      <c r="J138" s="3">
        <v>0.46500000000000002</v>
      </c>
      <c r="M138" s="3">
        <v>2</v>
      </c>
      <c r="N138" s="3" t="s">
        <v>92</v>
      </c>
      <c r="O138" s="3" t="s">
        <v>92</v>
      </c>
      <c r="S138" s="56">
        <v>9.4</v>
      </c>
      <c r="W138" s="56">
        <v>73.400000000000006</v>
      </c>
      <c r="AA138" s="56" t="s">
        <v>92</v>
      </c>
      <c r="AE138" s="56">
        <v>0.5</v>
      </c>
      <c r="AI138" s="56">
        <v>49.33</v>
      </c>
      <c r="AM138" s="56">
        <v>6.06</v>
      </c>
      <c r="AQ138" s="56">
        <v>0.04</v>
      </c>
      <c r="AU138" s="56">
        <v>44.57</v>
      </c>
      <c r="AV138" s="56">
        <v>19.8</v>
      </c>
      <c r="AZ138" s="3">
        <f t="shared" si="11"/>
        <v>99.43</v>
      </c>
      <c r="BA138" s="3">
        <f t="shared" si="13"/>
        <v>0.56999999999999318</v>
      </c>
      <c r="BB138" s="3">
        <v>65.08</v>
      </c>
      <c r="BC138" s="3">
        <v>15.03</v>
      </c>
      <c r="BD138" s="3">
        <v>19.32</v>
      </c>
      <c r="BE138" s="3" t="s">
        <v>96</v>
      </c>
      <c r="BF138" s="3">
        <f t="shared" si="14"/>
        <v>65.649999999999991</v>
      </c>
      <c r="BH138" s="11">
        <f t="shared" si="15"/>
        <v>11.18</v>
      </c>
      <c r="BI138" s="3">
        <v>0</v>
      </c>
      <c r="BJ138" s="3">
        <v>0</v>
      </c>
      <c r="BK138" s="3">
        <v>11.18</v>
      </c>
      <c r="BL138" s="11">
        <v>3.78</v>
      </c>
      <c r="BM138" s="3">
        <v>1.51</v>
      </c>
      <c r="BN138" s="11">
        <v>4.29</v>
      </c>
      <c r="BO138" s="11">
        <v>1.47</v>
      </c>
      <c r="BP138" s="3" t="s">
        <v>92</v>
      </c>
      <c r="BQ138" s="3" t="s">
        <v>92</v>
      </c>
      <c r="BR138" s="3" t="s">
        <v>92</v>
      </c>
      <c r="BS138" s="3" t="s">
        <v>92</v>
      </c>
      <c r="BT138" s="3">
        <v>2.2799999999999998</v>
      </c>
      <c r="BU138" s="3" t="s">
        <v>92</v>
      </c>
      <c r="BV138" s="3">
        <v>2.5</v>
      </c>
      <c r="BW138" s="3" t="s">
        <v>92</v>
      </c>
      <c r="BX138" s="3" t="s">
        <v>92</v>
      </c>
      <c r="BY138" s="3" t="s">
        <v>92</v>
      </c>
      <c r="BZ138" s="3" t="s">
        <v>92</v>
      </c>
      <c r="CA138" s="3">
        <v>27.17</v>
      </c>
      <c r="CB138" s="3" t="s">
        <v>92</v>
      </c>
      <c r="CC138" s="3" t="s">
        <v>92</v>
      </c>
      <c r="CD138" s="3">
        <f>0.24+10.66</f>
        <v>10.9</v>
      </c>
      <c r="CF138" s="16" t="s">
        <v>183</v>
      </c>
    </row>
    <row r="139" spans="1:85" s="29" customFormat="1" x14ac:dyDescent="0.15">
      <c r="A139" s="29" t="s">
        <v>90</v>
      </c>
      <c r="B139" s="29" t="s">
        <v>91</v>
      </c>
      <c r="C139" s="29">
        <v>11500</v>
      </c>
      <c r="D139" s="29" t="s">
        <v>92</v>
      </c>
      <c r="E139" s="29" t="s">
        <v>92</v>
      </c>
      <c r="F139" s="29" t="s">
        <v>92</v>
      </c>
      <c r="G139" s="29" t="s">
        <v>92</v>
      </c>
      <c r="H139" s="29">
        <v>474</v>
      </c>
      <c r="I139" s="29" t="s">
        <v>92</v>
      </c>
      <c r="J139" s="29">
        <v>1.5</v>
      </c>
      <c r="K139" s="29" t="s">
        <v>135</v>
      </c>
      <c r="L139" s="29" t="s">
        <v>92</v>
      </c>
      <c r="M139" s="29">
        <v>40</v>
      </c>
      <c r="N139" s="29" t="s">
        <v>92</v>
      </c>
      <c r="O139" s="29" t="s">
        <v>92</v>
      </c>
      <c r="S139" s="56">
        <v>7.61</v>
      </c>
      <c r="W139" s="56">
        <v>92.2</v>
      </c>
      <c r="AA139" s="56">
        <v>0</v>
      </c>
      <c r="AE139" s="56">
        <v>0.19</v>
      </c>
      <c r="AI139" s="56">
        <v>44.8</v>
      </c>
      <c r="AM139" s="56">
        <v>5.9</v>
      </c>
      <c r="AQ139" s="56">
        <v>0.1</v>
      </c>
      <c r="AU139" s="56">
        <v>46.2</v>
      </c>
      <c r="AV139" s="56">
        <v>18</v>
      </c>
      <c r="AZ139" s="29">
        <f t="shared" ref="AZ139:AZ179" si="16">BB139+BC139+BD139</f>
        <v>100</v>
      </c>
      <c r="BA139" s="29">
        <f t="shared" si="13"/>
        <v>0</v>
      </c>
      <c r="BB139" s="29">
        <v>67.099999999999994</v>
      </c>
      <c r="BC139" s="29">
        <v>9.6999999999999993</v>
      </c>
      <c r="BD139" s="29">
        <v>23.2</v>
      </c>
      <c r="BE139" s="29" t="s">
        <v>96</v>
      </c>
      <c r="BF139" s="29">
        <f t="shared" si="14"/>
        <v>67.099999999999994</v>
      </c>
      <c r="BH139" s="29">
        <f t="shared" si="15"/>
        <v>0</v>
      </c>
      <c r="BI139" s="29">
        <v>0</v>
      </c>
      <c r="BJ139" s="29">
        <v>0</v>
      </c>
      <c r="BK139" s="29">
        <v>0</v>
      </c>
      <c r="BL139" s="29" t="s">
        <v>92</v>
      </c>
      <c r="BM139" s="29" t="s">
        <v>92</v>
      </c>
      <c r="BN139" s="29" t="s">
        <v>92</v>
      </c>
      <c r="BO139" s="29" t="s">
        <v>92</v>
      </c>
      <c r="BP139" s="29" t="s">
        <v>92</v>
      </c>
      <c r="BQ139" s="29" t="s">
        <v>92</v>
      </c>
      <c r="BR139" s="29" t="s">
        <v>92</v>
      </c>
      <c r="BS139" s="29" t="s">
        <v>92</v>
      </c>
      <c r="BT139" s="29" t="s">
        <v>92</v>
      </c>
      <c r="BU139" s="29" t="s">
        <v>92</v>
      </c>
      <c r="BV139" s="29" t="s">
        <v>92</v>
      </c>
      <c r="BW139" s="29" t="s">
        <v>92</v>
      </c>
      <c r="BX139" s="29" t="s">
        <v>92</v>
      </c>
      <c r="BY139" s="29" t="s">
        <v>92</v>
      </c>
      <c r="BZ139" s="29" t="s">
        <v>92</v>
      </c>
      <c r="CA139" s="29" t="s">
        <v>92</v>
      </c>
      <c r="CB139" s="29" t="s">
        <v>92</v>
      </c>
      <c r="CC139" s="29" t="s">
        <v>92</v>
      </c>
      <c r="CD139" s="29" t="s">
        <v>92</v>
      </c>
      <c r="CF139" s="30" t="s">
        <v>184</v>
      </c>
    </row>
    <row r="140" spans="1:85" s="3" customFormat="1" x14ac:dyDescent="0.15">
      <c r="A140" s="3" t="s">
        <v>90</v>
      </c>
      <c r="B140" s="3" t="s">
        <v>91</v>
      </c>
      <c r="C140" s="3">
        <v>11500</v>
      </c>
      <c r="D140" s="3" t="s">
        <v>92</v>
      </c>
      <c r="E140" s="3" t="s">
        <v>92</v>
      </c>
      <c r="F140" s="3" t="s">
        <v>92</v>
      </c>
      <c r="G140" s="3" t="s">
        <v>92</v>
      </c>
      <c r="H140" s="3">
        <v>502</v>
      </c>
      <c r="I140" s="3" t="s">
        <v>92</v>
      </c>
      <c r="J140" s="3">
        <v>1.5</v>
      </c>
      <c r="K140" s="3" t="s">
        <v>135</v>
      </c>
      <c r="L140" s="3" t="s">
        <v>92</v>
      </c>
      <c r="M140" s="3">
        <v>40</v>
      </c>
      <c r="N140" s="3" t="s">
        <v>92</v>
      </c>
      <c r="O140" s="3" t="s">
        <v>92</v>
      </c>
      <c r="S140" s="56">
        <v>7.61</v>
      </c>
      <c r="W140" s="56">
        <v>92.2</v>
      </c>
      <c r="AA140" s="56">
        <v>0</v>
      </c>
      <c r="AE140" s="56">
        <v>0.19</v>
      </c>
      <c r="AI140" s="56">
        <v>44.8</v>
      </c>
      <c r="AM140" s="56">
        <v>5.9</v>
      </c>
      <c r="AQ140" s="56">
        <v>0.1</v>
      </c>
      <c r="AU140" s="56">
        <v>46.2</v>
      </c>
      <c r="AV140" s="56">
        <v>18</v>
      </c>
      <c r="AZ140" s="3">
        <f t="shared" si="16"/>
        <v>100</v>
      </c>
      <c r="BA140" s="3">
        <f t="shared" si="13"/>
        <v>0</v>
      </c>
      <c r="BB140" s="3">
        <v>47.4</v>
      </c>
      <c r="BC140" s="3">
        <v>11.9</v>
      </c>
      <c r="BD140" s="3">
        <v>40.700000000000003</v>
      </c>
      <c r="BE140" s="3" t="s">
        <v>96</v>
      </c>
      <c r="BF140" s="3">
        <f t="shared" si="14"/>
        <v>47.4</v>
      </c>
      <c r="BH140" s="11">
        <f t="shared" si="15"/>
        <v>0</v>
      </c>
      <c r="BI140" s="3">
        <v>0</v>
      </c>
      <c r="BJ140" s="3">
        <v>0</v>
      </c>
      <c r="BK140" s="3">
        <v>0</v>
      </c>
      <c r="BL140" s="11" t="s">
        <v>92</v>
      </c>
      <c r="BM140" s="3" t="s">
        <v>92</v>
      </c>
      <c r="BN140" s="11" t="s">
        <v>92</v>
      </c>
      <c r="BO140" s="11" t="s">
        <v>92</v>
      </c>
      <c r="BP140" s="3" t="s">
        <v>92</v>
      </c>
      <c r="BQ140" s="3" t="s">
        <v>92</v>
      </c>
      <c r="BR140" s="3" t="s">
        <v>92</v>
      </c>
      <c r="BS140" s="3" t="s">
        <v>92</v>
      </c>
      <c r="BT140" s="3" t="s">
        <v>92</v>
      </c>
      <c r="BU140" s="3" t="s">
        <v>92</v>
      </c>
      <c r="BV140" s="3" t="s">
        <v>92</v>
      </c>
      <c r="BW140" s="3" t="s">
        <v>92</v>
      </c>
      <c r="BX140" s="3" t="s">
        <v>92</v>
      </c>
      <c r="BY140" s="3" t="s">
        <v>92</v>
      </c>
      <c r="BZ140" s="3" t="s">
        <v>92</v>
      </c>
      <c r="CA140" s="3" t="s">
        <v>92</v>
      </c>
      <c r="CB140" s="3" t="s">
        <v>92</v>
      </c>
      <c r="CC140" s="3" t="s">
        <v>92</v>
      </c>
      <c r="CD140" s="3" t="s">
        <v>92</v>
      </c>
      <c r="CF140" s="16" t="s">
        <v>184</v>
      </c>
    </row>
    <row r="141" spans="1:85" s="3" customFormat="1" x14ac:dyDescent="0.15">
      <c r="A141" s="3" t="s">
        <v>90</v>
      </c>
      <c r="B141" s="3" t="s">
        <v>91</v>
      </c>
      <c r="C141" s="3">
        <v>11500</v>
      </c>
      <c r="D141" s="3" t="s">
        <v>92</v>
      </c>
      <c r="E141" s="3" t="s">
        <v>92</v>
      </c>
      <c r="F141" s="3" t="s">
        <v>92</v>
      </c>
      <c r="G141" s="3" t="s">
        <v>92</v>
      </c>
      <c r="H141" s="3">
        <v>502</v>
      </c>
      <c r="I141" s="3" t="s">
        <v>92</v>
      </c>
      <c r="J141" s="3" t="s">
        <v>128</v>
      </c>
      <c r="K141" s="3" t="s">
        <v>135</v>
      </c>
      <c r="L141" s="3" t="s">
        <v>92</v>
      </c>
      <c r="M141" s="3">
        <v>40</v>
      </c>
      <c r="N141" s="3" t="s">
        <v>92</v>
      </c>
      <c r="O141" s="3" t="s">
        <v>92</v>
      </c>
      <c r="S141" s="56">
        <v>7.61</v>
      </c>
      <c r="W141" s="56">
        <v>92.2</v>
      </c>
      <c r="AA141" s="56">
        <v>0</v>
      </c>
      <c r="AE141" s="56">
        <v>0.19</v>
      </c>
      <c r="AI141" s="56">
        <v>44.8</v>
      </c>
      <c r="AM141" s="56">
        <v>5.9</v>
      </c>
      <c r="AQ141" s="56">
        <v>0.1</v>
      </c>
      <c r="AU141" s="56">
        <v>46.2</v>
      </c>
      <c r="AV141" s="56">
        <v>18</v>
      </c>
      <c r="AZ141" s="3">
        <f t="shared" si="16"/>
        <v>100.1</v>
      </c>
      <c r="BA141" s="3">
        <f t="shared" si="13"/>
        <v>-9.9999999999994316E-2</v>
      </c>
      <c r="BB141" s="3">
        <v>54</v>
      </c>
      <c r="BC141" s="3">
        <v>8.6999999999999993</v>
      </c>
      <c r="BD141" s="3">
        <v>37.4</v>
      </c>
      <c r="BE141" s="3" t="s">
        <v>96</v>
      </c>
      <c r="BF141" s="3">
        <f t="shared" si="14"/>
        <v>53.900000000000006</v>
      </c>
      <c r="BH141" s="11">
        <f t="shared" si="15"/>
        <v>0</v>
      </c>
      <c r="BI141" s="3">
        <v>0</v>
      </c>
      <c r="BJ141" s="3">
        <v>0</v>
      </c>
      <c r="BK141" s="3">
        <v>0</v>
      </c>
      <c r="BL141" s="11" t="s">
        <v>92</v>
      </c>
      <c r="BM141" s="3" t="s">
        <v>92</v>
      </c>
      <c r="BN141" s="11" t="s">
        <v>92</v>
      </c>
      <c r="BO141" s="11" t="s">
        <v>92</v>
      </c>
      <c r="BP141" s="3" t="s">
        <v>92</v>
      </c>
      <c r="BQ141" s="3" t="s">
        <v>92</v>
      </c>
      <c r="BR141" s="3" t="s">
        <v>92</v>
      </c>
      <c r="BS141" s="3" t="s">
        <v>92</v>
      </c>
      <c r="BT141" s="3" t="s">
        <v>92</v>
      </c>
      <c r="BU141" s="3" t="s">
        <v>92</v>
      </c>
      <c r="BV141" s="3" t="s">
        <v>92</v>
      </c>
      <c r="BW141" s="3" t="s">
        <v>92</v>
      </c>
      <c r="BX141" s="3" t="s">
        <v>92</v>
      </c>
      <c r="BY141" s="3" t="s">
        <v>92</v>
      </c>
      <c r="BZ141" s="3" t="s">
        <v>92</v>
      </c>
      <c r="CA141" s="3" t="s">
        <v>92</v>
      </c>
      <c r="CB141" s="3" t="s">
        <v>92</v>
      </c>
      <c r="CC141" s="3" t="s">
        <v>92</v>
      </c>
      <c r="CD141" s="3" t="s">
        <v>92</v>
      </c>
      <c r="CF141" s="16" t="s">
        <v>184</v>
      </c>
    </row>
    <row r="142" spans="1:85" s="3" customFormat="1" x14ac:dyDescent="0.15">
      <c r="A142" s="3" t="s">
        <v>90</v>
      </c>
      <c r="B142" s="3" t="s">
        <v>91</v>
      </c>
      <c r="C142" s="3">
        <v>11500</v>
      </c>
      <c r="D142" s="3" t="s">
        <v>92</v>
      </c>
      <c r="E142" s="3" t="s">
        <v>92</v>
      </c>
      <c r="F142" s="3" t="s">
        <v>92</v>
      </c>
      <c r="G142" s="3" t="s">
        <v>92</v>
      </c>
      <c r="H142" s="3">
        <v>562</v>
      </c>
      <c r="I142" s="3" t="s">
        <v>92</v>
      </c>
      <c r="J142" s="3">
        <v>1.5</v>
      </c>
      <c r="K142" s="3" t="s">
        <v>135</v>
      </c>
      <c r="L142" s="3" t="s">
        <v>92</v>
      </c>
      <c r="M142" s="3">
        <v>40</v>
      </c>
      <c r="N142" s="3" t="s">
        <v>92</v>
      </c>
      <c r="O142" s="3" t="s">
        <v>92</v>
      </c>
      <c r="S142" s="56">
        <v>7.61</v>
      </c>
      <c r="W142" s="56">
        <v>92.2</v>
      </c>
      <c r="AA142" s="56">
        <v>0</v>
      </c>
      <c r="AE142" s="56">
        <v>0.19</v>
      </c>
      <c r="AI142" s="56">
        <v>44.8</v>
      </c>
      <c r="AM142" s="56">
        <v>5.9</v>
      </c>
      <c r="AQ142" s="56">
        <v>0.1</v>
      </c>
      <c r="AU142" s="56">
        <v>46.2</v>
      </c>
      <c r="AV142" s="56">
        <v>18</v>
      </c>
      <c r="AZ142" s="3">
        <f t="shared" si="16"/>
        <v>99.9</v>
      </c>
      <c r="BA142" s="3">
        <f t="shared" si="13"/>
        <v>9.9999999999994316E-2</v>
      </c>
      <c r="BB142" s="3">
        <v>44.7</v>
      </c>
      <c r="BC142" s="3">
        <v>10</v>
      </c>
      <c r="BD142" s="3">
        <v>45.2</v>
      </c>
      <c r="BE142" s="3" t="s">
        <v>96</v>
      </c>
      <c r="BF142" s="3">
        <f t="shared" si="14"/>
        <v>44.8</v>
      </c>
      <c r="BH142" s="11">
        <f t="shared" si="15"/>
        <v>0</v>
      </c>
      <c r="BI142" s="3">
        <v>0</v>
      </c>
      <c r="BJ142" s="3">
        <v>0</v>
      </c>
      <c r="BK142" s="3">
        <v>0</v>
      </c>
      <c r="BL142" s="11" t="s">
        <v>92</v>
      </c>
      <c r="BM142" s="3" t="s">
        <v>92</v>
      </c>
      <c r="BN142" s="11" t="s">
        <v>92</v>
      </c>
      <c r="BO142" s="11" t="s">
        <v>92</v>
      </c>
      <c r="BP142" s="3" t="s">
        <v>92</v>
      </c>
      <c r="BQ142" s="3" t="s">
        <v>92</v>
      </c>
      <c r="BR142" s="3" t="s">
        <v>92</v>
      </c>
      <c r="BS142" s="3" t="s">
        <v>92</v>
      </c>
      <c r="BT142" s="3" t="s">
        <v>92</v>
      </c>
      <c r="BU142" s="3" t="s">
        <v>92</v>
      </c>
      <c r="BV142" s="3" t="s">
        <v>92</v>
      </c>
      <c r="BW142" s="3" t="s">
        <v>92</v>
      </c>
      <c r="BX142" s="3" t="s">
        <v>92</v>
      </c>
      <c r="BY142" s="3" t="s">
        <v>92</v>
      </c>
      <c r="BZ142" s="3" t="s">
        <v>92</v>
      </c>
      <c r="CA142" s="3" t="s">
        <v>92</v>
      </c>
      <c r="CB142" s="3" t="s">
        <v>92</v>
      </c>
      <c r="CC142" s="3" t="s">
        <v>92</v>
      </c>
      <c r="CD142" s="3" t="s">
        <v>92</v>
      </c>
      <c r="CF142" s="16" t="s">
        <v>184</v>
      </c>
    </row>
    <row r="143" spans="1:85" s="3" customFormat="1" x14ac:dyDescent="0.15">
      <c r="A143" s="3" t="s">
        <v>90</v>
      </c>
      <c r="B143" s="3" t="s">
        <v>91</v>
      </c>
      <c r="C143" s="3">
        <v>11500</v>
      </c>
      <c r="D143" s="3" t="s">
        <v>92</v>
      </c>
      <c r="E143" s="3" t="s">
        <v>92</v>
      </c>
      <c r="F143" s="3" t="s">
        <v>92</v>
      </c>
      <c r="G143" s="3" t="s">
        <v>92</v>
      </c>
      <c r="H143" s="3">
        <v>661</v>
      </c>
      <c r="I143" s="3" t="s">
        <v>92</v>
      </c>
      <c r="J143" s="3">
        <v>1.5</v>
      </c>
      <c r="K143" s="3" t="s">
        <v>135</v>
      </c>
      <c r="L143" s="3" t="s">
        <v>92</v>
      </c>
      <c r="M143" s="3">
        <v>40</v>
      </c>
      <c r="N143" s="3" t="s">
        <v>92</v>
      </c>
      <c r="O143" s="3" t="s">
        <v>92</v>
      </c>
      <c r="S143" s="56">
        <v>7.61</v>
      </c>
      <c r="W143" s="56">
        <v>92.2</v>
      </c>
      <c r="AA143" s="56">
        <v>0</v>
      </c>
      <c r="AE143" s="56">
        <v>0.19</v>
      </c>
      <c r="AI143" s="56">
        <v>44.8</v>
      </c>
      <c r="AM143" s="56">
        <v>5.9</v>
      </c>
      <c r="AQ143" s="56">
        <v>0.1</v>
      </c>
      <c r="AU143" s="56">
        <v>46.2</v>
      </c>
      <c r="AV143" s="56">
        <v>18</v>
      </c>
      <c r="AZ143" s="3">
        <f t="shared" si="16"/>
        <v>99.9</v>
      </c>
      <c r="BA143" s="3">
        <f t="shared" si="13"/>
        <v>9.9999999999994316E-2</v>
      </c>
      <c r="BB143" s="3">
        <v>24.2</v>
      </c>
      <c r="BC143" s="3">
        <v>9</v>
      </c>
      <c r="BD143" s="3">
        <v>66.7</v>
      </c>
      <c r="BE143" s="3" t="s">
        <v>96</v>
      </c>
      <c r="BF143" s="3">
        <f t="shared" si="14"/>
        <v>24.299999999999994</v>
      </c>
      <c r="BH143" s="11">
        <f t="shared" si="15"/>
        <v>0</v>
      </c>
      <c r="BI143" s="3">
        <v>0</v>
      </c>
      <c r="BJ143" s="3">
        <v>0</v>
      </c>
      <c r="BK143" s="3">
        <v>0</v>
      </c>
      <c r="BL143" s="11" t="s">
        <v>92</v>
      </c>
      <c r="BM143" s="3" t="s">
        <v>92</v>
      </c>
      <c r="BN143" s="11" t="s">
        <v>92</v>
      </c>
      <c r="BO143" s="11" t="s">
        <v>92</v>
      </c>
      <c r="BP143" s="3" t="s">
        <v>92</v>
      </c>
      <c r="BQ143" s="3" t="s">
        <v>92</v>
      </c>
      <c r="BR143" s="3" t="s">
        <v>92</v>
      </c>
      <c r="BS143" s="3" t="s">
        <v>92</v>
      </c>
      <c r="BT143" s="3" t="s">
        <v>92</v>
      </c>
      <c r="BU143" s="3" t="s">
        <v>92</v>
      </c>
      <c r="BV143" s="3" t="s">
        <v>92</v>
      </c>
      <c r="BW143" s="3" t="s">
        <v>92</v>
      </c>
      <c r="BX143" s="3" t="s">
        <v>92</v>
      </c>
      <c r="BY143" s="3" t="s">
        <v>92</v>
      </c>
      <c r="BZ143" s="3" t="s">
        <v>92</v>
      </c>
      <c r="CA143" s="3" t="s">
        <v>92</v>
      </c>
      <c r="CB143" s="3" t="s">
        <v>92</v>
      </c>
      <c r="CC143" s="3" t="s">
        <v>92</v>
      </c>
      <c r="CD143" s="3" t="s">
        <v>92</v>
      </c>
      <c r="CF143" s="16" t="s">
        <v>184</v>
      </c>
    </row>
    <row r="144" spans="1:85" s="29" customFormat="1" x14ac:dyDescent="0.15">
      <c r="A144" s="29" t="s">
        <v>90</v>
      </c>
      <c r="B144" s="29" t="s">
        <v>181</v>
      </c>
      <c r="C144" s="29" t="s">
        <v>92</v>
      </c>
      <c r="D144" s="29">
        <v>4039.98</v>
      </c>
      <c r="E144" s="29" t="s">
        <v>93</v>
      </c>
      <c r="F144" s="29">
        <v>12</v>
      </c>
      <c r="G144" s="29">
        <f>((D144/1000)/(F144))*60</f>
        <v>20.1999</v>
      </c>
      <c r="H144" s="29">
        <v>400</v>
      </c>
      <c r="I144" s="29" t="s">
        <v>92</v>
      </c>
      <c r="J144" s="29">
        <v>1.4</v>
      </c>
      <c r="M144" s="29">
        <v>4</v>
      </c>
      <c r="N144" s="29" t="s">
        <v>92</v>
      </c>
      <c r="O144" s="29" t="s">
        <v>92</v>
      </c>
      <c r="S144" s="56" t="s">
        <v>92</v>
      </c>
      <c r="W144" s="56">
        <v>83.74</v>
      </c>
      <c r="AA144" s="56" t="s">
        <v>92</v>
      </c>
      <c r="AE144" s="56">
        <v>0.22</v>
      </c>
      <c r="AI144" s="56">
        <v>44.8</v>
      </c>
      <c r="AM144" s="56">
        <v>6.56</v>
      </c>
      <c r="AQ144" s="56">
        <v>0.05</v>
      </c>
      <c r="AU144" s="56">
        <v>48.49</v>
      </c>
      <c r="AV144" s="56" t="s">
        <v>92</v>
      </c>
      <c r="AZ144" s="29">
        <f t="shared" si="16"/>
        <v>99.800000000000011</v>
      </c>
      <c r="BA144" s="29">
        <f t="shared" si="13"/>
        <v>0.19999999999998863</v>
      </c>
      <c r="BB144" s="29">
        <v>67.400000000000006</v>
      </c>
      <c r="BC144" s="29">
        <v>21.2</v>
      </c>
      <c r="BD144" s="29">
        <v>11.2</v>
      </c>
      <c r="BE144" s="29" t="s">
        <v>96</v>
      </c>
      <c r="BF144" s="29">
        <f t="shared" si="14"/>
        <v>67.599999999999994</v>
      </c>
      <c r="BH144" s="29">
        <f t="shared" si="15"/>
        <v>0.84</v>
      </c>
      <c r="BI144" s="29">
        <v>0</v>
      </c>
      <c r="BJ144" s="29">
        <v>0</v>
      </c>
      <c r="BK144" s="29">
        <v>0.84</v>
      </c>
      <c r="BL144" s="29">
        <v>2.57</v>
      </c>
      <c r="BM144" s="29">
        <v>0.13</v>
      </c>
      <c r="BN144" s="29">
        <f>0.61+0.79</f>
        <v>1.4</v>
      </c>
      <c r="BO144" s="29">
        <f>0.65+0.01+0.47</f>
        <v>1.1299999999999999</v>
      </c>
      <c r="BP144" s="29" t="s">
        <v>92</v>
      </c>
      <c r="BQ144" s="29" t="s">
        <v>92</v>
      </c>
      <c r="BR144" s="29">
        <v>0.44</v>
      </c>
      <c r="BS144" s="29" t="s">
        <v>92</v>
      </c>
      <c r="BT144" s="29">
        <v>0.21</v>
      </c>
      <c r="BU144" s="29" t="s">
        <v>92</v>
      </c>
      <c r="BV144" s="29">
        <f>0.8+1.28</f>
        <v>2.08</v>
      </c>
      <c r="BW144" s="29" t="s">
        <v>92</v>
      </c>
      <c r="BX144" s="29" t="s">
        <v>92</v>
      </c>
      <c r="BY144" s="29" t="s">
        <v>92</v>
      </c>
      <c r="BZ144" s="29" t="s">
        <v>92</v>
      </c>
      <c r="CA144" s="29">
        <v>15.66</v>
      </c>
      <c r="CB144" s="29" t="s">
        <v>92</v>
      </c>
      <c r="CC144" s="29" t="s">
        <v>92</v>
      </c>
      <c r="CD144" s="29">
        <v>0.23</v>
      </c>
      <c r="CF144" s="29" t="s">
        <v>185</v>
      </c>
    </row>
    <row r="145" spans="1:85" s="3" customFormat="1" x14ac:dyDescent="0.15">
      <c r="A145" s="3" t="s">
        <v>90</v>
      </c>
      <c r="B145" s="18" t="s">
        <v>181</v>
      </c>
      <c r="C145" s="3" t="s">
        <v>92</v>
      </c>
      <c r="D145" s="3">
        <v>4039.98</v>
      </c>
      <c r="E145" s="3" t="s">
        <v>93</v>
      </c>
      <c r="F145" s="3">
        <v>12</v>
      </c>
      <c r="G145" s="3">
        <f t="shared" ref="G145:G150" si="17">((D145/1000)/(F145))*60</f>
        <v>20.1999</v>
      </c>
      <c r="H145" s="3">
        <v>450</v>
      </c>
      <c r="I145" s="3" t="s">
        <v>92</v>
      </c>
      <c r="J145" s="3">
        <v>1.4</v>
      </c>
      <c r="M145" s="3">
        <v>4</v>
      </c>
      <c r="N145" s="3" t="s">
        <v>92</v>
      </c>
      <c r="O145" s="3" t="s">
        <v>92</v>
      </c>
      <c r="S145" s="56" t="s">
        <v>92</v>
      </c>
      <c r="W145" s="56">
        <v>83.74</v>
      </c>
      <c r="AA145" s="56" t="s">
        <v>92</v>
      </c>
      <c r="AE145" s="56">
        <v>0.22</v>
      </c>
      <c r="AI145" s="56">
        <v>44.8</v>
      </c>
      <c r="AM145" s="56">
        <v>6.56</v>
      </c>
      <c r="AQ145" s="56">
        <v>0.05</v>
      </c>
      <c r="AU145" s="56">
        <v>48.49</v>
      </c>
      <c r="AV145" s="56" t="s">
        <v>92</v>
      </c>
      <c r="AZ145" s="3">
        <f t="shared" si="16"/>
        <v>101</v>
      </c>
      <c r="BA145" s="3">
        <f t="shared" si="13"/>
        <v>-1</v>
      </c>
      <c r="BB145" s="3">
        <v>70.099999999999994</v>
      </c>
      <c r="BC145" s="3">
        <v>12.3</v>
      </c>
      <c r="BD145" s="3">
        <v>18.600000000000001</v>
      </c>
      <c r="BE145" s="3" t="s">
        <v>96</v>
      </c>
      <c r="BF145" s="3">
        <f t="shared" si="14"/>
        <v>69.099999999999994</v>
      </c>
      <c r="BH145" s="11">
        <f t="shared" si="15"/>
        <v>2.23</v>
      </c>
      <c r="BI145" s="3">
        <v>0</v>
      </c>
      <c r="BJ145" s="3">
        <v>0</v>
      </c>
      <c r="BK145" s="3">
        <v>2.23</v>
      </c>
      <c r="BL145" s="11">
        <v>5.23</v>
      </c>
      <c r="BM145" s="3">
        <v>0.33</v>
      </c>
      <c r="BN145" s="11">
        <f>1.21+1.39</f>
        <v>2.5999999999999996</v>
      </c>
      <c r="BO145" s="11">
        <f>0.89+0.04+0.99</f>
        <v>1.92</v>
      </c>
      <c r="BP145" s="3" t="s">
        <v>92</v>
      </c>
      <c r="BQ145" s="3" t="s">
        <v>92</v>
      </c>
      <c r="BR145" s="3">
        <v>1.1100000000000001</v>
      </c>
      <c r="BS145" s="3" t="s">
        <v>92</v>
      </c>
      <c r="BT145" s="3">
        <v>0.69</v>
      </c>
      <c r="BU145" s="3" t="s">
        <v>92</v>
      </c>
      <c r="BV145" s="3">
        <f>1.78+2.65</f>
        <v>4.43</v>
      </c>
      <c r="BW145" s="3" t="s">
        <v>92</v>
      </c>
      <c r="BX145" s="3" t="s">
        <v>92</v>
      </c>
      <c r="BY145" s="3" t="s">
        <v>92</v>
      </c>
      <c r="BZ145" s="3" t="s">
        <v>92</v>
      </c>
      <c r="CA145" s="3">
        <v>14.32</v>
      </c>
      <c r="CB145" s="3" t="s">
        <v>92</v>
      </c>
      <c r="CC145" s="3" t="s">
        <v>92</v>
      </c>
      <c r="CD145" s="3">
        <v>0.45</v>
      </c>
      <c r="CF145" s="16" t="s">
        <v>185</v>
      </c>
    </row>
    <row r="146" spans="1:85" s="3" customFormat="1" x14ac:dyDescent="0.15">
      <c r="A146" s="3" t="s">
        <v>90</v>
      </c>
      <c r="B146" s="18" t="s">
        <v>181</v>
      </c>
      <c r="C146" s="3" t="s">
        <v>92</v>
      </c>
      <c r="D146" s="3">
        <v>4039.98</v>
      </c>
      <c r="E146" s="3" t="s">
        <v>93</v>
      </c>
      <c r="F146" s="3">
        <v>12</v>
      </c>
      <c r="G146" s="3">
        <f t="shared" si="17"/>
        <v>20.1999</v>
      </c>
      <c r="H146" s="3">
        <v>500</v>
      </c>
      <c r="I146" s="3" t="s">
        <v>92</v>
      </c>
      <c r="J146" s="3">
        <v>1.4</v>
      </c>
      <c r="M146" s="3">
        <v>4</v>
      </c>
      <c r="N146" s="3" t="s">
        <v>92</v>
      </c>
      <c r="O146" s="3" t="s">
        <v>92</v>
      </c>
      <c r="S146" s="56" t="s">
        <v>92</v>
      </c>
      <c r="W146" s="56">
        <v>83.74</v>
      </c>
      <c r="AA146" s="56" t="s">
        <v>92</v>
      </c>
      <c r="AE146" s="56">
        <v>0.22</v>
      </c>
      <c r="AI146" s="56">
        <v>44.8</v>
      </c>
      <c r="AM146" s="56">
        <v>6.56</v>
      </c>
      <c r="AQ146" s="56">
        <v>0.05</v>
      </c>
      <c r="AU146" s="56">
        <v>48.49</v>
      </c>
      <c r="AV146" s="56" t="s">
        <v>92</v>
      </c>
      <c r="AZ146" s="3">
        <f t="shared" si="16"/>
        <v>101.5</v>
      </c>
      <c r="BA146" s="3">
        <f t="shared" si="13"/>
        <v>-1.5</v>
      </c>
      <c r="BB146" s="3">
        <v>61.2</v>
      </c>
      <c r="BC146" s="3">
        <v>8.9</v>
      </c>
      <c r="BD146" s="3">
        <v>31.4</v>
      </c>
      <c r="BE146" s="3" t="s">
        <v>96</v>
      </c>
      <c r="BF146" s="3">
        <f t="shared" si="14"/>
        <v>59.7</v>
      </c>
      <c r="BH146" s="11">
        <f t="shared" si="15"/>
        <v>1.63</v>
      </c>
      <c r="BI146" s="3">
        <v>0</v>
      </c>
      <c r="BJ146" s="3">
        <v>0</v>
      </c>
      <c r="BK146" s="3">
        <v>1.63</v>
      </c>
      <c r="BL146" s="11">
        <v>4.4400000000000004</v>
      </c>
      <c r="BM146" s="3">
        <v>0.21</v>
      </c>
      <c r="BN146" s="11">
        <f>1.27+1.33</f>
        <v>2.6</v>
      </c>
      <c r="BO146" s="11">
        <f>0.77+0.1+0.98</f>
        <v>1.85</v>
      </c>
      <c r="BP146" s="3" t="s">
        <v>92</v>
      </c>
      <c r="BQ146" s="3" t="s">
        <v>92</v>
      </c>
      <c r="BR146" s="3">
        <v>0.8</v>
      </c>
      <c r="BS146" s="3" t="s">
        <v>92</v>
      </c>
      <c r="BT146" s="3">
        <v>0.72</v>
      </c>
      <c r="BU146" s="3" t="s">
        <v>92</v>
      </c>
      <c r="BV146" s="3">
        <f>1.49+2.08</f>
        <v>3.5700000000000003</v>
      </c>
      <c r="BW146" s="3" t="s">
        <v>92</v>
      </c>
      <c r="BX146" s="3" t="s">
        <v>92</v>
      </c>
      <c r="BY146" s="3" t="s">
        <v>92</v>
      </c>
      <c r="BZ146" s="3" t="s">
        <v>92</v>
      </c>
      <c r="CA146" s="3">
        <v>14.96</v>
      </c>
      <c r="CB146" s="3" t="s">
        <v>92</v>
      </c>
      <c r="CC146" s="3" t="s">
        <v>92</v>
      </c>
      <c r="CD146" s="3">
        <v>0.32</v>
      </c>
      <c r="CF146" s="16" t="s">
        <v>185</v>
      </c>
    </row>
    <row r="147" spans="1:85" s="29" customFormat="1" x14ac:dyDescent="0.15">
      <c r="A147" s="29" t="s">
        <v>90</v>
      </c>
      <c r="B147" s="29" t="s">
        <v>115</v>
      </c>
      <c r="C147" s="29" t="s">
        <v>92</v>
      </c>
      <c r="D147" s="29">
        <v>2950</v>
      </c>
      <c r="E147" s="29" t="s">
        <v>93</v>
      </c>
      <c r="F147" s="29">
        <v>0.1</v>
      </c>
      <c r="G147" s="29">
        <f t="shared" si="17"/>
        <v>1770</v>
      </c>
      <c r="H147" s="29">
        <v>900</v>
      </c>
      <c r="I147" s="29" t="s">
        <v>92</v>
      </c>
      <c r="J147" s="29">
        <v>0.75</v>
      </c>
      <c r="M147" s="29" t="s">
        <v>92</v>
      </c>
      <c r="N147" s="29" t="s">
        <v>92</v>
      </c>
      <c r="O147" s="29" t="s">
        <v>92</v>
      </c>
      <c r="S147" s="56">
        <v>6.24</v>
      </c>
      <c r="W147" s="56">
        <v>73.650000000000006</v>
      </c>
      <c r="AA147" s="56">
        <v>0.4</v>
      </c>
      <c r="AE147" s="56">
        <v>5.73</v>
      </c>
      <c r="AI147" s="56">
        <v>49.52</v>
      </c>
      <c r="AM147" s="56">
        <v>7.085</v>
      </c>
      <c r="AQ147" s="56">
        <v>0.28999999999999998</v>
      </c>
      <c r="AU147" s="56">
        <v>42.68</v>
      </c>
      <c r="AV147" s="56" t="s">
        <v>92</v>
      </c>
      <c r="AZ147" s="29">
        <f t="shared" si="16"/>
        <v>100.18</v>
      </c>
      <c r="BA147" s="29">
        <f t="shared" si="13"/>
        <v>-0.18000000000000682</v>
      </c>
      <c r="BB147" s="29">
        <v>24.9</v>
      </c>
      <c r="BC147" s="29">
        <v>14.8</v>
      </c>
      <c r="BD147" s="29">
        <v>60.48</v>
      </c>
      <c r="BE147" s="29" t="s">
        <v>96</v>
      </c>
      <c r="BF147" s="29">
        <f t="shared" si="14"/>
        <v>24.719999999999992</v>
      </c>
      <c r="BH147" s="29">
        <f t="shared" si="15"/>
        <v>5.4531000000000009</v>
      </c>
      <c r="BI147" s="29">
        <v>0</v>
      </c>
      <c r="BJ147" s="29">
        <v>0</v>
      </c>
      <c r="BK147" s="29">
        <f>(87.2-65.3)*BB147/100</f>
        <v>5.4531000000000009</v>
      </c>
      <c r="BL147" s="29">
        <f>(95.1-87.2)*BB147/100</f>
        <v>1.9670999999999979</v>
      </c>
      <c r="BM147" s="29" t="s">
        <v>92</v>
      </c>
      <c r="BN147" s="29" t="s">
        <v>92</v>
      </c>
      <c r="BO147" s="29">
        <f>(98.4-95.1)*BB147/100</f>
        <v>0.82170000000000276</v>
      </c>
      <c r="BP147" s="29" t="s">
        <v>92</v>
      </c>
      <c r="BQ147" s="29" t="s">
        <v>92</v>
      </c>
      <c r="BR147" s="29">
        <f>9.3*BB147/100</f>
        <v>2.3157000000000001</v>
      </c>
      <c r="BS147" s="29" t="s">
        <v>92</v>
      </c>
      <c r="BT147" s="29" t="s">
        <v>92</v>
      </c>
      <c r="BU147" s="29" t="s">
        <v>92</v>
      </c>
      <c r="BV147" s="29">
        <f>(65.3-35.4)*BB147/100</f>
        <v>7.4450999999999992</v>
      </c>
      <c r="BW147" s="29" t="s">
        <v>92</v>
      </c>
      <c r="BX147" s="29" t="s">
        <v>92</v>
      </c>
      <c r="BY147" s="29" t="s">
        <v>92</v>
      </c>
      <c r="BZ147" s="29" t="s">
        <v>92</v>
      </c>
      <c r="CA147" s="29" t="s">
        <v>92</v>
      </c>
      <c r="CB147" s="29" t="s">
        <v>92</v>
      </c>
      <c r="CC147" s="29" t="s">
        <v>92</v>
      </c>
      <c r="CD147" s="29">
        <f>(35.4-9.3)*BB147/100</f>
        <v>6.498899999999999</v>
      </c>
      <c r="CF147" s="29" t="s">
        <v>186</v>
      </c>
    </row>
    <row r="148" spans="1:85" s="29" customFormat="1" x14ac:dyDescent="0.15">
      <c r="A148" s="29" t="s">
        <v>90</v>
      </c>
      <c r="B148" s="29" t="s">
        <v>115</v>
      </c>
      <c r="C148" s="29" t="s">
        <v>92</v>
      </c>
      <c r="D148" s="29">
        <v>3770</v>
      </c>
      <c r="E148" s="29" t="s">
        <v>93</v>
      </c>
      <c r="F148" s="29">
        <v>0.2</v>
      </c>
      <c r="G148" s="29">
        <f t="shared" si="17"/>
        <v>1130.9999999999998</v>
      </c>
      <c r="H148" s="29">
        <v>500</v>
      </c>
      <c r="I148" s="29" t="s">
        <v>92</v>
      </c>
      <c r="J148" s="29">
        <v>0.5</v>
      </c>
      <c r="M148" s="29" t="s">
        <v>92</v>
      </c>
      <c r="N148" s="29" t="s">
        <v>92</v>
      </c>
      <c r="O148" s="29" t="s">
        <v>92</v>
      </c>
      <c r="S148" s="56">
        <v>12.27</v>
      </c>
      <c r="W148" s="56">
        <v>70.55</v>
      </c>
      <c r="AA148" s="56">
        <v>0.06</v>
      </c>
      <c r="AE148" s="56">
        <v>0.83</v>
      </c>
      <c r="AI148" s="56">
        <v>45.66</v>
      </c>
      <c r="AM148" s="56">
        <v>4.8600000000000003</v>
      </c>
      <c r="AQ148" s="56">
        <v>1.38</v>
      </c>
      <c r="AU148" s="56">
        <v>34.94</v>
      </c>
      <c r="AV148" s="56">
        <v>18.064</v>
      </c>
      <c r="AZ148" s="29">
        <f t="shared" si="16"/>
        <v>100</v>
      </c>
      <c r="BA148" s="29">
        <f t="shared" si="13"/>
        <v>0</v>
      </c>
      <c r="BB148" s="29">
        <f>23+18</f>
        <v>41</v>
      </c>
      <c r="BC148" s="29">
        <v>24</v>
      </c>
      <c r="BD148" s="29">
        <v>35</v>
      </c>
      <c r="BE148" s="29" t="s">
        <v>96</v>
      </c>
      <c r="BF148" s="29">
        <f t="shared" si="14"/>
        <v>41</v>
      </c>
      <c r="BH148" s="29">
        <f t="shared" si="15"/>
        <v>0</v>
      </c>
      <c r="BI148" s="29">
        <v>0</v>
      </c>
      <c r="BJ148" s="29">
        <v>0</v>
      </c>
      <c r="BK148" s="29">
        <v>0</v>
      </c>
      <c r="BL148" s="29" t="s">
        <v>92</v>
      </c>
      <c r="BM148" s="29" t="s">
        <v>92</v>
      </c>
      <c r="BN148" s="29" t="s">
        <v>92</v>
      </c>
      <c r="BO148" s="29" t="s">
        <v>92</v>
      </c>
      <c r="BP148" s="29" t="s">
        <v>92</v>
      </c>
      <c r="BQ148" s="29" t="s">
        <v>92</v>
      </c>
      <c r="BR148" s="29" t="s">
        <v>92</v>
      </c>
      <c r="BS148" s="29" t="s">
        <v>92</v>
      </c>
      <c r="BT148" s="29" t="s">
        <v>92</v>
      </c>
      <c r="BU148" s="29" t="s">
        <v>92</v>
      </c>
      <c r="BV148" s="29" t="s">
        <v>92</v>
      </c>
      <c r="BW148" s="29" t="s">
        <v>92</v>
      </c>
      <c r="BX148" s="29" t="s">
        <v>92</v>
      </c>
      <c r="BY148" s="29" t="s">
        <v>92</v>
      </c>
      <c r="BZ148" s="29" t="s">
        <v>92</v>
      </c>
      <c r="CA148" s="29" t="s">
        <v>92</v>
      </c>
      <c r="CB148" s="29" t="s">
        <v>92</v>
      </c>
      <c r="CC148" s="29" t="s">
        <v>92</v>
      </c>
      <c r="CD148" s="29" t="s">
        <v>92</v>
      </c>
      <c r="CF148" s="29" t="s">
        <v>187</v>
      </c>
    </row>
    <row r="149" spans="1:85" s="3" customFormat="1" x14ac:dyDescent="0.15">
      <c r="A149" s="3" t="s">
        <v>90</v>
      </c>
      <c r="B149" s="3" t="s">
        <v>115</v>
      </c>
      <c r="C149" s="3" t="s">
        <v>92</v>
      </c>
      <c r="D149" s="3">
        <v>3770</v>
      </c>
      <c r="E149" s="3" t="s">
        <v>93</v>
      </c>
      <c r="F149" s="3">
        <v>0.2</v>
      </c>
      <c r="G149" s="3">
        <f t="shared" si="17"/>
        <v>1130.9999999999998</v>
      </c>
      <c r="H149" s="3">
        <v>750</v>
      </c>
      <c r="I149" s="3" t="s">
        <v>92</v>
      </c>
      <c r="J149" s="3">
        <v>0.5</v>
      </c>
      <c r="M149" s="3" t="s">
        <v>92</v>
      </c>
      <c r="N149" s="3" t="s">
        <v>92</v>
      </c>
      <c r="O149" s="3" t="s">
        <v>92</v>
      </c>
      <c r="S149" s="56">
        <v>12.27</v>
      </c>
      <c r="W149" s="56">
        <v>70.55</v>
      </c>
      <c r="AA149" s="56">
        <v>0.06</v>
      </c>
      <c r="AE149" s="56">
        <v>0.83</v>
      </c>
      <c r="AI149" s="56">
        <v>45.66</v>
      </c>
      <c r="AM149" s="56">
        <v>4.8600000000000003</v>
      </c>
      <c r="AQ149" s="56">
        <v>1.38</v>
      </c>
      <c r="AU149" s="56">
        <v>34.94</v>
      </c>
      <c r="AV149" s="56">
        <v>18.064</v>
      </c>
      <c r="AZ149" s="3">
        <f t="shared" si="16"/>
        <v>100</v>
      </c>
      <c r="BA149" s="3">
        <f t="shared" si="13"/>
        <v>0</v>
      </c>
      <c r="BB149" s="3">
        <f>17.8+18</f>
        <v>35.799999999999997</v>
      </c>
      <c r="BC149" s="3">
        <v>22</v>
      </c>
      <c r="BD149" s="3">
        <v>42.2</v>
      </c>
      <c r="BE149" s="3" t="s">
        <v>96</v>
      </c>
      <c r="BF149" s="3">
        <f t="shared" si="14"/>
        <v>35.799999999999997</v>
      </c>
      <c r="BH149" s="11">
        <f t="shared" si="15"/>
        <v>0</v>
      </c>
      <c r="BI149" s="3">
        <v>0</v>
      </c>
      <c r="BJ149" s="3">
        <v>0</v>
      </c>
      <c r="BK149" s="3">
        <v>0</v>
      </c>
      <c r="BL149" s="11" t="s">
        <v>92</v>
      </c>
      <c r="BM149" s="3" t="s">
        <v>92</v>
      </c>
      <c r="BN149" s="11" t="s">
        <v>92</v>
      </c>
      <c r="BO149" s="11" t="s">
        <v>92</v>
      </c>
      <c r="BP149" s="3" t="s">
        <v>92</v>
      </c>
      <c r="BQ149" s="3" t="s">
        <v>92</v>
      </c>
      <c r="BR149" s="3" t="s">
        <v>92</v>
      </c>
      <c r="BS149" s="3" t="s">
        <v>92</v>
      </c>
      <c r="BT149" s="3" t="s">
        <v>92</v>
      </c>
      <c r="BU149" s="3" t="s">
        <v>92</v>
      </c>
      <c r="BV149" s="3" t="s">
        <v>92</v>
      </c>
      <c r="BW149" s="3" t="s">
        <v>92</v>
      </c>
      <c r="BX149" s="3" t="s">
        <v>92</v>
      </c>
      <c r="BY149" s="3" t="s">
        <v>92</v>
      </c>
      <c r="BZ149" s="3" t="s">
        <v>92</v>
      </c>
      <c r="CA149" s="3" t="s">
        <v>92</v>
      </c>
      <c r="CB149" s="3" t="s">
        <v>92</v>
      </c>
      <c r="CC149" s="3" t="s">
        <v>92</v>
      </c>
      <c r="CD149" s="3" t="s">
        <v>92</v>
      </c>
      <c r="CF149" s="16" t="s">
        <v>187</v>
      </c>
    </row>
    <row r="150" spans="1:85" s="3" customFormat="1" x14ac:dyDescent="0.15">
      <c r="A150" s="3" t="s">
        <v>90</v>
      </c>
      <c r="B150" s="3" t="s">
        <v>115</v>
      </c>
      <c r="C150" s="3" t="s">
        <v>92</v>
      </c>
      <c r="D150" s="3">
        <v>3770</v>
      </c>
      <c r="E150" s="3" t="s">
        <v>93</v>
      </c>
      <c r="F150" s="3">
        <v>0.2</v>
      </c>
      <c r="G150" s="3">
        <f t="shared" si="17"/>
        <v>1130.9999999999998</v>
      </c>
      <c r="H150" s="3">
        <v>850</v>
      </c>
      <c r="I150" s="3" t="s">
        <v>92</v>
      </c>
      <c r="J150" s="3">
        <v>0.5</v>
      </c>
      <c r="M150" s="3" t="s">
        <v>92</v>
      </c>
      <c r="N150" s="3" t="s">
        <v>92</v>
      </c>
      <c r="O150" s="3" t="s">
        <v>92</v>
      </c>
      <c r="S150" s="56">
        <v>12.27</v>
      </c>
      <c r="W150" s="56">
        <v>70.55</v>
      </c>
      <c r="AA150" s="56">
        <v>0.06</v>
      </c>
      <c r="AE150" s="56">
        <v>0.83</v>
      </c>
      <c r="AI150" s="56">
        <v>45.66</v>
      </c>
      <c r="AM150" s="56">
        <v>4.8600000000000003</v>
      </c>
      <c r="AQ150" s="56">
        <v>1.38</v>
      </c>
      <c r="AU150" s="56">
        <v>34.94</v>
      </c>
      <c r="AV150" s="56">
        <v>18.064</v>
      </c>
      <c r="AZ150" s="3">
        <f t="shared" si="16"/>
        <v>100</v>
      </c>
      <c r="BA150" s="3">
        <f t="shared" si="13"/>
        <v>0</v>
      </c>
      <c r="BB150" s="3">
        <f>15.5+17</f>
        <v>32.5</v>
      </c>
      <c r="BC150" s="3">
        <v>21</v>
      </c>
      <c r="BD150" s="3">
        <v>46.5</v>
      </c>
      <c r="BE150" s="3" t="s">
        <v>96</v>
      </c>
      <c r="BF150" s="3">
        <f t="shared" si="14"/>
        <v>32.5</v>
      </c>
      <c r="BH150" s="11">
        <f t="shared" si="15"/>
        <v>0</v>
      </c>
      <c r="BI150" s="3">
        <v>0</v>
      </c>
      <c r="BJ150" s="3">
        <v>0</v>
      </c>
      <c r="BK150" s="3">
        <v>0</v>
      </c>
      <c r="BL150" s="11" t="s">
        <v>92</v>
      </c>
      <c r="BM150" s="3" t="s">
        <v>92</v>
      </c>
      <c r="BN150" s="11" t="s">
        <v>92</v>
      </c>
      <c r="BO150" s="11" t="s">
        <v>92</v>
      </c>
      <c r="BP150" s="3" t="s">
        <v>92</v>
      </c>
      <c r="BQ150" s="3" t="s">
        <v>92</v>
      </c>
      <c r="BR150" s="3" t="s">
        <v>92</v>
      </c>
      <c r="BS150" s="3" t="s">
        <v>92</v>
      </c>
      <c r="BT150" s="3" t="s">
        <v>92</v>
      </c>
      <c r="BU150" s="3" t="s">
        <v>92</v>
      </c>
      <c r="BV150" s="3" t="s">
        <v>92</v>
      </c>
      <c r="BW150" s="3" t="s">
        <v>92</v>
      </c>
      <c r="BX150" s="3" t="s">
        <v>92</v>
      </c>
      <c r="BY150" s="3" t="s">
        <v>92</v>
      </c>
      <c r="BZ150" s="3" t="s">
        <v>92</v>
      </c>
      <c r="CA150" s="3" t="s">
        <v>92</v>
      </c>
      <c r="CB150" s="3" t="s">
        <v>92</v>
      </c>
      <c r="CC150" s="3" t="s">
        <v>92</v>
      </c>
      <c r="CD150" s="3" t="s">
        <v>92</v>
      </c>
      <c r="CF150" s="16" t="s">
        <v>187</v>
      </c>
    </row>
    <row r="151" spans="1:85" s="29" customFormat="1" x14ac:dyDescent="0.15">
      <c r="A151" s="29" t="s">
        <v>90</v>
      </c>
      <c r="B151" s="29" t="s">
        <v>124</v>
      </c>
      <c r="C151" s="29" t="s">
        <v>92</v>
      </c>
      <c r="D151" s="29" t="s">
        <v>92</v>
      </c>
      <c r="E151" s="29" t="s">
        <v>93</v>
      </c>
      <c r="F151" s="29">
        <v>0.15</v>
      </c>
      <c r="G151" s="29" t="s">
        <v>92</v>
      </c>
      <c r="H151" s="29">
        <v>550</v>
      </c>
      <c r="I151" s="29" t="s">
        <v>92</v>
      </c>
      <c r="J151" s="29">
        <v>0.33500000000000002</v>
      </c>
      <c r="M151" s="29" t="s">
        <v>188</v>
      </c>
      <c r="N151" s="29" t="s">
        <v>92</v>
      </c>
      <c r="O151" s="29" t="s">
        <v>92</v>
      </c>
      <c r="S151" s="56">
        <v>2.12</v>
      </c>
      <c r="W151" s="56">
        <v>83.22</v>
      </c>
      <c r="AA151" s="58">
        <v>2.4E-2</v>
      </c>
      <c r="AE151" s="56">
        <v>1.1200000000000001</v>
      </c>
      <c r="AI151" s="56">
        <v>47.59</v>
      </c>
      <c r="AM151" s="56">
        <v>6.1790000000000003</v>
      </c>
      <c r="AQ151" s="56">
        <v>0.09</v>
      </c>
      <c r="AU151" s="56">
        <v>46.116999999999997</v>
      </c>
      <c r="AV151" s="56">
        <v>19.13</v>
      </c>
      <c r="AZ151" s="29">
        <f t="shared" si="16"/>
        <v>100</v>
      </c>
      <c r="BA151" s="29">
        <f t="shared" si="13"/>
        <v>0</v>
      </c>
      <c r="BB151" s="29">
        <f>100-63.5</f>
        <v>36.5</v>
      </c>
      <c r="BC151" s="29">
        <v>31.9</v>
      </c>
      <c r="BD151" s="29">
        <f>63.5-BC151</f>
        <v>31.6</v>
      </c>
      <c r="BE151" s="29" t="s">
        <v>96</v>
      </c>
      <c r="BF151" s="29">
        <f t="shared" si="14"/>
        <v>36.5</v>
      </c>
      <c r="BH151" s="29">
        <f t="shared" si="15"/>
        <v>37.4</v>
      </c>
      <c r="BI151" s="29">
        <v>0</v>
      </c>
      <c r="BJ151" s="29">
        <v>0</v>
      </c>
      <c r="BK151" s="29">
        <v>37.4</v>
      </c>
      <c r="BL151" s="29">
        <v>14.74</v>
      </c>
      <c r="BM151" s="29">
        <v>10.25</v>
      </c>
      <c r="BN151" s="29">
        <v>1.77</v>
      </c>
      <c r="BO151" s="29">
        <v>1.68</v>
      </c>
      <c r="BP151" s="29">
        <v>5.9</v>
      </c>
      <c r="BQ151" s="29" t="s">
        <v>92</v>
      </c>
      <c r="BR151" s="29">
        <v>12.23</v>
      </c>
      <c r="BS151" s="29" t="s">
        <v>92</v>
      </c>
      <c r="BT151" s="29">
        <v>12.6</v>
      </c>
      <c r="BU151" s="29" t="s">
        <v>92</v>
      </c>
      <c r="BV151" s="29">
        <v>0.92</v>
      </c>
      <c r="BW151" s="29" t="s">
        <v>92</v>
      </c>
      <c r="BX151" s="29" t="s">
        <v>92</v>
      </c>
      <c r="BY151" s="29" t="s">
        <v>92</v>
      </c>
      <c r="BZ151" s="29" t="s">
        <v>92</v>
      </c>
      <c r="CA151" s="29" t="s">
        <v>92</v>
      </c>
      <c r="CB151" s="29" t="s">
        <v>92</v>
      </c>
      <c r="CC151" s="29" t="s">
        <v>92</v>
      </c>
      <c r="CD151" s="29">
        <v>1.79</v>
      </c>
      <c r="CF151" s="29" t="s">
        <v>189</v>
      </c>
      <c r="CG151" s="29" t="s">
        <v>122</v>
      </c>
    </row>
    <row r="152" spans="1:85" s="29" customFormat="1" x14ac:dyDescent="0.15">
      <c r="A152" s="29" t="s">
        <v>190</v>
      </c>
      <c r="B152" s="29" t="s">
        <v>115</v>
      </c>
      <c r="C152" s="29" t="s">
        <v>92</v>
      </c>
      <c r="D152" s="29" t="s">
        <v>92</v>
      </c>
      <c r="E152" s="29" t="s">
        <v>92</v>
      </c>
      <c r="F152" s="29" t="s">
        <v>92</v>
      </c>
      <c r="G152" s="29" t="s">
        <v>92</v>
      </c>
      <c r="H152" s="29">
        <v>330</v>
      </c>
      <c r="I152" s="29" t="s">
        <v>92</v>
      </c>
      <c r="J152" s="29" t="s">
        <v>92</v>
      </c>
      <c r="M152" s="29" t="s">
        <v>92</v>
      </c>
      <c r="N152" s="29" t="s">
        <v>92</v>
      </c>
      <c r="O152" s="29">
        <v>2</v>
      </c>
      <c r="S152" s="56">
        <v>4.09</v>
      </c>
      <c r="W152" s="56" t="s">
        <v>92</v>
      </c>
      <c r="AA152" s="56" t="s">
        <v>92</v>
      </c>
      <c r="AE152" s="56">
        <v>0.9</v>
      </c>
      <c r="AI152" s="56">
        <v>48.54</v>
      </c>
      <c r="AM152" s="56">
        <v>6.82</v>
      </c>
      <c r="AQ152" s="56" t="s">
        <v>92</v>
      </c>
      <c r="AU152" s="56">
        <v>38.75</v>
      </c>
      <c r="AV152" s="56">
        <v>20</v>
      </c>
      <c r="AZ152" s="29">
        <f t="shared" si="16"/>
        <v>99.999999999999986</v>
      </c>
      <c r="BA152" s="29">
        <f t="shared" si="13"/>
        <v>0</v>
      </c>
      <c r="BB152" s="29">
        <v>4.21</v>
      </c>
      <c r="BC152" s="29">
        <v>91.63</v>
      </c>
      <c r="BD152" s="29">
        <v>4.16</v>
      </c>
      <c r="BE152" s="29" t="s">
        <v>96</v>
      </c>
      <c r="BF152" s="29">
        <f t="shared" si="14"/>
        <v>4.21</v>
      </c>
      <c r="BH152" s="29" t="s">
        <v>92</v>
      </c>
      <c r="BI152" s="29" t="s">
        <v>92</v>
      </c>
      <c r="BJ152" s="29" t="s">
        <v>92</v>
      </c>
      <c r="BK152" s="29" t="s">
        <v>92</v>
      </c>
      <c r="BL152" s="29" t="s">
        <v>92</v>
      </c>
      <c r="BM152" s="29" t="s">
        <v>92</v>
      </c>
      <c r="BN152" s="29" t="s">
        <v>92</v>
      </c>
      <c r="BO152" s="29" t="s">
        <v>92</v>
      </c>
      <c r="BP152" s="29" t="s">
        <v>92</v>
      </c>
      <c r="BQ152" s="29" t="s">
        <v>92</v>
      </c>
      <c r="BR152" s="29" t="s">
        <v>92</v>
      </c>
      <c r="BS152" s="29" t="s">
        <v>92</v>
      </c>
      <c r="BT152" s="29" t="s">
        <v>92</v>
      </c>
      <c r="BU152" s="29" t="s">
        <v>92</v>
      </c>
      <c r="BV152" s="29" t="s">
        <v>92</v>
      </c>
      <c r="BW152" s="29" t="s">
        <v>92</v>
      </c>
      <c r="BX152" s="29" t="s">
        <v>92</v>
      </c>
      <c r="BY152" s="29" t="s">
        <v>92</v>
      </c>
      <c r="BZ152" s="29" t="s">
        <v>92</v>
      </c>
      <c r="CA152" s="29" t="s">
        <v>92</v>
      </c>
      <c r="CB152" s="29" t="s">
        <v>92</v>
      </c>
      <c r="CC152" s="29" t="s">
        <v>92</v>
      </c>
      <c r="CD152" s="29" t="s">
        <v>92</v>
      </c>
      <c r="CF152" s="29" t="s">
        <v>191</v>
      </c>
    </row>
    <row r="153" spans="1:85" s="3" customFormat="1" x14ac:dyDescent="0.15">
      <c r="A153" s="3" t="s">
        <v>190</v>
      </c>
      <c r="B153" s="3" t="s">
        <v>115</v>
      </c>
      <c r="C153" s="3" t="s">
        <v>92</v>
      </c>
      <c r="D153" s="3" t="s">
        <v>92</v>
      </c>
      <c r="E153" s="3" t="s">
        <v>92</v>
      </c>
      <c r="F153" s="3" t="s">
        <v>92</v>
      </c>
      <c r="G153" s="3" t="s">
        <v>92</v>
      </c>
      <c r="H153" s="3">
        <v>330</v>
      </c>
      <c r="I153" s="3" t="s">
        <v>92</v>
      </c>
      <c r="J153" s="3" t="s">
        <v>92</v>
      </c>
      <c r="M153" s="3" t="s">
        <v>92</v>
      </c>
      <c r="N153" s="3" t="s">
        <v>92</v>
      </c>
      <c r="O153" s="3">
        <v>4</v>
      </c>
      <c r="S153" s="56">
        <v>4.09</v>
      </c>
      <c r="W153" s="56" t="s">
        <v>92</v>
      </c>
      <c r="AA153" s="56" t="s">
        <v>92</v>
      </c>
      <c r="AE153" s="56">
        <v>0.9</v>
      </c>
      <c r="AI153" s="56">
        <v>48.54</v>
      </c>
      <c r="AM153" s="56">
        <v>6.82</v>
      </c>
      <c r="AQ153" s="56" t="s">
        <v>92</v>
      </c>
      <c r="AU153" s="56">
        <v>38.75</v>
      </c>
      <c r="AV153" s="56">
        <v>20</v>
      </c>
      <c r="AZ153" s="3">
        <f t="shared" si="16"/>
        <v>97</v>
      </c>
      <c r="BA153" s="3">
        <f t="shared" si="13"/>
        <v>3</v>
      </c>
      <c r="BB153" s="3">
        <v>6.17</v>
      </c>
      <c r="BC153" s="3">
        <v>81.33</v>
      </c>
      <c r="BD153" s="3">
        <v>9.5</v>
      </c>
      <c r="BE153" s="3" t="s">
        <v>96</v>
      </c>
      <c r="BF153" s="3">
        <f t="shared" si="14"/>
        <v>9.17</v>
      </c>
      <c r="BH153" s="3" t="s">
        <v>92</v>
      </c>
      <c r="BI153" s="3" t="s">
        <v>92</v>
      </c>
      <c r="BJ153" s="3" t="s">
        <v>92</v>
      </c>
      <c r="BK153" s="3" t="s">
        <v>92</v>
      </c>
      <c r="BL153" s="3" t="s">
        <v>92</v>
      </c>
      <c r="BM153" s="3" t="s">
        <v>92</v>
      </c>
      <c r="BN153" s="3" t="s">
        <v>92</v>
      </c>
      <c r="BO153" s="3" t="s">
        <v>92</v>
      </c>
      <c r="BP153" s="3" t="s">
        <v>92</v>
      </c>
      <c r="BQ153" s="3" t="s">
        <v>92</v>
      </c>
      <c r="BR153" s="3" t="s">
        <v>92</v>
      </c>
      <c r="BS153" s="3" t="s">
        <v>92</v>
      </c>
      <c r="BT153" s="3" t="s">
        <v>92</v>
      </c>
      <c r="BU153" s="3" t="s">
        <v>92</v>
      </c>
      <c r="BV153" s="3" t="s">
        <v>92</v>
      </c>
      <c r="BW153" s="3" t="s">
        <v>92</v>
      </c>
      <c r="BX153" s="3" t="s">
        <v>92</v>
      </c>
      <c r="BY153" s="3" t="s">
        <v>92</v>
      </c>
      <c r="BZ153" s="3" t="s">
        <v>92</v>
      </c>
      <c r="CA153" s="3" t="s">
        <v>92</v>
      </c>
      <c r="CB153" s="3" t="s">
        <v>92</v>
      </c>
      <c r="CC153" s="3" t="s">
        <v>92</v>
      </c>
      <c r="CD153" s="3" t="s">
        <v>92</v>
      </c>
      <c r="CF153" s="3" t="s">
        <v>191</v>
      </c>
    </row>
    <row r="154" spans="1:85" s="3" customFormat="1" x14ac:dyDescent="0.15">
      <c r="A154" s="3" t="s">
        <v>190</v>
      </c>
      <c r="B154" s="3" t="s">
        <v>115</v>
      </c>
      <c r="C154" s="3" t="s">
        <v>92</v>
      </c>
      <c r="D154" s="3" t="s">
        <v>92</v>
      </c>
      <c r="E154" s="3" t="s">
        <v>92</v>
      </c>
      <c r="F154" s="3" t="s">
        <v>92</v>
      </c>
      <c r="G154" s="3" t="s">
        <v>92</v>
      </c>
      <c r="H154" s="3">
        <v>330</v>
      </c>
      <c r="I154" s="3" t="s">
        <v>92</v>
      </c>
      <c r="J154" s="3" t="s">
        <v>92</v>
      </c>
      <c r="M154" s="3" t="s">
        <v>92</v>
      </c>
      <c r="N154" s="3" t="s">
        <v>92</v>
      </c>
      <c r="O154" s="3">
        <v>5</v>
      </c>
      <c r="S154" s="56">
        <v>4.09</v>
      </c>
      <c r="W154" s="56" t="s">
        <v>92</v>
      </c>
      <c r="AA154" s="56" t="s">
        <v>92</v>
      </c>
      <c r="AE154" s="56">
        <v>0.9</v>
      </c>
      <c r="AI154" s="56">
        <v>48.54</v>
      </c>
      <c r="AM154" s="56">
        <v>6.82</v>
      </c>
      <c r="AQ154" s="56" t="s">
        <v>92</v>
      </c>
      <c r="AU154" s="56">
        <v>38.75</v>
      </c>
      <c r="AV154" s="56">
        <v>20</v>
      </c>
      <c r="AZ154" s="3">
        <f t="shared" si="16"/>
        <v>100</v>
      </c>
      <c r="BA154" s="3">
        <f t="shared" si="13"/>
        <v>0</v>
      </c>
      <c r="BB154" s="3">
        <v>18.5</v>
      </c>
      <c r="BC154" s="3">
        <v>70.75</v>
      </c>
      <c r="BD154" s="3">
        <v>10.75</v>
      </c>
      <c r="BE154" s="3" t="s">
        <v>96</v>
      </c>
      <c r="BF154" s="3">
        <f t="shared" si="14"/>
        <v>18.5</v>
      </c>
      <c r="BH154" s="3" t="s">
        <v>92</v>
      </c>
      <c r="BI154" s="3" t="s">
        <v>92</v>
      </c>
      <c r="BJ154" s="3" t="s">
        <v>92</v>
      </c>
      <c r="BK154" s="3" t="s">
        <v>92</v>
      </c>
      <c r="BL154" s="3" t="s">
        <v>92</v>
      </c>
      <c r="BM154" s="3" t="s">
        <v>92</v>
      </c>
      <c r="BN154" s="3" t="s">
        <v>92</v>
      </c>
      <c r="BO154" s="3" t="s">
        <v>92</v>
      </c>
      <c r="BP154" s="3" t="s">
        <v>92</v>
      </c>
      <c r="BQ154" s="3" t="s">
        <v>92</v>
      </c>
      <c r="BR154" s="3" t="s">
        <v>92</v>
      </c>
      <c r="BS154" s="3" t="s">
        <v>92</v>
      </c>
      <c r="BT154" s="3" t="s">
        <v>92</v>
      </c>
      <c r="BU154" s="3" t="s">
        <v>92</v>
      </c>
      <c r="BV154" s="3" t="s">
        <v>92</v>
      </c>
      <c r="BW154" s="3" t="s">
        <v>92</v>
      </c>
      <c r="BX154" s="3" t="s">
        <v>92</v>
      </c>
      <c r="BY154" s="3" t="s">
        <v>92</v>
      </c>
      <c r="BZ154" s="3" t="s">
        <v>92</v>
      </c>
      <c r="CA154" s="3" t="s">
        <v>92</v>
      </c>
      <c r="CB154" s="3" t="s">
        <v>92</v>
      </c>
      <c r="CC154" s="3" t="s">
        <v>92</v>
      </c>
      <c r="CD154" s="3" t="s">
        <v>92</v>
      </c>
      <c r="CF154" s="3" t="s">
        <v>191</v>
      </c>
    </row>
    <row r="155" spans="1:85" s="3" customFormat="1" x14ac:dyDescent="0.15">
      <c r="A155" s="3" t="s">
        <v>190</v>
      </c>
      <c r="B155" s="3" t="s">
        <v>115</v>
      </c>
      <c r="C155" s="3" t="s">
        <v>92</v>
      </c>
      <c r="D155" s="3" t="s">
        <v>92</v>
      </c>
      <c r="E155" s="3" t="s">
        <v>92</v>
      </c>
      <c r="F155" s="3" t="s">
        <v>92</v>
      </c>
      <c r="G155" s="3" t="s">
        <v>92</v>
      </c>
      <c r="H155" s="3">
        <v>300</v>
      </c>
      <c r="I155" s="3" t="s">
        <v>92</v>
      </c>
      <c r="J155" s="3" t="s">
        <v>92</v>
      </c>
      <c r="M155" s="3" t="s">
        <v>92</v>
      </c>
      <c r="N155" s="3" t="s">
        <v>92</v>
      </c>
      <c r="O155" s="3">
        <v>7</v>
      </c>
      <c r="S155" s="56">
        <v>4.09</v>
      </c>
      <c r="W155" s="56" t="s">
        <v>92</v>
      </c>
      <c r="AA155" s="56" t="s">
        <v>92</v>
      </c>
      <c r="AE155" s="56">
        <v>0.9</v>
      </c>
      <c r="AI155" s="56">
        <v>48.54</v>
      </c>
      <c r="AM155" s="56">
        <v>6.82</v>
      </c>
      <c r="AQ155" s="56" t="s">
        <v>92</v>
      </c>
      <c r="AU155" s="56">
        <v>38.75</v>
      </c>
      <c r="AV155" s="56">
        <v>20</v>
      </c>
      <c r="AZ155" s="3">
        <f t="shared" si="16"/>
        <v>100</v>
      </c>
      <c r="BA155" s="3">
        <f t="shared" si="13"/>
        <v>0</v>
      </c>
      <c r="BB155" s="3">
        <v>23.65</v>
      </c>
      <c r="BC155" s="3">
        <v>63.44</v>
      </c>
      <c r="BD155" s="3">
        <v>12.91</v>
      </c>
      <c r="BE155" s="3" t="s">
        <v>96</v>
      </c>
      <c r="BF155" s="3">
        <f t="shared" si="14"/>
        <v>23.65</v>
      </c>
      <c r="BH155" s="3" t="s">
        <v>92</v>
      </c>
      <c r="BI155" s="3" t="s">
        <v>92</v>
      </c>
      <c r="BJ155" s="3" t="s">
        <v>92</v>
      </c>
      <c r="BK155" s="3" t="s">
        <v>92</v>
      </c>
      <c r="BL155" s="3" t="s">
        <v>92</v>
      </c>
      <c r="BM155" s="3" t="s">
        <v>92</v>
      </c>
      <c r="BN155" s="3" t="s">
        <v>92</v>
      </c>
      <c r="BO155" s="3" t="s">
        <v>92</v>
      </c>
      <c r="BP155" s="3" t="s">
        <v>92</v>
      </c>
      <c r="BQ155" s="3" t="s">
        <v>92</v>
      </c>
      <c r="BR155" s="3" t="s">
        <v>92</v>
      </c>
      <c r="BS155" s="3" t="s">
        <v>92</v>
      </c>
      <c r="BT155" s="3" t="s">
        <v>92</v>
      </c>
      <c r="BU155" s="3" t="s">
        <v>92</v>
      </c>
      <c r="BV155" s="3" t="s">
        <v>92</v>
      </c>
      <c r="BW155" s="3" t="s">
        <v>92</v>
      </c>
      <c r="BX155" s="3" t="s">
        <v>92</v>
      </c>
      <c r="BY155" s="3" t="s">
        <v>92</v>
      </c>
      <c r="BZ155" s="3" t="s">
        <v>92</v>
      </c>
      <c r="CA155" s="3" t="s">
        <v>92</v>
      </c>
      <c r="CB155" s="3" t="s">
        <v>92</v>
      </c>
      <c r="CC155" s="3" t="s">
        <v>92</v>
      </c>
      <c r="CD155" s="3" t="s">
        <v>92</v>
      </c>
      <c r="CF155" s="3" t="s">
        <v>191</v>
      </c>
    </row>
    <row r="156" spans="1:85" s="3" customFormat="1" x14ac:dyDescent="0.15">
      <c r="A156" s="3" t="s">
        <v>190</v>
      </c>
      <c r="B156" s="3" t="s">
        <v>115</v>
      </c>
      <c r="C156" s="3" t="s">
        <v>92</v>
      </c>
      <c r="D156" s="3" t="s">
        <v>92</v>
      </c>
      <c r="E156" s="3" t="s">
        <v>92</v>
      </c>
      <c r="F156" s="3" t="s">
        <v>92</v>
      </c>
      <c r="G156" s="3" t="s">
        <v>92</v>
      </c>
      <c r="H156" s="3">
        <v>330</v>
      </c>
      <c r="I156" s="3" t="s">
        <v>92</v>
      </c>
      <c r="J156" s="3" t="s">
        <v>92</v>
      </c>
      <c r="M156" s="3" t="s">
        <v>92</v>
      </c>
      <c r="N156" s="3" t="s">
        <v>92</v>
      </c>
      <c r="O156" s="3">
        <v>10</v>
      </c>
      <c r="S156" s="56">
        <v>4.09</v>
      </c>
      <c r="W156" s="56" t="s">
        <v>92</v>
      </c>
      <c r="AA156" s="56" t="s">
        <v>92</v>
      </c>
      <c r="AE156" s="56">
        <v>0.9</v>
      </c>
      <c r="AI156" s="56">
        <v>48.54</v>
      </c>
      <c r="AM156" s="56">
        <v>6.82</v>
      </c>
      <c r="AQ156" s="56" t="s">
        <v>92</v>
      </c>
      <c r="AU156" s="56">
        <v>38.75</v>
      </c>
      <c r="AV156" s="56">
        <v>20</v>
      </c>
      <c r="AZ156" s="3">
        <f t="shared" si="16"/>
        <v>100</v>
      </c>
      <c r="BA156" s="3">
        <f t="shared" si="13"/>
        <v>0</v>
      </c>
      <c r="BB156" s="3">
        <v>25.57</v>
      </c>
      <c r="BC156" s="3">
        <v>57.13</v>
      </c>
      <c r="BD156" s="3">
        <v>17.3</v>
      </c>
      <c r="BE156" s="3" t="s">
        <v>96</v>
      </c>
      <c r="BF156" s="3">
        <f t="shared" si="14"/>
        <v>25.57</v>
      </c>
      <c r="BH156" s="3" t="s">
        <v>92</v>
      </c>
      <c r="BI156" s="3" t="s">
        <v>92</v>
      </c>
      <c r="BJ156" s="3" t="s">
        <v>92</v>
      </c>
      <c r="BK156" s="3" t="s">
        <v>92</v>
      </c>
      <c r="BL156" s="3" t="s">
        <v>92</v>
      </c>
      <c r="BM156" s="3" t="s">
        <v>92</v>
      </c>
      <c r="BN156" s="3" t="s">
        <v>92</v>
      </c>
      <c r="BO156" s="3" t="s">
        <v>92</v>
      </c>
      <c r="BP156" s="3" t="s">
        <v>92</v>
      </c>
      <c r="BQ156" s="3" t="s">
        <v>92</v>
      </c>
      <c r="BR156" s="3" t="s">
        <v>92</v>
      </c>
      <c r="BS156" s="3" t="s">
        <v>92</v>
      </c>
      <c r="BT156" s="3" t="s">
        <v>92</v>
      </c>
      <c r="BU156" s="3" t="s">
        <v>92</v>
      </c>
      <c r="BV156" s="3" t="s">
        <v>92</v>
      </c>
      <c r="BW156" s="3" t="s">
        <v>92</v>
      </c>
      <c r="BX156" s="3" t="s">
        <v>92</v>
      </c>
      <c r="BY156" s="3" t="s">
        <v>92</v>
      </c>
      <c r="BZ156" s="3" t="s">
        <v>92</v>
      </c>
      <c r="CA156" s="3" t="s">
        <v>92</v>
      </c>
      <c r="CB156" s="3" t="s">
        <v>92</v>
      </c>
      <c r="CC156" s="3" t="s">
        <v>92</v>
      </c>
      <c r="CD156" s="3" t="s">
        <v>92</v>
      </c>
      <c r="CF156" s="3" t="s">
        <v>191</v>
      </c>
    </row>
    <row r="157" spans="1:85" s="3" customFormat="1" x14ac:dyDescent="0.15">
      <c r="A157" s="3" t="s">
        <v>190</v>
      </c>
      <c r="B157" s="3" t="s">
        <v>115</v>
      </c>
      <c r="C157" s="3" t="s">
        <v>92</v>
      </c>
      <c r="D157" s="3" t="s">
        <v>92</v>
      </c>
      <c r="E157" s="3" t="s">
        <v>92</v>
      </c>
      <c r="F157" s="3" t="s">
        <v>92</v>
      </c>
      <c r="G157" s="3" t="s">
        <v>92</v>
      </c>
      <c r="H157" s="3">
        <v>350</v>
      </c>
      <c r="I157" s="3" t="s">
        <v>92</v>
      </c>
      <c r="J157" s="3" t="s">
        <v>92</v>
      </c>
      <c r="M157" s="3" t="s">
        <v>92</v>
      </c>
      <c r="N157" s="3" t="s">
        <v>92</v>
      </c>
      <c r="O157" s="3">
        <v>2</v>
      </c>
      <c r="S157" s="56">
        <v>4.09</v>
      </c>
      <c r="W157" s="56" t="s">
        <v>92</v>
      </c>
      <c r="AA157" s="56" t="s">
        <v>92</v>
      </c>
      <c r="AE157" s="56">
        <v>0.9</v>
      </c>
      <c r="AI157" s="56">
        <v>48.54</v>
      </c>
      <c r="AM157" s="56">
        <v>6.82</v>
      </c>
      <c r="AQ157" s="56" t="s">
        <v>92</v>
      </c>
      <c r="AU157" s="56">
        <v>38.75</v>
      </c>
      <c r="AV157" s="56">
        <v>20</v>
      </c>
      <c r="AZ157" s="3">
        <f t="shared" si="16"/>
        <v>100</v>
      </c>
      <c r="BA157" s="3">
        <f t="shared" si="13"/>
        <v>0</v>
      </c>
      <c r="BB157" s="3">
        <v>4.03</v>
      </c>
      <c r="BC157" s="3">
        <v>90.08</v>
      </c>
      <c r="BD157" s="3">
        <v>5.89</v>
      </c>
      <c r="BE157" s="3" t="s">
        <v>96</v>
      </c>
      <c r="BF157" s="3">
        <f t="shared" si="14"/>
        <v>4.03</v>
      </c>
      <c r="BH157" s="3" t="s">
        <v>92</v>
      </c>
      <c r="BI157" s="3" t="s">
        <v>92</v>
      </c>
      <c r="BJ157" s="3" t="s">
        <v>92</v>
      </c>
      <c r="BK157" s="3" t="s">
        <v>92</v>
      </c>
      <c r="BL157" s="3" t="s">
        <v>92</v>
      </c>
      <c r="BM157" s="3" t="s">
        <v>92</v>
      </c>
      <c r="BN157" s="3" t="s">
        <v>92</v>
      </c>
      <c r="BO157" s="3" t="s">
        <v>92</v>
      </c>
      <c r="BP157" s="3" t="s">
        <v>92</v>
      </c>
      <c r="BQ157" s="3" t="s">
        <v>92</v>
      </c>
      <c r="BR157" s="3" t="s">
        <v>92</v>
      </c>
      <c r="BS157" s="3" t="s">
        <v>92</v>
      </c>
      <c r="BT157" s="3" t="s">
        <v>92</v>
      </c>
      <c r="BU157" s="3" t="s">
        <v>92</v>
      </c>
      <c r="BV157" s="3" t="s">
        <v>92</v>
      </c>
      <c r="BW157" s="3" t="s">
        <v>92</v>
      </c>
      <c r="BX157" s="3" t="s">
        <v>92</v>
      </c>
      <c r="BY157" s="3" t="s">
        <v>92</v>
      </c>
      <c r="BZ157" s="3" t="s">
        <v>92</v>
      </c>
      <c r="CA157" s="3" t="s">
        <v>92</v>
      </c>
      <c r="CB157" s="3" t="s">
        <v>92</v>
      </c>
      <c r="CC157" s="3" t="s">
        <v>92</v>
      </c>
      <c r="CD157" s="3" t="s">
        <v>92</v>
      </c>
      <c r="CF157" s="3" t="s">
        <v>191</v>
      </c>
    </row>
    <row r="158" spans="1:85" s="3" customFormat="1" x14ac:dyDescent="0.15">
      <c r="A158" s="3" t="s">
        <v>190</v>
      </c>
      <c r="B158" s="3" t="s">
        <v>115</v>
      </c>
      <c r="C158" s="3" t="s">
        <v>92</v>
      </c>
      <c r="D158" s="3" t="s">
        <v>92</v>
      </c>
      <c r="E158" s="3" t="s">
        <v>92</v>
      </c>
      <c r="F158" s="3" t="s">
        <v>92</v>
      </c>
      <c r="G158" s="3" t="s">
        <v>92</v>
      </c>
      <c r="H158" s="3">
        <v>350</v>
      </c>
      <c r="I158" s="3" t="s">
        <v>92</v>
      </c>
      <c r="J158" s="3" t="s">
        <v>92</v>
      </c>
      <c r="M158" s="3" t="s">
        <v>92</v>
      </c>
      <c r="N158" s="3" t="s">
        <v>92</v>
      </c>
      <c r="O158" s="3">
        <v>4</v>
      </c>
      <c r="S158" s="56">
        <v>4.09</v>
      </c>
      <c r="W158" s="56" t="s">
        <v>92</v>
      </c>
      <c r="AA158" s="56" t="s">
        <v>92</v>
      </c>
      <c r="AE158" s="56">
        <v>0.9</v>
      </c>
      <c r="AI158" s="56">
        <v>48.54</v>
      </c>
      <c r="AM158" s="56">
        <v>6.82</v>
      </c>
      <c r="AQ158" s="56" t="s">
        <v>92</v>
      </c>
      <c r="AU158" s="56">
        <v>38.75</v>
      </c>
      <c r="AV158" s="56">
        <v>20</v>
      </c>
      <c r="AZ158" s="3">
        <f t="shared" si="16"/>
        <v>100</v>
      </c>
      <c r="BA158" s="3">
        <f t="shared" si="13"/>
        <v>0</v>
      </c>
      <c r="BB158" s="3">
        <v>16.72</v>
      </c>
      <c r="BC158" s="3">
        <v>68.150000000000006</v>
      </c>
      <c r="BD158" s="3">
        <v>15.13</v>
      </c>
      <c r="BE158" s="3" t="s">
        <v>96</v>
      </c>
      <c r="BF158" s="3">
        <f t="shared" si="14"/>
        <v>16.72</v>
      </c>
      <c r="BH158" s="3" t="s">
        <v>92</v>
      </c>
      <c r="BI158" s="3" t="s">
        <v>92</v>
      </c>
      <c r="BJ158" s="3" t="s">
        <v>92</v>
      </c>
      <c r="BK158" s="3" t="s">
        <v>92</v>
      </c>
      <c r="BL158" s="3" t="s">
        <v>92</v>
      </c>
      <c r="BM158" s="3" t="s">
        <v>92</v>
      </c>
      <c r="BN158" s="3" t="s">
        <v>92</v>
      </c>
      <c r="BO158" s="3" t="s">
        <v>92</v>
      </c>
      <c r="BP158" s="3" t="s">
        <v>92</v>
      </c>
      <c r="BQ158" s="3" t="s">
        <v>92</v>
      </c>
      <c r="BR158" s="3" t="s">
        <v>92</v>
      </c>
      <c r="BS158" s="3" t="s">
        <v>92</v>
      </c>
      <c r="BT158" s="3" t="s">
        <v>92</v>
      </c>
      <c r="BU158" s="3" t="s">
        <v>92</v>
      </c>
      <c r="BV158" s="3" t="s">
        <v>92</v>
      </c>
      <c r="BW158" s="3" t="s">
        <v>92</v>
      </c>
      <c r="BX158" s="3" t="s">
        <v>92</v>
      </c>
      <c r="BY158" s="3" t="s">
        <v>92</v>
      </c>
      <c r="BZ158" s="3" t="s">
        <v>92</v>
      </c>
      <c r="CA158" s="3" t="s">
        <v>92</v>
      </c>
      <c r="CB158" s="3" t="s">
        <v>92</v>
      </c>
      <c r="CC158" s="3" t="s">
        <v>92</v>
      </c>
      <c r="CD158" s="3" t="s">
        <v>92</v>
      </c>
      <c r="CF158" s="3" t="s">
        <v>191</v>
      </c>
    </row>
    <row r="159" spans="1:85" s="3" customFormat="1" x14ac:dyDescent="0.15">
      <c r="A159" s="3" t="s">
        <v>190</v>
      </c>
      <c r="B159" s="3" t="s">
        <v>115</v>
      </c>
      <c r="C159" s="3" t="s">
        <v>92</v>
      </c>
      <c r="D159" s="3" t="s">
        <v>92</v>
      </c>
      <c r="E159" s="3" t="s">
        <v>92</v>
      </c>
      <c r="F159" s="3" t="s">
        <v>92</v>
      </c>
      <c r="G159" s="3" t="s">
        <v>92</v>
      </c>
      <c r="H159" s="3">
        <v>350</v>
      </c>
      <c r="I159" s="3" t="s">
        <v>92</v>
      </c>
      <c r="J159" s="3" t="s">
        <v>92</v>
      </c>
      <c r="M159" s="3" t="s">
        <v>92</v>
      </c>
      <c r="N159" s="3" t="s">
        <v>92</v>
      </c>
      <c r="O159" s="3">
        <v>5</v>
      </c>
      <c r="S159" s="56">
        <v>4.09</v>
      </c>
      <c r="W159" s="56" t="s">
        <v>92</v>
      </c>
      <c r="AA159" s="56" t="s">
        <v>92</v>
      </c>
      <c r="AE159" s="56">
        <v>0.9</v>
      </c>
      <c r="AI159" s="56">
        <v>48.54</v>
      </c>
      <c r="AM159" s="56">
        <v>6.82</v>
      </c>
      <c r="AQ159" s="56" t="s">
        <v>92</v>
      </c>
      <c r="AU159" s="56">
        <v>38.75</v>
      </c>
      <c r="AV159" s="56">
        <v>20</v>
      </c>
      <c r="AZ159" s="3">
        <f t="shared" si="16"/>
        <v>100</v>
      </c>
      <c r="BA159" s="3">
        <f t="shared" si="13"/>
        <v>0</v>
      </c>
      <c r="BB159" s="3">
        <v>26.65</v>
      </c>
      <c r="BC159" s="3">
        <v>54.46</v>
      </c>
      <c r="BD159" s="3">
        <v>18.89</v>
      </c>
      <c r="BE159" s="3" t="s">
        <v>96</v>
      </c>
      <c r="BF159" s="3">
        <f t="shared" si="14"/>
        <v>26.65</v>
      </c>
      <c r="BH159" s="3" t="s">
        <v>92</v>
      </c>
      <c r="BI159" s="3" t="s">
        <v>92</v>
      </c>
      <c r="BJ159" s="3" t="s">
        <v>92</v>
      </c>
      <c r="BK159" s="3" t="s">
        <v>92</v>
      </c>
      <c r="BL159" s="3" t="s">
        <v>92</v>
      </c>
      <c r="BM159" s="3" t="s">
        <v>92</v>
      </c>
      <c r="BN159" s="3" t="s">
        <v>92</v>
      </c>
      <c r="BO159" s="3" t="s">
        <v>92</v>
      </c>
      <c r="BP159" s="3" t="s">
        <v>92</v>
      </c>
      <c r="BQ159" s="3" t="s">
        <v>92</v>
      </c>
      <c r="BR159" s="3" t="s">
        <v>92</v>
      </c>
      <c r="BS159" s="3" t="s">
        <v>92</v>
      </c>
      <c r="BT159" s="3" t="s">
        <v>92</v>
      </c>
      <c r="BU159" s="3" t="s">
        <v>92</v>
      </c>
      <c r="BV159" s="3" t="s">
        <v>92</v>
      </c>
      <c r="BW159" s="3" t="s">
        <v>92</v>
      </c>
      <c r="BX159" s="3" t="s">
        <v>92</v>
      </c>
      <c r="BY159" s="3" t="s">
        <v>92</v>
      </c>
      <c r="BZ159" s="3" t="s">
        <v>92</v>
      </c>
      <c r="CA159" s="3" t="s">
        <v>92</v>
      </c>
      <c r="CB159" s="3" t="s">
        <v>92</v>
      </c>
      <c r="CC159" s="3" t="s">
        <v>92</v>
      </c>
      <c r="CD159" s="3" t="s">
        <v>92</v>
      </c>
      <c r="CF159" s="3" t="s">
        <v>191</v>
      </c>
    </row>
    <row r="160" spans="1:85" s="3" customFormat="1" x14ac:dyDescent="0.15">
      <c r="A160" s="3" t="s">
        <v>190</v>
      </c>
      <c r="B160" s="3" t="s">
        <v>115</v>
      </c>
      <c r="C160" s="3" t="s">
        <v>92</v>
      </c>
      <c r="D160" s="3" t="s">
        <v>92</v>
      </c>
      <c r="E160" s="3" t="s">
        <v>92</v>
      </c>
      <c r="F160" s="3" t="s">
        <v>92</v>
      </c>
      <c r="G160" s="3" t="s">
        <v>92</v>
      </c>
      <c r="H160" s="3">
        <v>350</v>
      </c>
      <c r="I160" s="3" t="s">
        <v>92</v>
      </c>
      <c r="J160" s="3" t="s">
        <v>92</v>
      </c>
      <c r="M160" s="3" t="s">
        <v>92</v>
      </c>
      <c r="N160" s="3" t="s">
        <v>92</v>
      </c>
      <c r="O160" s="3">
        <v>7</v>
      </c>
      <c r="S160" s="56">
        <v>4.09</v>
      </c>
      <c r="W160" s="56" t="s">
        <v>92</v>
      </c>
      <c r="AA160" s="56" t="s">
        <v>92</v>
      </c>
      <c r="AE160" s="56">
        <v>0.9</v>
      </c>
      <c r="AI160" s="56">
        <v>48.54</v>
      </c>
      <c r="AM160" s="56">
        <v>6.82</v>
      </c>
      <c r="AQ160" s="56" t="s">
        <v>92</v>
      </c>
      <c r="AU160" s="56">
        <v>38.75</v>
      </c>
      <c r="AV160" s="56">
        <v>20</v>
      </c>
      <c r="AZ160" s="3">
        <f t="shared" si="16"/>
        <v>100</v>
      </c>
      <c r="BA160" s="3">
        <f t="shared" si="13"/>
        <v>0</v>
      </c>
      <c r="BB160" s="3">
        <v>24.54</v>
      </c>
      <c r="BC160" s="3">
        <v>54.76</v>
      </c>
      <c r="BD160" s="3">
        <v>20.7</v>
      </c>
      <c r="BE160" s="3" t="s">
        <v>96</v>
      </c>
      <c r="BF160" s="3">
        <f t="shared" si="14"/>
        <v>24.54</v>
      </c>
      <c r="BH160" s="3" t="s">
        <v>92</v>
      </c>
      <c r="BI160" s="3" t="s">
        <v>92</v>
      </c>
      <c r="BJ160" s="3" t="s">
        <v>92</v>
      </c>
      <c r="BK160" s="3" t="s">
        <v>92</v>
      </c>
      <c r="BL160" s="3" t="s">
        <v>92</v>
      </c>
      <c r="BM160" s="3" t="s">
        <v>92</v>
      </c>
      <c r="BN160" s="3" t="s">
        <v>92</v>
      </c>
      <c r="BO160" s="3" t="s">
        <v>92</v>
      </c>
      <c r="BP160" s="3" t="s">
        <v>92</v>
      </c>
      <c r="BQ160" s="3" t="s">
        <v>92</v>
      </c>
      <c r="BR160" s="3" t="s">
        <v>92</v>
      </c>
      <c r="BS160" s="3" t="s">
        <v>92</v>
      </c>
      <c r="BT160" s="3" t="s">
        <v>92</v>
      </c>
      <c r="BU160" s="3" t="s">
        <v>92</v>
      </c>
      <c r="BV160" s="3" t="s">
        <v>92</v>
      </c>
      <c r="BW160" s="3" t="s">
        <v>92</v>
      </c>
      <c r="BX160" s="3" t="s">
        <v>92</v>
      </c>
      <c r="BY160" s="3" t="s">
        <v>92</v>
      </c>
      <c r="BZ160" s="3" t="s">
        <v>92</v>
      </c>
      <c r="CA160" s="3" t="s">
        <v>92</v>
      </c>
      <c r="CB160" s="3" t="s">
        <v>92</v>
      </c>
      <c r="CC160" s="3" t="s">
        <v>92</v>
      </c>
      <c r="CD160" s="3" t="s">
        <v>92</v>
      </c>
      <c r="CF160" s="3" t="s">
        <v>191</v>
      </c>
    </row>
    <row r="161" spans="1:85" s="3" customFormat="1" x14ac:dyDescent="0.15">
      <c r="A161" s="3" t="s">
        <v>190</v>
      </c>
      <c r="B161" s="3" t="s">
        <v>115</v>
      </c>
      <c r="C161" s="3" t="s">
        <v>92</v>
      </c>
      <c r="D161" s="3" t="s">
        <v>92</v>
      </c>
      <c r="E161" s="3" t="s">
        <v>92</v>
      </c>
      <c r="F161" s="3" t="s">
        <v>92</v>
      </c>
      <c r="G161" s="3" t="s">
        <v>92</v>
      </c>
      <c r="H161" s="3">
        <v>350</v>
      </c>
      <c r="I161" s="3" t="s">
        <v>92</v>
      </c>
      <c r="J161" s="3" t="s">
        <v>92</v>
      </c>
      <c r="M161" s="3" t="s">
        <v>92</v>
      </c>
      <c r="N161" s="3" t="s">
        <v>92</v>
      </c>
      <c r="O161" s="3">
        <v>10</v>
      </c>
      <c r="S161" s="56">
        <v>4.09</v>
      </c>
      <c r="W161" s="56" t="s">
        <v>92</v>
      </c>
      <c r="AA161" s="56" t="s">
        <v>92</v>
      </c>
      <c r="AE161" s="56">
        <v>0.9</v>
      </c>
      <c r="AI161" s="56">
        <v>48.54</v>
      </c>
      <c r="AM161" s="56">
        <v>6.82</v>
      </c>
      <c r="AQ161" s="56" t="s">
        <v>92</v>
      </c>
      <c r="AU161" s="56">
        <v>38.75</v>
      </c>
      <c r="AV161" s="56">
        <v>20</v>
      </c>
      <c r="AZ161" s="3">
        <f t="shared" si="16"/>
        <v>100</v>
      </c>
      <c r="BA161" s="3">
        <f t="shared" si="13"/>
        <v>0</v>
      </c>
      <c r="BB161" s="3">
        <v>25.17</v>
      </c>
      <c r="BC161" s="3">
        <v>53.56</v>
      </c>
      <c r="BD161" s="3">
        <v>21.27</v>
      </c>
      <c r="BE161" s="3" t="s">
        <v>96</v>
      </c>
      <c r="BF161" s="3">
        <f t="shared" si="14"/>
        <v>25.17</v>
      </c>
      <c r="BH161" s="3" t="s">
        <v>92</v>
      </c>
      <c r="BI161" s="3" t="s">
        <v>92</v>
      </c>
      <c r="BJ161" s="3" t="s">
        <v>92</v>
      </c>
      <c r="BK161" s="3" t="s">
        <v>92</v>
      </c>
      <c r="BL161" s="3" t="s">
        <v>92</v>
      </c>
      <c r="BM161" s="3" t="s">
        <v>92</v>
      </c>
      <c r="BN161" s="3" t="s">
        <v>92</v>
      </c>
      <c r="BO161" s="3" t="s">
        <v>92</v>
      </c>
      <c r="BP161" s="3" t="s">
        <v>92</v>
      </c>
      <c r="BQ161" s="3" t="s">
        <v>92</v>
      </c>
      <c r="BR161" s="3" t="s">
        <v>92</v>
      </c>
      <c r="BS161" s="3" t="s">
        <v>92</v>
      </c>
      <c r="BT161" s="3" t="s">
        <v>92</v>
      </c>
      <c r="BU161" s="3" t="s">
        <v>92</v>
      </c>
      <c r="BV161" s="3" t="s">
        <v>92</v>
      </c>
      <c r="BW161" s="3" t="s">
        <v>92</v>
      </c>
      <c r="BX161" s="3" t="s">
        <v>92</v>
      </c>
      <c r="BY161" s="3" t="s">
        <v>92</v>
      </c>
      <c r="BZ161" s="3" t="s">
        <v>92</v>
      </c>
      <c r="CA161" s="3" t="s">
        <v>92</v>
      </c>
      <c r="CB161" s="3" t="s">
        <v>92</v>
      </c>
      <c r="CC161" s="3" t="s">
        <v>92</v>
      </c>
      <c r="CD161" s="3" t="s">
        <v>92</v>
      </c>
      <c r="CF161" s="3" t="s">
        <v>191</v>
      </c>
    </row>
    <row r="162" spans="1:85" s="3" customFormat="1" x14ac:dyDescent="0.15">
      <c r="A162" s="3" t="s">
        <v>190</v>
      </c>
      <c r="B162" s="3" t="s">
        <v>115</v>
      </c>
      <c r="C162" s="3" t="s">
        <v>92</v>
      </c>
      <c r="D162" s="3" t="s">
        <v>92</v>
      </c>
      <c r="E162" s="3" t="s">
        <v>92</v>
      </c>
      <c r="F162" s="3" t="s">
        <v>92</v>
      </c>
      <c r="G162" s="3" t="s">
        <v>92</v>
      </c>
      <c r="H162" s="3">
        <v>370</v>
      </c>
      <c r="I162" s="3" t="s">
        <v>92</v>
      </c>
      <c r="J162" s="3" t="s">
        <v>92</v>
      </c>
      <c r="M162" s="3" t="s">
        <v>92</v>
      </c>
      <c r="N162" s="3" t="s">
        <v>92</v>
      </c>
      <c r="O162" s="3">
        <v>2</v>
      </c>
      <c r="S162" s="56">
        <v>4.09</v>
      </c>
      <c r="W162" s="56" t="s">
        <v>92</v>
      </c>
      <c r="AA162" s="56" t="s">
        <v>92</v>
      </c>
      <c r="AE162" s="56">
        <v>0.9</v>
      </c>
      <c r="AI162" s="56">
        <v>48.54</v>
      </c>
      <c r="AM162" s="56">
        <v>6.82</v>
      </c>
      <c r="AQ162" s="56" t="s">
        <v>92</v>
      </c>
      <c r="AU162" s="56">
        <v>38.75</v>
      </c>
      <c r="AV162" s="56">
        <v>20</v>
      </c>
      <c r="AZ162" s="3">
        <f t="shared" si="16"/>
        <v>99.97999999999999</v>
      </c>
      <c r="BA162" s="3">
        <f t="shared" si="13"/>
        <v>2.0000000000010232E-2</v>
      </c>
      <c r="BB162" s="3">
        <v>8.44</v>
      </c>
      <c r="BC162" s="3">
        <v>85.08</v>
      </c>
      <c r="BD162" s="3">
        <v>6.46</v>
      </c>
      <c r="BE162" s="3" t="s">
        <v>96</v>
      </c>
      <c r="BF162" s="3">
        <f t="shared" si="14"/>
        <v>8.4600000000000097</v>
      </c>
      <c r="BH162" s="3" t="s">
        <v>92</v>
      </c>
      <c r="BI162" s="3" t="s">
        <v>92</v>
      </c>
      <c r="BJ162" s="3" t="s">
        <v>92</v>
      </c>
      <c r="BK162" s="3" t="s">
        <v>92</v>
      </c>
      <c r="BL162" s="3" t="s">
        <v>92</v>
      </c>
      <c r="BM162" s="3" t="s">
        <v>92</v>
      </c>
      <c r="BN162" s="3" t="s">
        <v>92</v>
      </c>
      <c r="BO162" s="3" t="s">
        <v>92</v>
      </c>
      <c r="BP162" s="3" t="s">
        <v>92</v>
      </c>
      <c r="BQ162" s="3" t="s">
        <v>92</v>
      </c>
      <c r="BR162" s="3" t="s">
        <v>92</v>
      </c>
      <c r="BS162" s="3" t="s">
        <v>92</v>
      </c>
      <c r="BT162" s="3" t="s">
        <v>92</v>
      </c>
      <c r="BU162" s="3" t="s">
        <v>92</v>
      </c>
      <c r="BV162" s="3" t="s">
        <v>92</v>
      </c>
      <c r="BW162" s="3" t="s">
        <v>92</v>
      </c>
      <c r="BX162" s="3" t="s">
        <v>92</v>
      </c>
      <c r="BY162" s="3" t="s">
        <v>92</v>
      </c>
      <c r="BZ162" s="3" t="s">
        <v>92</v>
      </c>
      <c r="CA162" s="3" t="s">
        <v>92</v>
      </c>
      <c r="CB162" s="3" t="s">
        <v>92</v>
      </c>
      <c r="CC162" s="3" t="s">
        <v>92</v>
      </c>
      <c r="CD162" s="3" t="s">
        <v>92</v>
      </c>
      <c r="CF162" s="3" t="s">
        <v>191</v>
      </c>
    </row>
    <row r="163" spans="1:85" s="3" customFormat="1" x14ac:dyDescent="0.15">
      <c r="A163" s="3" t="s">
        <v>190</v>
      </c>
      <c r="B163" s="3" t="s">
        <v>115</v>
      </c>
      <c r="C163" s="3" t="s">
        <v>92</v>
      </c>
      <c r="D163" s="3" t="s">
        <v>92</v>
      </c>
      <c r="E163" s="3" t="s">
        <v>92</v>
      </c>
      <c r="F163" s="3" t="s">
        <v>92</v>
      </c>
      <c r="G163" s="3" t="s">
        <v>92</v>
      </c>
      <c r="H163" s="3">
        <v>370</v>
      </c>
      <c r="I163" s="3" t="s">
        <v>92</v>
      </c>
      <c r="J163" s="3" t="s">
        <v>92</v>
      </c>
      <c r="M163" s="3" t="s">
        <v>92</v>
      </c>
      <c r="N163" s="3" t="s">
        <v>92</v>
      </c>
      <c r="O163" s="3">
        <v>4</v>
      </c>
      <c r="S163" s="56">
        <v>4.09</v>
      </c>
      <c r="W163" s="56" t="s">
        <v>92</v>
      </c>
      <c r="AA163" s="56" t="s">
        <v>92</v>
      </c>
      <c r="AE163" s="56">
        <v>0.9</v>
      </c>
      <c r="AI163" s="56">
        <v>48.54</v>
      </c>
      <c r="AM163" s="56">
        <v>6.82</v>
      </c>
      <c r="AQ163" s="56" t="s">
        <v>92</v>
      </c>
      <c r="AU163" s="56">
        <v>38.75</v>
      </c>
      <c r="AV163" s="56">
        <v>20</v>
      </c>
      <c r="AZ163" s="3">
        <f t="shared" si="16"/>
        <v>100.02</v>
      </c>
      <c r="BA163" s="3">
        <f t="shared" si="13"/>
        <v>-1.9999999999996021E-2</v>
      </c>
      <c r="BB163" s="3">
        <v>20.13</v>
      </c>
      <c r="BC163" s="3">
        <v>64.16</v>
      </c>
      <c r="BD163" s="3">
        <v>15.73</v>
      </c>
      <c r="BE163" s="3" t="s">
        <v>96</v>
      </c>
      <c r="BF163" s="3">
        <f t="shared" si="14"/>
        <v>20.110000000000003</v>
      </c>
      <c r="BH163" s="3" t="s">
        <v>92</v>
      </c>
      <c r="BI163" s="3" t="s">
        <v>92</v>
      </c>
      <c r="BJ163" s="3" t="s">
        <v>92</v>
      </c>
      <c r="BK163" s="3" t="s">
        <v>92</v>
      </c>
      <c r="BL163" s="3" t="s">
        <v>92</v>
      </c>
      <c r="BM163" s="3" t="s">
        <v>92</v>
      </c>
      <c r="BN163" s="3" t="s">
        <v>92</v>
      </c>
      <c r="BO163" s="3" t="s">
        <v>92</v>
      </c>
      <c r="BP163" s="3" t="s">
        <v>92</v>
      </c>
      <c r="BQ163" s="3" t="s">
        <v>92</v>
      </c>
      <c r="BR163" s="3" t="s">
        <v>92</v>
      </c>
      <c r="BS163" s="3" t="s">
        <v>92</v>
      </c>
      <c r="BT163" s="3" t="s">
        <v>92</v>
      </c>
      <c r="BU163" s="3" t="s">
        <v>92</v>
      </c>
      <c r="BV163" s="3" t="s">
        <v>92</v>
      </c>
      <c r="BW163" s="3" t="s">
        <v>92</v>
      </c>
      <c r="BX163" s="3" t="s">
        <v>92</v>
      </c>
      <c r="BY163" s="3" t="s">
        <v>92</v>
      </c>
      <c r="BZ163" s="3" t="s">
        <v>92</v>
      </c>
      <c r="CA163" s="3" t="s">
        <v>92</v>
      </c>
      <c r="CB163" s="3" t="s">
        <v>92</v>
      </c>
      <c r="CC163" s="3" t="s">
        <v>92</v>
      </c>
      <c r="CD163" s="3" t="s">
        <v>92</v>
      </c>
      <c r="CF163" s="3" t="s">
        <v>191</v>
      </c>
    </row>
    <row r="164" spans="1:85" s="3" customFormat="1" x14ac:dyDescent="0.15">
      <c r="A164" s="3" t="s">
        <v>190</v>
      </c>
      <c r="B164" s="3" t="s">
        <v>115</v>
      </c>
      <c r="C164" s="3" t="s">
        <v>92</v>
      </c>
      <c r="D164" s="3" t="s">
        <v>92</v>
      </c>
      <c r="E164" s="3" t="s">
        <v>92</v>
      </c>
      <c r="F164" s="3" t="s">
        <v>92</v>
      </c>
      <c r="G164" s="3" t="s">
        <v>92</v>
      </c>
      <c r="H164" s="3">
        <v>370</v>
      </c>
      <c r="I164" s="3" t="s">
        <v>92</v>
      </c>
      <c r="J164" s="3" t="s">
        <v>92</v>
      </c>
      <c r="M164" s="3" t="s">
        <v>92</v>
      </c>
      <c r="N164" s="3" t="s">
        <v>92</v>
      </c>
      <c r="O164" s="3">
        <v>5</v>
      </c>
      <c r="S164" s="56">
        <v>4.09</v>
      </c>
      <c r="W164" s="56" t="s">
        <v>92</v>
      </c>
      <c r="AA164" s="56" t="s">
        <v>92</v>
      </c>
      <c r="AE164" s="56">
        <v>0.9</v>
      </c>
      <c r="AI164" s="56">
        <v>48.54</v>
      </c>
      <c r="AM164" s="56">
        <v>6.82</v>
      </c>
      <c r="AQ164" s="56" t="s">
        <v>92</v>
      </c>
      <c r="AU164" s="56">
        <v>38.75</v>
      </c>
      <c r="AV164" s="56">
        <v>20</v>
      </c>
      <c r="AZ164" s="3">
        <f t="shared" si="16"/>
        <v>100.00000000000001</v>
      </c>
      <c r="BA164" s="3">
        <f t="shared" si="13"/>
        <v>0</v>
      </c>
      <c r="BB164" s="3">
        <v>26.35</v>
      </c>
      <c r="BC164" s="3">
        <v>53.2</v>
      </c>
      <c r="BD164" s="3">
        <v>20.45</v>
      </c>
      <c r="BE164" s="3" t="s">
        <v>96</v>
      </c>
      <c r="BF164" s="3">
        <f t="shared" si="14"/>
        <v>26.35</v>
      </c>
      <c r="BH164" s="3" t="s">
        <v>92</v>
      </c>
      <c r="BI164" s="3" t="s">
        <v>92</v>
      </c>
      <c r="BJ164" s="3" t="s">
        <v>92</v>
      </c>
      <c r="BK164" s="3" t="s">
        <v>92</v>
      </c>
      <c r="BL164" s="3" t="s">
        <v>92</v>
      </c>
      <c r="BM164" s="3" t="s">
        <v>92</v>
      </c>
      <c r="BN164" s="3" t="s">
        <v>92</v>
      </c>
      <c r="BO164" s="3" t="s">
        <v>92</v>
      </c>
      <c r="BP164" s="3" t="s">
        <v>92</v>
      </c>
      <c r="BQ164" s="3" t="s">
        <v>92</v>
      </c>
      <c r="BR164" s="3" t="s">
        <v>92</v>
      </c>
      <c r="BS164" s="3" t="s">
        <v>92</v>
      </c>
      <c r="BT164" s="3" t="s">
        <v>92</v>
      </c>
      <c r="BU164" s="3" t="s">
        <v>92</v>
      </c>
      <c r="BV164" s="3" t="s">
        <v>92</v>
      </c>
      <c r="BW164" s="3" t="s">
        <v>92</v>
      </c>
      <c r="BX164" s="3" t="s">
        <v>92</v>
      </c>
      <c r="BY164" s="3" t="s">
        <v>92</v>
      </c>
      <c r="BZ164" s="3" t="s">
        <v>92</v>
      </c>
      <c r="CA164" s="3" t="s">
        <v>92</v>
      </c>
      <c r="CB164" s="3" t="s">
        <v>92</v>
      </c>
      <c r="CC164" s="3" t="s">
        <v>92</v>
      </c>
      <c r="CD164" s="3" t="s">
        <v>92</v>
      </c>
      <c r="CF164" s="3" t="s">
        <v>191</v>
      </c>
    </row>
    <row r="165" spans="1:85" s="3" customFormat="1" x14ac:dyDescent="0.15">
      <c r="A165" s="3" t="s">
        <v>190</v>
      </c>
      <c r="B165" s="3" t="s">
        <v>115</v>
      </c>
      <c r="C165" s="3" t="s">
        <v>92</v>
      </c>
      <c r="D165" s="3" t="s">
        <v>92</v>
      </c>
      <c r="E165" s="3" t="s">
        <v>92</v>
      </c>
      <c r="F165" s="3" t="s">
        <v>92</v>
      </c>
      <c r="G165" s="3" t="s">
        <v>92</v>
      </c>
      <c r="H165" s="3">
        <v>370</v>
      </c>
      <c r="I165" s="3" t="s">
        <v>92</v>
      </c>
      <c r="J165" s="3" t="s">
        <v>92</v>
      </c>
      <c r="M165" s="3" t="s">
        <v>92</v>
      </c>
      <c r="N165" s="3" t="s">
        <v>92</v>
      </c>
      <c r="O165" s="3">
        <v>7</v>
      </c>
      <c r="S165" s="56">
        <v>4.09</v>
      </c>
      <c r="W165" s="56" t="s">
        <v>92</v>
      </c>
      <c r="AA165" s="56" t="s">
        <v>92</v>
      </c>
      <c r="AE165" s="56">
        <v>0.9</v>
      </c>
      <c r="AI165" s="56">
        <v>48.54</v>
      </c>
      <c r="AM165" s="56">
        <v>6.82</v>
      </c>
      <c r="AQ165" s="56" t="s">
        <v>92</v>
      </c>
      <c r="AU165" s="56">
        <v>38.75</v>
      </c>
      <c r="AV165" s="56">
        <v>20</v>
      </c>
      <c r="AZ165" s="3">
        <f t="shared" si="16"/>
        <v>100</v>
      </c>
      <c r="BA165" s="3">
        <f t="shared" si="13"/>
        <v>0</v>
      </c>
      <c r="BB165" s="3">
        <v>26.84</v>
      </c>
      <c r="BC165" s="3">
        <v>52.4</v>
      </c>
      <c r="BD165" s="3">
        <v>20.76</v>
      </c>
      <c r="BE165" s="3" t="s">
        <v>96</v>
      </c>
      <c r="BF165" s="3">
        <f t="shared" si="14"/>
        <v>26.84</v>
      </c>
      <c r="BH165" s="3" t="s">
        <v>92</v>
      </c>
      <c r="BI165" s="3" t="s">
        <v>92</v>
      </c>
      <c r="BJ165" s="3" t="s">
        <v>92</v>
      </c>
      <c r="BK165" s="3" t="s">
        <v>92</v>
      </c>
      <c r="BL165" s="3" t="s">
        <v>92</v>
      </c>
      <c r="BM165" s="3" t="s">
        <v>92</v>
      </c>
      <c r="BN165" s="3" t="s">
        <v>92</v>
      </c>
      <c r="BO165" s="3" t="s">
        <v>92</v>
      </c>
      <c r="BP165" s="3" t="s">
        <v>92</v>
      </c>
      <c r="BQ165" s="3" t="s">
        <v>92</v>
      </c>
      <c r="BR165" s="3" t="s">
        <v>92</v>
      </c>
      <c r="BS165" s="3" t="s">
        <v>92</v>
      </c>
      <c r="BT165" s="3" t="s">
        <v>92</v>
      </c>
      <c r="BU165" s="3" t="s">
        <v>92</v>
      </c>
      <c r="BV165" s="3" t="s">
        <v>92</v>
      </c>
      <c r="BW165" s="3" t="s">
        <v>92</v>
      </c>
      <c r="BX165" s="3" t="s">
        <v>92</v>
      </c>
      <c r="BY165" s="3" t="s">
        <v>92</v>
      </c>
      <c r="BZ165" s="3" t="s">
        <v>92</v>
      </c>
      <c r="CA165" s="3" t="s">
        <v>92</v>
      </c>
      <c r="CB165" s="3" t="s">
        <v>92</v>
      </c>
      <c r="CC165" s="3" t="s">
        <v>92</v>
      </c>
      <c r="CD165" s="3" t="s">
        <v>92</v>
      </c>
      <c r="CF165" s="3" t="s">
        <v>191</v>
      </c>
    </row>
    <row r="166" spans="1:85" s="3" customFormat="1" x14ac:dyDescent="0.15">
      <c r="A166" s="3" t="s">
        <v>190</v>
      </c>
      <c r="B166" s="3" t="s">
        <v>115</v>
      </c>
      <c r="C166" s="3" t="s">
        <v>92</v>
      </c>
      <c r="D166" s="3" t="s">
        <v>92</v>
      </c>
      <c r="E166" s="3" t="s">
        <v>92</v>
      </c>
      <c r="F166" s="3" t="s">
        <v>92</v>
      </c>
      <c r="G166" s="3" t="s">
        <v>92</v>
      </c>
      <c r="H166" s="3">
        <v>370</v>
      </c>
      <c r="I166" s="3" t="s">
        <v>92</v>
      </c>
      <c r="J166" s="3" t="s">
        <v>92</v>
      </c>
      <c r="M166" s="3" t="s">
        <v>92</v>
      </c>
      <c r="N166" s="3" t="s">
        <v>92</v>
      </c>
      <c r="O166" s="3">
        <v>10</v>
      </c>
      <c r="S166" s="56">
        <v>4.09</v>
      </c>
      <c r="W166" s="56" t="s">
        <v>92</v>
      </c>
      <c r="AA166" s="56" t="s">
        <v>92</v>
      </c>
      <c r="AE166" s="56">
        <v>0.9</v>
      </c>
      <c r="AI166" s="56">
        <v>48.54</v>
      </c>
      <c r="AM166" s="56">
        <v>6.82</v>
      </c>
      <c r="AQ166" s="56" t="s">
        <v>92</v>
      </c>
      <c r="AU166" s="56">
        <v>38.75</v>
      </c>
      <c r="AV166" s="56">
        <v>20</v>
      </c>
      <c r="AZ166" s="3">
        <f t="shared" si="16"/>
        <v>100</v>
      </c>
      <c r="BA166" s="3">
        <f t="shared" si="13"/>
        <v>0</v>
      </c>
      <c r="BB166" s="3">
        <v>24.84</v>
      </c>
      <c r="BC166" s="3">
        <v>53.45</v>
      </c>
      <c r="BD166" s="3">
        <v>21.71</v>
      </c>
      <c r="BE166" s="3" t="s">
        <v>96</v>
      </c>
      <c r="BF166" s="3">
        <f t="shared" si="14"/>
        <v>24.84</v>
      </c>
      <c r="BH166" s="3" t="s">
        <v>92</v>
      </c>
      <c r="BI166" s="3" t="s">
        <v>92</v>
      </c>
      <c r="BJ166" s="3" t="s">
        <v>92</v>
      </c>
      <c r="BK166" s="3" t="s">
        <v>92</v>
      </c>
      <c r="BL166" s="3" t="s">
        <v>92</v>
      </c>
      <c r="BM166" s="3" t="s">
        <v>92</v>
      </c>
      <c r="BN166" s="3" t="s">
        <v>92</v>
      </c>
      <c r="BO166" s="3" t="s">
        <v>92</v>
      </c>
      <c r="BP166" s="3" t="s">
        <v>92</v>
      </c>
      <c r="BQ166" s="3" t="s">
        <v>92</v>
      </c>
      <c r="BR166" s="3" t="s">
        <v>92</v>
      </c>
      <c r="BS166" s="3" t="s">
        <v>92</v>
      </c>
      <c r="BT166" s="3" t="s">
        <v>92</v>
      </c>
      <c r="BU166" s="3" t="s">
        <v>92</v>
      </c>
      <c r="BV166" s="3" t="s">
        <v>92</v>
      </c>
      <c r="BW166" s="3" t="s">
        <v>92</v>
      </c>
      <c r="BX166" s="3" t="s">
        <v>92</v>
      </c>
      <c r="BY166" s="3" t="s">
        <v>92</v>
      </c>
      <c r="BZ166" s="3" t="s">
        <v>92</v>
      </c>
      <c r="CA166" s="3" t="s">
        <v>92</v>
      </c>
      <c r="CB166" s="3" t="s">
        <v>92</v>
      </c>
      <c r="CC166" s="3" t="s">
        <v>92</v>
      </c>
      <c r="CD166" s="3" t="s">
        <v>92</v>
      </c>
      <c r="CF166" s="3" t="s">
        <v>191</v>
      </c>
    </row>
    <row r="167" spans="1:85" s="29" customFormat="1" x14ac:dyDescent="0.15">
      <c r="A167" s="29" t="s">
        <v>192</v>
      </c>
      <c r="B167" s="29" t="s">
        <v>115</v>
      </c>
      <c r="C167" s="29" t="s">
        <v>92</v>
      </c>
      <c r="D167" s="29" t="s">
        <v>92</v>
      </c>
      <c r="E167" s="29" t="s">
        <v>93</v>
      </c>
      <c r="F167" s="29">
        <v>2.6669999999999998</v>
      </c>
      <c r="G167" s="29" t="s">
        <v>92</v>
      </c>
      <c r="H167" s="29">
        <v>500</v>
      </c>
      <c r="I167" s="29" t="s">
        <v>92</v>
      </c>
      <c r="J167" s="29">
        <v>1.5</v>
      </c>
      <c r="M167" s="29">
        <v>1.667</v>
      </c>
      <c r="N167" s="29" t="s">
        <v>92</v>
      </c>
      <c r="O167" s="29" t="s">
        <v>92</v>
      </c>
      <c r="S167" s="56">
        <v>7.52</v>
      </c>
      <c r="W167" s="56">
        <v>84.76</v>
      </c>
      <c r="AA167" s="56">
        <v>0.06</v>
      </c>
      <c r="AE167" s="56">
        <v>0.33</v>
      </c>
      <c r="AI167" s="56">
        <v>47.1</v>
      </c>
      <c r="AM167" s="56">
        <v>5.9</v>
      </c>
      <c r="AQ167" s="56">
        <v>0.04</v>
      </c>
      <c r="AU167" s="56">
        <v>46.4</v>
      </c>
      <c r="AV167" s="56">
        <v>18.29</v>
      </c>
      <c r="AZ167" s="29">
        <f t="shared" si="16"/>
        <v>75.7</v>
      </c>
      <c r="BA167" s="29">
        <f t="shared" si="13"/>
        <v>24.299999999999997</v>
      </c>
      <c r="BB167" s="29">
        <v>33.200000000000003</v>
      </c>
      <c r="BC167" s="29">
        <v>16.7</v>
      </c>
      <c r="BD167" s="29">
        <v>25.8</v>
      </c>
      <c r="BE167" s="29" t="s">
        <v>101</v>
      </c>
      <c r="BF167" s="29">
        <f t="shared" si="14"/>
        <v>57.5</v>
      </c>
      <c r="BH167" s="29">
        <v>0</v>
      </c>
      <c r="BI167" s="29" t="s">
        <v>92</v>
      </c>
      <c r="BJ167" s="29" t="s">
        <v>92</v>
      </c>
      <c r="BK167" s="29">
        <v>2.4900000000000002</v>
      </c>
      <c r="BL167" s="29">
        <v>0.83</v>
      </c>
      <c r="BM167" s="29">
        <v>0.56999999999999995</v>
      </c>
      <c r="BN167" s="29">
        <v>0.67</v>
      </c>
      <c r="BO167" s="29" t="s">
        <v>92</v>
      </c>
      <c r="BP167" s="29" t="s">
        <v>92</v>
      </c>
      <c r="BQ167" s="29" t="s">
        <v>92</v>
      </c>
      <c r="BR167" s="29">
        <v>0</v>
      </c>
      <c r="BS167" s="29" t="s">
        <v>92</v>
      </c>
      <c r="BT167" s="29">
        <v>3.79</v>
      </c>
      <c r="BU167" s="29" t="s">
        <v>92</v>
      </c>
      <c r="BV167" s="29">
        <v>2.09</v>
      </c>
      <c r="BW167" s="29" t="s">
        <v>92</v>
      </c>
      <c r="BX167" s="29" t="s">
        <v>92</v>
      </c>
      <c r="BY167" s="29" t="s">
        <v>92</v>
      </c>
      <c r="BZ167" s="29" t="s">
        <v>92</v>
      </c>
      <c r="CA167" s="29" t="s">
        <v>92</v>
      </c>
      <c r="CB167" s="29" t="s">
        <v>92</v>
      </c>
      <c r="CC167" s="29" t="s">
        <v>92</v>
      </c>
      <c r="CD167" s="29">
        <v>1.69</v>
      </c>
      <c r="CF167" s="29" t="s">
        <v>193</v>
      </c>
      <c r="CG167" s="29" t="s">
        <v>194</v>
      </c>
    </row>
    <row r="168" spans="1:85" s="29" customFormat="1" x14ac:dyDescent="0.15">
      <c r="A168" s="29" t="s">
        <v>195</v>
      </c>
      <c r="B168" s="29" t="s">
        <v>124</v>
      </c>
      <c r="C168" s="29" t="s">
        <v>92</v>
      </c>
      <c r="D168" s="29" t="s">
        <v>92</v>
      </c>
      <c r="E168" s="29" t="s">
        <v>93</v>
      </c>
      <c r="F168" s="29">
        <v>0.25</v>
      </c>
      <c r="G168" s="29" t="s">
        <v>92</v>
      </c>
      <c r="H168" s="29">
        <v>300</v>
      </c>
      <c r="I168" s="29" t="s">
        <v>92</v>
      </c>
      <c r="J168" s="29" t="s">
        <v>179</v>
      </c>
      <c r="M168" s="29" t="s">
        <v>92</v>
      </c>
      <c r="N168" s="29" t="s">
        <v>92</v>
      </c>
      <c r="O168" s="29" t="s">
        <v>92</v>
      </c>
      <c r="S168" s="56">
        <v>7.72</v>
      </c>
      <c r="W168" s="56">
        <v>69.3</v>
      </c>
      <c r="AA168" s="56">
        <v>0.18</v>
      </c>
      <c r="AE168" s="56">
        <v>2.14</v>
      </c>
      <c r="AI168" s="56">
        <v>48.9</v>
      </c>
      <c r="AM168" s="56">
        <v>4.95</v>
      </c>
      <c r="AQ168" s="56">
        <v>0.21</v>
      </c>
      <c r="AU168" s="56">
        <v>45.76</v>
      </c>
      <c r="AV168" s="56">
        <v>18.98</v>
      </c>
      <c r="AZ168" s="29">
        <f t="shared" si="16"/>
        <v>81.400000000000006</v>
      </c>
      <c r="BA168" s="29">
        <f t="shared" si="13"/>
        <v>18.599999999999994</v>
      </c>
      <c r="BB168" s="29">
        <f>31-29.1</f>
        <v>1.8999999999999986</v>
      </c>
      <c r="BC168" s="29">
        <f>100-31</f>
        <v>69</v>
      </c>
      <c r="BD168" s="29">
        <v>10.5</v>
      </c>
      <c r="BE168" s="29" t="s">
        <v>101</v>
      </c>
      <c r="BF168" s="29">
        <f t="shared" si="14"/>
        <v>20.499999999999993</v>
      </c>
      <c r="BH168" s="29" t="s">
        <v>92</v>
      </c>
      <c r="BI168" s="29" t="s">
        <v>92</v>
      </c>
      <c r="BJ168" s="29" t="s">
        <v>92</v>
      </c>
      <c r="BK168" s="29" t="s">
        <v>92</v>
      </c>
      <c r="BL168" s="29" t="s">
        <v>92</v>
      </c>
      <c r="BM168" s="29" t="s">
        <v>92</v>
      </c>
      <c r="BN168" s="29" t="s">
        <v>92</v>
      </c>
      <c r="BO168" s="29" t="s">
        <v>92</v>
      </c>
      <c r="BP168" s="29" t="s">
        <v>92</v>
      </c>
      <c r="BQ168" s="29" t="s">
        <v>92</v>
      </c>
      <c r="BR168" s="29" t="s">
        <v>92</v>
      </c>
      <c r="BS168" s="29" t="s">
        <v>92</v>
      </c>
      <c r="BT168" s="29" t="s">
        <v>92</v>
      </c>
      <c r="BU168" s="29" t="s">
        <v>92</v>
      </c>
      <c r="BV168" s="29" t="s">
        <v>92</v>
      </c>
      <c r="BW168" s="29" t="s">
        <v>92</v>
      </c>
      <c r="BX168" s="29" t="s">
        <v>92</v>
      </c>
      <c r="BY168" s="29" t="s">
        <v>92</v>
      </c>
      <c r="BZ168" s="29" t="s">
        <v>92</v>
      </c>
      <c r="CA168" s="29" t="s">
        <v>92</v>
      </c>
      <c r="CB168" s="29" t="s">
        <v>92</v>
      </c>
      <c r="CC168" s="29" t="s">
        <v>92</v>
      </c>
      <c r="CD168" s="29" t="s">
        <v>92</v>
      </c>
      <c r="CF168" s="29" t="s">
        <v>196</v>
      </c>
    </row>
    <row r="169" spans="1:85" s="3" customFormat="1" x14ac:dyDescent="0.15">
      <c r="A169" s="3" t="s">
        <v>195</v>
      </c>
      <c r="B169" s="3" t="s">
        <v>124</v>
      </c>
      <c r="C169" s="3" t="s">
        <v>92</v>
      </c>
      <c r="D169" s="3" t="s">
        <v>92</v>
      </c>
      <c r="E169" s="3" t="s">
        <v>93</v>
      </c>
      <c r="F169" s="3">
        <v>0.25</v>
      </c>
      <c r="G169" s="3" t="s">
        <v>92</v>
      </c>
      <c r="H169" s="3">
        <v>400</v>
      </c>
      <c r="I169" s="3" t="s">
        <v>92</v>
      </c>
      <c r="J169" s="3" t="s">
        <v>179</v>
      </c>
      <c r="M169" s="3" t="s">
        <v>92</v>
      </c>
      <c r="N169" s="3" t="s">
        <v>92</v>
      </c>
      <c r="O169" s="3" t="s">
        <v>92</v>
      </c>
      <c r="S169" s="56">
        <v>7.72</v>
      </c>
      <c r="W169" s="56">
        <v>69.3</v>
      </c>
      <c r="AA169" s="56">
        <v>0.18</v>
      </c>
      <c r="AE169" s="56">
        <v>2.14</v>
      </c>
      <c r="AI169" s="56">
        <v>48.9</v>
      </c>
      <c r="AM169" s="56">
        <v>4.95</v>
      </c>
      <c r="AQ169" s="56">
        <v>0.21</v>
      </c>
      <c r="AU169" s="56">
        <v>45.76</v>
      </c>
      <c r="AV169" s="56">
        <v>18.98</v>
      </c>
      <c r="AZ169" s="3">
        <f t="shared" si="16"/>
        <v>77</v>
      </c>
      <c r="BA169" s="3">
        <f t="shared" si="13"/>
        <v>23</v>
      </c>
      <c r="BB169" s="3">
        <f>45.5-37.2</f>
        <v>8.2999999999999972</v>
      </c>
      <c r="BC169" s="3">
        <f>100-45.5</f>
        <v>54.5</v>
      </c>
      <c r="BD169" s="3">
        <v>14.2</v>
      </c>
      <c r="BE169" s="3" t="s">
        <v>101</v>
      </c>
      <c r="BF169" s="3">
        <f t="shared" si="14"/>
        <v>31.299999999999997</v>
      </c>
      <c r="BH169" s="3" t="s">
        <v>92</v>
      </c>
      <c r="BI169" s="3" t="s">
        <v>92</v>
      </c>
      <c r="BJ169" s="3" t="s">
        <v>92</v>
      </c>
      <c r="BK169" s="3" t="s">
        <v>92</v>
      </c>
      <c r="BL169" s="3" t="s">
        <v>92</v>
      </c>
      <c r="BM169" s="3" t="s">
        <v>92</v>
      </c>
      <c r="BN169" s="3" t="s">
        <v>92</v>
      </c>
      <c r="BO169" s="3" t="s">
        <v>92</v>
      </c>
      <c r="BP169" s="3" t="s">
        <v>92</v>
      </c>
      <c r="BQ169" s="3" t="s">
        <v>92</v>
      </c>
      <c r="BR169" s="3" t="s">
        <v>92</v>
      </c>
      <c r="BS169" s="3" t="s">
        <v>92</v>
      </c>
      <c r="BT169" s="3" t="s">
        <v>92</v>
      </c>
      <c r="BU169" s="3" t="s">
        <v>92</v>
      </c>
      <c r="BV169" s="3" t="s">
        <v>92</v>
      </c>
      <c r="BW169" s="3" t="s">
        <v>92</v>
      </c>
      <c r="BX169" s="3" t="s">
        <v>92</v>
      </c>
      <c r="BY169" s="3" t="s">
        <v>92</v>
      </c>
      <c r="BZ169" s="3" t="s">
        <v>92</v>
      </c>
      <c r="CA169" s="3" t="s">
        <v>92</v>
      </c>
      <c r="CB169" s="3" t="s">
        <v>92</v>
      </c>
      <c r="CC169" s="3" t="s">
        <v>92</v>
      </c>
      <c r="CD169" s="3" t="s">
        <v>92</v>
      </c>
      <c r="CF169" s="3" t="s">
        <v>196</v>
      </c>
    </row>
    <row r="170" spans="1:85" s="3" customFormat="1" x14ac:dyDescent="0.15">
      <c r="A170" s="3" t="s">
        <v>195</v>
      </c>
      <c r="B170" s="3" t="s">
        <v>124</v>
      </c>
      <c r="C170" s="3" t="s">
        <v>92</v>
      </c>
      <c r="D170" s="3" t="s">
        <v>92</v>
      </c>
      <c r="E170" s="3" t="s">
        <v>93</v>
      </c>
      <c r="F170" s="3">
        <v>0.25</v>
      </c>
      <c r="G170" s="3" t="s">
        <v>92</v>
      </c>
      <c r="H170" s="3">
        <v>500</v>
      </c>
      <c r="I170" s="3" t="s">
        <v>92</v>
      </c>
      <c r="J170" s="3" t="s">
        <v>179</v>
      </c>
      <c r="M170" s="3" t="s">
        <v>92</v>
      </c>
      <c r="N170" s="3" t="s">
        <v>92</v>
      </c>
      <c r="O170" s="3" t="s">
        <v>92</v>
      </c>
      <c r="S170" s="56">
        <v>7.72</v>
      </c>
      <c r="W170" s="56">
        <v>69.3</v>
      </c>
      <c r="AA170" s="56">
        <v>0.18</v>
      </c>
      <c r="AE170" s="56">
        <v>2.14</v>
      </c>
      <c r="AI170" s="56">
        <v>48.9</v>
      </c>
      <c r="AM170" s="56">
        <v>4.95</v>
      </c>
      <c r="AQ170" s="56">
        <v>0.21</v>
      </c>
      <c r="AU170" s="56">
        <v>45.76</v>
      </c>
      <c r="AV170" s="56">
        <v>18.98</v>
      </c>
      <c r="AZ170" s="3">
        <f t="shared" si="16"/>
        <v>73.900000000000006</v>
      </c>
      <c r="BA170" s="3">
        <f t="shared" si="13"/>
        <v>26.099999999999994</v>
      </c>
      <c r="BB170" s="3">
        <f>53.8-44.7</f>
        <v>9.0999999999999943</v>
      </c>
      <c r="BC170" s="3">
        <f>100-53.8</f>
        <v>46.2</v>
      </c>
      <c r="BD170" s="3">
        <v>18.600000000000001</v>
      </c>
      <c r="BE170" s="3" t="s">
        <v>101</v>
      </c>
      <c r="BF170" s="3">
        <f t="shared" si="14"/>
        <v>35.199999999999989</v>
      </c>
      <c r="BH170" s="3" t="s">
        <v>92</v>
      </c>
      <c r="BI170" s="3" t="s">
        <v>92</v>
      </c>
      <c r="BJ170" s="3" t="s">
        <v>92</v>
      </c>
      <c r="BK170" s="3">
        <f>51.61*BB170/100</f>
        <v>4.6965099999999973</v>
      </c>
      <c r="BL170" s="3">
        <f>9.32*BB170/100</f>
        <v>0.84811999999999954</v>
      </c>
      <c r="BM170" s="3" t="s">
        <v>92</v>
      </c>
      <c r="BN170" s="3">
        <f>14.12*BB170/100</f>
        <v>1.284919999999999</v>
      </c>
      <c r="BO170" s="3" t="s">
        <v>92</v>
      </c>
      <c r="BP170" s="3">
        <f>1.76*BB170/100</f>
        <v>0.16015999999999991</v>
      </c>
      <c r="BQ170" s="3" t="s">
        <v>92</v>
      </c>
      <c r="BR170" s="3">
        <f>1.23*BB170/100</f>
        <v>0.11192999999999992</v>
      </c>
      <c r="BS170" s="3" t="s">
        <v>92</v>
      </c>
      <c r="BT170" s="3" t="s">
        <v>92</v>
      </c>
      <c r="BU170" s="3" t="s">
        <v>92</v>
      </c>
      <c r="BV170" s="3">
        <f>3.16*BB170/100</f>
        <v>0.28755999999999982</v>
      </c>
      <c r="BW170" s="3" t="s">
        <v>92</v>
      </c>
      <c r="BX170" s="3" t="s">
        <v>92</v>
      </c>
      <c r="BY170" s="3" t="s">
        <v>92</v>
      </c>
      <c r="BZ170" s="3" t="s">
        <v>92</v>
      </c>
      <c r="CA170" s="3" t="s">
        <v>92</v>
      </c>
      <c r="CB170" s="3" t="s">
        <v>92</v>
      </c>
      <c r="CC170" s="3" t="s">
        <v>92</v>
      </c>
      <c r="CD170" s="3" t="s">
        <v>92</v>
      </c>
      <c r="CF170" s="3" t="s">
        <v>196</v>
      </c>
    </row>
    <row r="171" spans="1:85" s="3" customFormat="1" x14ac:dyDescent="0.15">
      <c r="A171" s="3" t="s">
        <v>195</v>
      </c>
      <c r="B171" s="3" t="s">
        <v>124</v>
      </c>
      <c r="C171" s="3" t="s">
        <v>92</v>
      </c>
      <c r="D171" s="3" t="s">
        <v>92</v>
      </c>
      <c r="E171" s="3" t="s">
        <v>93</v>
      </c>
      <c r="F171" s="3">
        <v>0.25</v>
      </c>
      <c r="G171" s="3" t="s">
        <v>92</v>
      </c>
      <c r="H171" s="3">
        <v>600</v>
      </c>
      <c r="I171" s="3" t="s">
        <v>92</v>
      </c>
      <c r="J171" s="3" t="s">
        <v>179</v>
      </c>
      <c r="M171" s="3" t="s">
        <v>92</v>
      </c>
      <c r="N171" s="3" t="s">
        <v>92</v>
      </c>
      <c r="O171" s="3" t="s">
        <v>92</v>
      </c>
      <c r="S171" s="56">
        <v>7.72</v>
      </c>
      <c r="W171" s="56">
        <v>69.3</v>
      </c>
      <c r="AA171" s="56">
        <v>0.18</v>
      </c>
      <c r="AE171" s="56">
        <v>2.14</v>
      </c>
      <c r="AI171" s="56">
        <v>48.9</v>
      </c>
      <c r="AM171" s="56">
        <v>4.95</v>
      </c>
      <c r="AQ171" s="56">
        <v>0.21</v>
      </c>
      <c r="AU171" s="56">
        <v>45.76</v>
      </c>
      <c r="AV171" s="56">
        <v>18.98</v>
      </c>
      <c r="AZ171" s="3">
        <f t="shared" si="16"/>
        <v>75</v>
      </c>
      <c r="BA171" s="3">
        <f t="shared" si="13"/>
        <v>25</v>
      </c>
      <c r="BB171" s="3">
        <f>57.3-47.8</f>
        <v>9.5</v>
      </c>
      <c r="BC171" s="3">
        <f>100-57.3</f>
        <v>42.7</v>
      </c>
      <c r="BD171" s="3">
        <v>22.8</v>
      </c>
      <c r="BE171" s="3" t="s">
        <v>101</v>
      </c>
      <c r="BF171" s="3">
        <f t="shared" si="14"/>
        <v>34.5</v>
      </c>
      <c r="BH171" s="3" t="s">
        <v>92</v>
      </c>
      <c r="BI171" s="3" t="s">
        <v>92</v>
      </c>
      <c r="BJ171" s="3" t="s">
        <v>92</v>
      </c>
      <c r="BK171" s="3" t="s">
        <v>92</v>
      </c>
      <c r="BL171" s="3" t="s">
        <v>92</v>
      </c>
      <c r="BM171" s="3" t="s">
        <v>92</v>
      </c>
      <c r="BN171" s="3" t="s">
        <v>92</v>
      </c>
      <c r="BO171" s="3" t="s">
        <v>92</v>
      </c>
      <c r="BP171" s="3" t="s">
        <v>92</v>
      </c>
      <c r="BQ171" s="3" t="s">
        <v>92</v>
      </c>
      <c r="BR171" s="3" t="s">
        <v>92</v>
      </c>
      <c r="BS171" s="3" t="s">
        <v>92</v>
      </c>
      <c r="BT171" s="3" t="s">
        <v>92</v>
      </c>
      <c r="BU171" s="3" t="s">
        <v>92</v>
      </c>
      <c r="BV171" s="3" t="s">
        <v>92</v>
      </c>
      <c r="BW171" s="3" t="s">
        <v>92</v>
      </c>
      <c r="BX171" s="3" t="s">
        <v>92</v>
      </c>
      <c r="BY171" s="3" t="s">
        <v>92</v>
      </c>
      <c r="BZ171" s="3" t="s">
        <v>92</v>
      </c>
      <c r="CA171" s="3" t="s">
        <v>92</v>
      </c>
      <c r="CB171" s="3" t="s">
        <v>92</v>
      </c>
      <c r="CC171" s="3" t="s">
        <v>92</v>
      </c>
      <c r="CD171" s="3" t="s">
        <v>92</v>
      </c>
      <c r="CF171" s="3" t="s">
        <v>196</v>
      </c>
    </row>
    <row r="172" spans="1:85" s="3" customFormat="1" x14ac:dyDescent="0.15">
      <c r="A172" s="3" t="s">
        <v>195</v>
      </c>
      <c r="B172" s="3" t="s">
        <v>115</v>
      </c>
      <c r="C172" s="3" t="s">
        <v>92</v>
      </c>
      <c r="D172" s="3" t="s">
        <v>92</v>
      </c>
      <c r="E172" s="3" t="s">
        <v>93</v>
      </c>
      <c r="F172" s="3">
        <v>0.25</v>
      </c>
      <c r="G172" s="3" t="s">
        <v>92</v>
      </c>
      <c r="H172" s="3">
        <v>300</v>
      </c>
      <c r="I172" s="3" t="s">
        <v>92</v>
      </c>
      <c r="J172" s="3" t="s">
        <v>179</v>
      </c>
      <c r="M172" s="3" t="s">
        <v>92</v>
      </c>
      <c r="N172" s="3" t="s">
        <v>92</v>
      </c>
      <c r="O172" s="3" t="s">
        <v>92</v>
      </c>
      <c r="S172" s="56">
        <v>7.72</v>
      </c>
      <c r="W172" s="56">
        <v>69.3</v>
      </c>
      <c r="AA172" s="56">
        <v>0.18</v>
      </c>
      <c r="AE172" s="56">
        <v>2.14</v>
      </c>
      <c r="AI172" s="56">
        <v>48.9</v>
      </c>
      <c r="AM172" s="56">
        <v>4.95</v>
      </c>
      <c r="AQ172" s="56">
        <v>0.21</v>
      </c>
      <c r="AU172" s="56">
        <v>45.76</v>
      </c>
      <c r="AV172" s="56">
        <v>18.98</v>
      </c>
      <c r="AZ172" s="3">
        <f t="shared" si="16"/>
        <v>83.39</v>
      </c>
      <c r="BA172" s="3">
        <f t="shared" si="13"/>
        <v>16.61</v>
      </c>
      <c r="BB172" s="3">
        <f>28.9-26.5</f>
        <v>2.3999999999999986</v>
      </c>
      <c r="BC172" s="3">
        <f>100-28.9</f>
        <v>71.099999999999994</v>
      </c>
      <c r="BD172" s="3">
        <v>9.89</v>
      </c>
      <c r="BE172" s="3" t="s">
        <v>101</v>
      </c>
      <c r="BF172" s="3">
        <f t="shared" si="14"/>
        <v>19.009999999999998</v>
      </c>
      <c r="BH172" s="3" t="s">
        <v>92</v>
      </c>
      <c r="BI172" s="3" t="s">
        <v>92</v>
      </c>
      <c r="BJ172" s="3" t="s">
        <v>92</v>
      </c>
      <c r="BK172" s="3" t="s">
        <v>92</v>
      </c>
      <c r="BL172" s="3" t="s">
        <v>92</v>
      </c>
      <c r="BM172" s="3" t="s">
        <v>92</v>
      </c>
      <c r="BN172" s="3" t="s">
        <v>92</v>
      </c>
      <c r="BO172" s="3" t="s">
        <v>92</v>
      </c>
      <c r="BP172" s="3" t="s">
        <v>92</v>
      </c>
      <c r="BQ172" s="3" t="s">
        <v>92</v>
      </c>
      <c r="BR172" s="3" t="s">
        <v>92</v>
      </c>
      <c r="BS172" s="3" t="s">
        <v>92</v>
      </c>
      <c r="BT172" s="3" t="s">
        <v>92</v>
      </c>
      <c r="BU172" s="3" t="s">
        <v>92</v>
      </c>
      <c r="BV172" s="3" t="s">
        <v>92</v>
      </c>
      <c r="BW172" s="3" t="s">
        <v>92</v>
      </c>
      <c r="BX172" s="3" t="s">
        <v>92</v>
      </c>
      <c r="BY172" s="3" t="s">
        <v>92</v>
      </c>
      <c r="BZ172" s="3" t="s">
        <v>92</v>
      </c>
      <c r="CA172" s="3" t="s">
        <v>92</v>
      </c>
      <c r="CB172" s="3" t="s">
        <v>92</v>
      </c>
      <c r="CC172" s="3" t="s">
        <v>92</v>
      </c>
      <c r="CD172" s="3" t="s">
        <v>92</v>
      </c>
      <c r="CF172" s="3" t="s">
        <v>196</v>
      </c>
    </row>
    <row r="173" spans="1:85" s="3" customFormat="1" x14ac:dyDescent="0.15">
      <c r="A173" s="3" t="s">
        <v>195</v>
      </c>
      <c r="B173" s="3" t="s">
        <v>115</v>
      </c>
      <c r="C173" s="3" t="s">
        <v>92</v>
      </c>
      <c r="D173" s="3" t="s">
        <v>92</v>
      </c>
      <c r="E173" s="3" t="s">
        <v>93</v>
      </c>
      <c r="F173" s="3">
        <v>0.25</v>
      </c>
      <c r="G173" s="3" t="s">
        <v>92</v>
      </c>
      <c r="H173" s="3">
        <v>400</v>
      </c>
      <c r="I173" s="3" t="s">
        <v>92</v>
      </c>
      <c r="J173" s="3" t="s">
        <v>179</v>
      </c>
      <c r="M173" s="3" t="s">
        <v>92</v>
      </c>
      <c r="N173" s="3" t="s">
        <v>92</v>
      </c>
      <c r="O173" s="3" t="s">
        <v>92</v>
      </c>
      <c r="S173" s="56">
        <v>7.72</v>
      </c>
      <c r="W173" s="56">
        <v>69.3</v>
      </c>
      <c r="AA173" s="56">
        <v>0.18</v>
      </c>
      <c r="AE173" s="56">
        <v>2.14</v>
      </c>
      <c r="AI173" s="56">
        <v>48.9</v>
      </c>
      <c r="AM173" s="56">
        <v>4.95</v>
      </c>
      <c r="AQ173" s="56">
        <v>0.21</v>
      </c>
      <c r="AU173" s="56">
        <v>45.76</v>
      </c>
      <c r="AV173" s="56">
        <v>18.98</v>
      </c>
      <c r="AZ173" s="3">
        <f t="shared" si="16"/>
        <v>82.1</v>
      </c>
      <c r="BA173" s="3">
        <f t="shared" si="13"/>
        <v>17.900000000000006</v>
      </c>
      <c r="BB173" s="3">
        <f>47.85-33.5</f>
        <v>14.350000000000001</v>
      </c>
      <c r="BC173" s="3">
        <f>100-47.85</f>
        <v>52.15</v>
      </c>
      <c r="BD173" s="3">
        <v>15.6</v>
      </c>
      <c r="BE173" s="3" t="s">
        <v>101</v>
      </c>
      <c r="BF173" s="3">
        <f t="shared" si="14"/>
        <v>32.250000000000007</v>
      </c>
      <c r="BH173" s="3" t="s">
        <v>92</v>
      </c>
      <c r="BI173" s="3" t="s">
        <v>92</v>
      </c>
      <c r="BJ173" s="3" t="s">
        <v>92</v>
      </c>
      <c r="BK173" s="3" t="s">
        <v>92</v>
      </c>
      <c r="BL173" s="3" t="s">
        <v>92</v>
      </c>
      <c r="BM173" s="3" t="s">
        <v>92</v>
      </c>
      <c r="BN173" s="3" t="s">
        <v>92</v>
      </c>
      <c r="BO173" s="3" t="s">
        <v>92</v>
      </c>
      <c r="BP173" s="3" t="s">
        <v>92</v>
      </c>
      <c r="BQ173" s="3" t="s">
        <v>92</v>
      </c>
      <c r="BR173" s="3" t="s">
        <v>92</v>
      </c>
      <c r="BS173" s="3" t="s">
        <v>92</v>
      </c>
      <c r="BT173" s="3" t="s">
        <v>92</v>
      </c>
      <c r="BU173" s="3" t="s">
        <v>92</v>
      </c>
      <c r="BV173" s="3" t="s">
        <v>92</v>
      </c>
      <c r="BW173" s="3" t="s">
        <v>92</v>
      </c>
      <c r="BX173" s="3" t="s">
        <v>92</v>
      </c>
      <c r="BY173" s="3" t="s">
        <v>92</v>
      </c>
      <c r="BZ173" s="3" t="s">
        <v>92</v>
      </c>
      <c r="CA173" s="3" t="s">
        <v>92</v>
      </c>
      <c r="CB173" s="3" t="s">
        <v>92</v>
      </c>
      <c r="CC173" s="3" t="s">
        <v>92</v>
      </c>
      <c r="CD173" s="3" t="s">
        <v>92</v>
      </c>
      <c r="CF173" s="16" t="s">
        <v>196</v>
      </c>
    </row>
    <row r="174" spans="1:85" s="3" customFormat="1" x14ac:dyDescent="0.15">
      <c r="A174" s="3" t="s">
        <v>195</v>
      </c>
      <c r="B174" s="3" t="s">
        <v>115</v>
      </c>
      <c r="C174" s="3" t="s">
        <v>92</v>
      </c>
      <c r="D174" s="3" t="s">
        <v>92</v>
      </c>
      <c r="E174" s="3" t="s">
        <v>93</v>
      </c>
      <c r="F174" s="3">
        <v>0.25</v>
      </c>
      <c r="G174" s="3" t="s">
        <v>92</v>
      </c>
      <c r="H174" s="3">
        <v>500</v>
      </c>
      <c r="I174" s="3" t="s">
        <v>92</v>
      </c>
      <c r="J174" s="3" t="s">
        <v>179</v>
      </c>
      <c r="M174" s="3" t="s">
        <v>92</v>
      </c>
      <c r="N174" s="3" t="s">
        <v>92</v>
      </c>
      <c r="O174" s="3" t="s">
        <v>92</v>
      </c>
      <c r="S174" s="56">
        <v>7.72</v>
      </c>
      <c r="W174" s="56">
        <v>69.3</v>
      </c>
      <c r="AA174" s="56">
        <v>0.18</v>
      </c>
      <c r="AE174" s="56">
        <v>2.14</v>
      </c>
      <c r="AI174" s="56">
        <v>48.9</v>
      </c>
      <c r="AM174" s="56">
        <v>4.95</v>
      </c>
      <c r="AQ174" s="56">
        <v>0.21</v>
      </c>
      <c r="AU174" s="56">
        <v>45.76</v>
      </c>
      <c r="AV174" s="56">
        <v>18.98</v>
      </c>
      <c r="AZ174" s="3">
        <f t="shared" si="16"/>
        <v>74.569999999999993</v>
      </c>
      <c r="BA174" s="3">
        <f t="shared" si="13"/>
        <v>25.430000000000007</v>
      </c>
      <c r="BB174" s="3">
        <f>55.9-44.2</f>
        <v>11.699999999999996</v>
      </c>
      <c r="BC174" s="3">
        <f>100-55.9</f>
        <v>44.1</v>
      </c>
      <c r="BD174" s="3">
        <v>18.77</v>
      </c>
      <c r="BE174" s="3" t="s">
        <v>101</v>
      </c>
      <c r="BF174" s="3">
        <f t="shared" si="14"/>
        <v>37.130000000000003</v>
      </c>
      <c r="BH174" s="3" t="s">
        <v>92</v>
      </c>
      <c r="BI174" s="3" t="s">
        <v>92</v>
      </c>
      <c r="BJ174" s="3" t="s">
        <v>92</v>
      </c>
      <c r="BK174" s="3">
        <f>50*BB174/100</f>
        <v>5.8499999999999979</v>
      </c>
      <c r="BL174" s="3">
        <f>9.55*BB174/100</f>
        <v>1.1173499999999996</v>
      </c>
      <c r="BM174" s="3" t="s">
        <v>92</v>
      </c>
      <c r="BN174" s="3">
        <f>13.03*BB174/100</f>
        <v>1.5245099999999994</v>
      </c>
      <c r="BO174" s="3" t="s">
        <v>92</v>
      </c>
      <c r="BP174" s="3">
        <f>2.85*BB174/100</f>
        <v>0.33344999999999991</v>
      </c>
      <c r="BQ174" s="3" t="s">
        <v>92</v>
      </c>
      <c r="BR174" s="3">
        <f>0.71*BB174/100</f>
        <v>8.3069999999999963E-2</v>
      </c>
      <c r="BS174" s="3" t="s">
        <v>92</v>
      </c>
      <c r="BT174" s="3" t="s">
        <v>92</v>
      </c>
      <c r="BU174" s="3" t="s">
        <v>92</v>
      </c>
      <c r="BV174" s="3">
        <f>3.71*BB174/100</f>
        <v>0.43406999999999984</v>
      </c>
      <c r="BW174" s="3" t="s">
        <v>92</v>
      </c>
      <c r="BX174" s="3" t="s">
        <v>92</v>
      </c>
      <c r="BY174" s="3" t="s">
        <v>92</v>
      </c>
      <c r="BZ174" s="3" t="s">
        <v>92</v>
      </c>
      <c r="CA174" s="3" t="s">
        <v>92</v>
      </c>
      <c r="CB174" s="3" t="s">
        <v>92</v>
      </c>
      <c r="CC174" s="3" t="s">
        <v>92</v>
      </c>
      <c r="CD174" s="3" t="s">
        <v>92</v>
      </c>
      <c r="CF174" s="3" t="s">
        <v>196</v>
      </c>
    </row>
    <row r="175" spans="1:85" s="3" customFormat="1" x14ac:dyDescent="0.15">
      <c r="A175" s="3" t="s">
        <v>195</v>
      </c>
      <c r="B175" s="3" t="s">
        <v>115</v>
      </c>
      <c r="C175" s="3" t="s">
        <v>92</v>
      </c>
      <c r="D175" s="3" t="s">
        <v>92</v>
      </c>
      <c r="E175" s="3" t="s">
        <v>93</v>
      </c>
      <c r="F175" s="3">
        <v>0.25</v>
      </c>
      <c r="G175" s="3" t="s">
        <v>92</v>
      </c>
      <c r="H175" s="3">
        <v>600</v>
      </c>
      <c r="I175" s="3" t="s">
        <v>92</v>
      </c>
      <c r="J175" s="3" t="s">
        <v>179</v>
      </c>
      <c r="M175" s="3" t="s">
        <v>92</v>
      </c>
      <c r="N175" s="3" t="s">
        <v>92</v>
      </c>
      <c r="O175" s="3" t="s">
        <v>92</v>
      </c>
      <c r="S175" s="56">
        <v>7.72</v>
      </c>
      <c r="W175" s="56">
        <v>69.3</v>
      </c>
      <c r="AA175" s="56">
        <v>0.18</v>
      </c>
      <c r="AE175" s="56">
        <v>2.14</v>
      </c>
      <c r="AI175" s="56">
        <v>48.9</v>
      </c>
      <c r="AM175" s="56">
        <v>4.95</v>
      </c>
      <c r="AQ175" s="56">
        <v>0.21</v>
      </c>
      <c r="AU175" s="56">
        <v>45.76</v>
      </c>
      <c r="AV175" s="56">
        <v>18.98</v>
      </c>
      <c r="AZ175" s="3">
        <f t="shared" si="16"/>
        <v>74.8</v>
      </c>
      <c r="BA175" s="3">
        <f t="shared" si="13"/>
        <v>25.200000000000003</v>
      </c>
      <c r="BB175" s="3">
        <f>59.9-47.9</f>
        <v>12</v>
      </c>
      <c r="BC175" s="3">
        <f>100-59.9</f>
        <v>40.1</v>
      </c>
      <c r="BD175" s="3">
        <v>22.7</v>
      </c>
      <c r="BE175" s="3" t="s">
        <v>101</v>
      </c>
      <c r="BF175" s="3">
        <f t="shared" si="14"/>
        <v>37.200000000000003</v>
      </c>
      <c r="BH175" s="3" t="s">
        <v>92</v>
      </c>
      <c r="BI175" s="3" t="s">
        <v>92</v>
      </c>
      <c r="BJ175" s="3" t="s">
        <v>92</v>
      </c>
      <c r="BK175" s="3" t="s">
        <v>92</v>
      </c>
      <c r="BL175" s="3" t="s">
        <v>92</v>
      </c>
      <c r="BM175" s="3" t="s">
        <v>92</v>
      </c>
      <c r="BN175" s="3" t="s">
        <v>92</v>
      </c>
      <c r="BO175" s="3" t="s">
        <v>92</v>
      </c>
      <c r="BP175" s="3" t="s">
        <v>92</v>
      </c>
      <c r="BQ175" s="3" t="s">
        <v>92</v>
      </c>
      <c r="BR175" s="3" t="s">
        <v>92</v>
      </c>
      <c r="BS175" s="3" t="s">
        <v>92</v>
      </c>
      <c r="BT175" s="3" t="s">
        <v>92</v>
      </c>
      <c r="BU175" s="3" t="s">
        <v>92</v>
      </c>
      <c r="BV175" s="3" t="s">
        <v>92</v>
      </c>
      <c r="BW175" s="3" t="s">
        <v>92</v>
      </c>
      <c r="BX175" s="3" t="s">
        <v>92</v>
      </c>
      <c r="BY175" s="3" t="s">
        <v>92</v>
      </c>
      <c r="BZ175" s="3" t="s">
        <v>92</v>
      </c>
      <c r="CA175" s="3" t="s">
        <v>92</v>
      </c>
      <c r="CB175" s="3" t="s">
        <v>92</v>
      </c>
      <c r="CC175" s="3" t="s">
        <v>92</v>
      </c>
      <c r="CD175" s="3" t="s">
        <v>92</v>
      </c>
      <c r="CF175" s="16" t="s">
        <v>196</v>
      </c>
    </row>
    <row r="176" spans="1:85" s="29" customFormat="1" x14ac:dyDescent="0.15">
      <c r="A176" s="29" t="s">
        <v>197</v>
      </c>
      <c r="B176" s="29" t="s">
        <v>124</v>
      </c>
      <c r="C176" s="29" t="s">
        <v>92</v>
      </c>
      <c r="D176" s="29" t="s">
        <v>92</v>
      </c>
      <c r="E176" s="29" t="s">
        <v>105</v>
      </c>
      <c r="F176" s="29">
        <v>0.3</v>
      </c>
      <c r="G176" s="29" t="s">
        <v>92</v>
      </c>
      <c r="H176" s="29">
        <v>300</v>
      </c>
      <c r="I176" s="29" t="s">
        <v>92</v>
      </c>
      <c r="J176" s="29" t="s">
        <v>128</v>
      </c>
      <c r="M176" s="29" t="s">
        <v>92</v>
      </c>
      <c r="N176" s="29" t="s">
        <v>92</v>
      </c>
      <c r="O176" s="29" t="s">
        <v>92</v>
      </c>
      <c r="S176" s="56" t="s">
        <v>92</v>
      </c>
      <c r="W176" s="56" t="s">
        <v>92</v>
      </c>
      <c r="AA176" s="56" t="s">
        <v>92</v>
      </c>
      <c r="AE176" s="56">
        <v>0.37</v>
      </c>
      <c r="AI176" s="56">
        <v>47.4</v>
      </c>
      <c r="AM176" s="56">
        <v>6.1</v>
      </c>
      <c r="AQ176" s="56">
        <v>0.1</v>
      </c>
      <c r="AU176" s="56" t="s">
        <v>92</v>
      </c>
      <c r="AV176" s="56" t="s">
        <v>92</v>
      </c>
      <c r="AZ176" s="29">
        <f t="shared" si="16"/>
        <v>100</v>
      </c>
      <c r="BA176" s="29">
        <f t="shared" si="13"/>
        <v>0</v>
      </c>
      <c r="BB176" s="29">
        <v>25.8</v>
      </c>
      <c r="BC176" s="29">
        <v>64.900000000000006</v>
      </c>
      <c r="BD176" s="29">
        <v>9.3000000000000007</v>
      </c>
      <c r="BE176" s="29" t="s">
        <v>96</v>
      </c>
      <c r="BF176" s="29">
        <f t="shared" si="14"/>
        <v>25.8</v>
      </c>
      <c r="BH176" s="29" t="s">
        <v>92</v>
      </c>
      <c r="BI176" s="29" t="s">
        <v>92</v>
      </c>
      <c r="BJ176" s="29" t="s">
        <v>92</v>
      </c>
      <c r="BK176" s="29" t="s">
        <v>92</v>
      </c>
      <c r="BL176" s="29" t="s">
        <v>92</v>
      </c>
      <c r="BM176" s="29" t="s">
        <v>92</v>
      </c>
      <c r="BN176" s="29" t="s">
        <v>92</v>
      </c>
      <c r="BO176" s="29" t="s">
        <v>92</v>
      </c>
      <c r="BP176" s="29" t="s">
        <v>92</v>
      </c>
      <c r="BQ176" s="29" t="s">
        <v>92</v>
      </c>
      <c r="BR176" s="29" t="s">
        <v>92</v>
      </c>
      <c r="BS176" s="29" t="s">
        <v>92</v>
      </c>
      <c r="BT176" s="29" t="s">
        <v>92</v>
      </c>
      <c r="BU176" s="29" t="s">
        <v>92</v>
      </c>
      <c r="BV176" s="29" t="s">
        <v>92</v>
      </c>
      <c r="BW176" s="29" t="s">
        <v>92</v>
      </c>
      <c r="BX176" s="29" t="s">
        <v>92</v>
      </c>
      <c r="BY176" s="29" t="s">
        <v>92</v>
      </c>
      <c r="BZ176" s="29" t="s">
        <v>92</v>
      </c>
      <c r="CA176" s="29" t="s">
        <v>92</v>
      </c>
      <c r="CB176" s="29" t="s">
        <v>92</v>
      </c>
      <c r="CC176" s="29" t="s">
        <v>92</v>
      </c>
      <c r="CD176" s="29" t="s">
        <v>92</v>
      </c>
      <c r="CF176" s="29" t="s">
        <v>198</v>
      </c>
    </row>
    <row r="177" spans="1:85" s="3" customFormat="1" x14ac:dyDescent="0.15">
      <c r="A177" s="3" t="s">
        <v>197</v>
      </c>
      <c r="B177" s="3" t="s">
        <v>124</v>
      </c>
      <c r="C177" s="3" t="s">
        <v>92</v>
      </c>
      <c r="D177" s="3" t="s">
        <v>92</v>
      </c>
      <c r="E177" s="3" t="s">
        <v>105</v>
      </c>
      <c r="F177" s="3">
        <v>0.3</v>
      </c>
      <c r="G177" s="3" t="s">
        <v>92</v>
      </c>
      <c r="H177" s="3">
        <v>350</v>
      </c>
      <c r="I177" s="3" t="s">
        <v>92</v>
      </c>
      <c r="J177" s="3" t="s">
        <v>128</v>
      </c>
      <c r="M177" s="3" t="s">
        <v>92</v>
      </c>
      <c r="N177" s="3" t="s">
        <v>92</v>
      </c>
      <c r="O177" s="3" t="s">
        <v>92</v>
      </c>
      <c r="S177" s="56" t="s">
        <v>92</v>
      </c>
      <c r="W177" s="56" t="s">
        <v>92</v>
      </c>
      <c r="AA177" s="56" t="s">
        <v>92</v>
      </c>
      <c r="AE177" s="56">
        <v>0.37</v>
      </c>
      <c r="AI177" s="56">
        <v>47.4</v>
      </c>
      <c r="AM177" s="56">
        <v>6.1</v>
      </c>
      <c r="AQ177" s="56">
        <v>0.1</v>
      </c>
      <c r="AU177" s="56" t="s">
        <v>92</v>
      </c>
      <c r="AV177" s="56" t="s">
        <v>92</v>
      </c>
      <c r="AZ177" s="3">
        <f t="shared" si="16"/>
        <v>100</v>
      </c>
      <c r="BA177" s="3">
        <f t="shared" si="13"/>
        <v>0</v>
      </c>
      <c r="BB177" s="3">
        <v>50.6</v>
      </c>
      <c r="BC177" s="3">
        <v>34.9</v>
      </c>
      <c r="BD177" s="3">
        <v>14.5</v>
      </c>
      <c r="BE177" s="3" t="s">
        <v>96</v>
      </c>
      <c r="BF177" s="3">
        <f t="shared" si="14"/>
        <v>50.6</v>
      </c>
      <c r="BH177" s="3" t="s">
        <v>92</v>
      </c>
      <c r="BI177" s="3" t="s">
        <v>92</v>
      </c>
      <c r="BJ177" s="3" t="s">
        <v>92</v>
      </c>
      <c r="BK177" s="3" t="s">
        <v>92</v>
      </c>
      <c r="BL177" s="3" t="s">
        <v>92</v>
      </c>
      <c r="BM177" s="3" t="s">
        <v>92</v>
      </c>
      <c r="BN177" s="3" t="s">
        <v>92</v>
      </c>
      <c r="BO177" s="3" t="s">
        <v>92</v>
      </c>
      <c r="BP177" s="3" t="s">
        <v>92</v>
      </c>
      <c r="BQ177" s="3" t="s">
        <v>92</v>
      </c>
      <c r="BR177" s="3" t="s">
        <v>92</v>
      </c>
      <c r="BS177" s="3" t="s">
        <v>92</v>
      </c>
      <c r="BT177" s="3" t="s">
        <v>92</v>
      </c>
      <c r="BU177" s="3" t="s">
        <v>92</v>
      </c>
      <c r="BV177" s="3" t="s">
        <v>92</v>
      </c>
      <c r="BW177" s="3" t="s">
        <v>92</v>
      </c>
      <c r="BX177" s="3" t="s">
        <v>92</v>
      </c>
      <c r="BY177" s="3" t="s">
        <v>92</v>
      </c>
      <c r="BZ177" s="3" t="s">
        <v>92</v>
      </c>
      <c r="CA177" s="3" t="s">
        <v>92</v>
      </c>
      <c r="CB177" s="3" t="s">
        <v>92</v>
      </c>
      <c r="CC177" s="3" t="s">
        <v>92</v>
      </c>
      <c r="CD177" s="3" t="s">
        <v>92</v>
      </c>
      <c r="CF177" s="16" t="s">
        <v>198</v>
      </c>
    </row>
    <row r="178" spans="1:85" s="3" customFormat="1" x14ac:dyDescent="0.15">
      <c r="A178" s="3" t="s">
        <v>197</v>
      </c>
      <c r="B178" s="3" t="s">
        <v>124</v>
      </c>
      <c r="C178" s="3" t="s">
        <v>92</v>
      </c>
      <c r="D178" s="3" t="s">
        <v>92</v>
      </c>
      <c r="E178" s="3" t="s">
        <v>105</v>
      </c>
      <c r="F178" s="3">
        <v>0.3</v>
      </c>
      <c r="G178" s="3" t="s">
        <v>92</v>
      </c>
      <c r="H178" s="3">
        <v>400</v>
      </c>
      <c r="I178" s="3" t="s">
        <v>92</v>
      </c>
      <c r="J178" s="3" t="s">
        <v>128</v>
      </c>
      <c r="M178" s="3" t="s">
        <v>92</v>
      </c>
      <c r="N178" s="3" t="s">
        <v>92</v>
      </c>
      <c r="O178" s="3" t="s">
        <v>92</v>
      </c>
      <c r="S178" s="56" t="s">
        <v>92</v>
      </c>
      <c r="W178" s="56" t="s">
        <v>92</v>
      </c>
      <c r="AA178" s="56" t="s">
        <v>92</v>
      </c>
      <c r="AE178" s="56">
        <v>0.37</v>
      </c>
      <c r="AI178" s="56">
        <v>47.4</v>
      </c>
      <c r="AM178" s="56">
        <v>6.1</v>
      </c>
      <c r="AQ178" s="56">
        <v>0.1</v>
      </c>
      <c r="AU178" s="56" t="s">
        <v>92</v>
      </c>
      <c r="AV178" s="56" t="s">
        <v>92</v>
      </c>
      <c r="AZ178" s="3">
        <f t="shared" si="16"/>
        <v>100</v>
      </c>
      <c r="BA178" s="3">
        <f t="shared" si="13"/>
        <v>0</v>
      </c>
      <c r="BB178" s="3">
        <v>54</v>
      </c>
      <c r="BC178" s="3">
        <v>27.8</v>
      </c>
      <c r="BD178" s="3">
        <v>18.2</v>
      </c>
      <c r="BE178" s="3" t="s">
        <v>96</v>
      </c>
      <c r="BF178" s="3">
        <f t="shared" si="14"/>
        <v>54</v>
      </c>
      <c r="BH178" s="3" t="s">
        <v>92</v>
      </c>
      <c r="BI178" s="3" t="s">
        <v>92</v>
      </c>
      <c r="BJ178" s="3" t="s">
        <v>92</v>
      </c>
      <c r="BK178" s="3" t="s">
        <v>92</v>
      </c>
      <c r="BL178" s="3" t="s">
        <v>92</v>
      </c>
      <c r="BM178" s="3" t="s">
        <v>92</v>
      </c>
      <c r="BN178" s="3" t="s">
        <v>92</v>
      </c>
      <c r="BO178" s="3" t="s">
        <v>92</v>
      </c>
      <c r="BP178" s="3" t="s">
        <v>92</v>
      </c>
      <c r="BQ178" s="3" t="s">
        <v>92</v>
      </c>
      <c r="BR178" s="3" t="s">
        <v>92</v>
      </c>
      <c r="BS178" s="3" t="s">
        <v>92</v>
      </c>
      <c r="BT178" s="3" t="s">
        <v>92</v>
      </c>
      <c r="BU178" s="3" t="s">
        <v>92</v>
      </c>
      <c r="BV178" s="3" t="s">
        <v>92</v>
      </c>
      <c r="BW178" s="3" t="s">
        <v>92</v>
      </c>
      <c r="BX178" s="3" t="s">
        <v>92</v>
      </c>
      <c r="BY178" s="3" t="s">
        <v>92</v>
      </c>
      <c r="BZ178" s="3" t="s">
        <v>92</v>
      </c>
      <c r="CA178" s="3" t="s">
        <v>92</v>
      </c>
      <c r="CB178" s="3" t="s">
        <v>92</v>
      </c>
      <c r="CC178" s="3" t="s">
        <v>92</v>
      </c>
      <c r="CD178" s="3" t="s">
        <v>92</v>
      </c>
      <c r="CF178" s="16" t="s">
        <v>198</v>
      </c>
    </row>
    <row r="179" spans="1:85" s="3" customFormat="1" x14ac:dyDescent="0.15">
      <c r="A179" s="3" t="s">
        <v>197</v>
      </c>
      <c r="B179" s="3" t="s">
        <v>124</v>
      </c>
      <c r="C179" s="3" t="s">
        <v>92</v>
      </c>
      <c r="D179" s="3" t="s">
        <v>92</v>
      </c>
      <c r="E179" s="3" t="s">
        <v>105</v>
      </c>
      <c r="F179" s="3">
        <v>0.3</v>
      </c>
      <c r="G179" s="3" t="s">
        <v>92</v>
      </c>
      <c r="H179" s="3">
        <v>700</v>
      </c>
      <c r="I179" s="3" t="s">
        <v>92</v>
      </c>
      <c r="J179" s="3" t="s">
        <v>128</v>
      </c>
      <c r="M179" s="3" t="s">
        <v>92</v>
      </c>
      <c r="N179" s="3" t="s">
        <v>92</v>
      </c>
      <c r="O179" s="3" t="s">
        <v>92</v>
      </c>
      <c r="S179" s="56" t="s">
        <v>92</v>
      </c>
      <c r="W179" s="56" t="s">
        <v>92</v>
      </c>
      <c r="AA179" s="56" t="s">
        <v>92</v>
      </c>
      <c r="AE179" s="56">
        <v>0.37</v>
      </c>
      <c r="AI179" s="56">
        <v>47.4</v>
      </c>
      <c r="AM179" s="56">
        <v>6.1</v>
      </c>
      <c r="AQ179" s="56">
        <v>0.1</v>
      </c>
      <c r="AU179" s="56" t="s">
        <v>92</v>
      </c>
      <c r="AV179" s="56" t="s">
        <v>92</v>
      </c>
      <c r="AZ179" s="3">
        <f t="shared" si="16"/>
        <v>100</v>
      </c>
      <c r="BA179" s="3">
        <f t="shared" si="13"/>
        <v>0</v>
      </c>
      <c r="BB179" s="3">
        <v>57</v>
      </c>
      <c r="BC179" s="3">
        <v>19.600000000000001</v>
      </c>
      <c r="BD179" s="3">
        <v>23.4</v>
      </c>
      <c r="BE179" s="3" t="s">
        <v>96</v>
      </c>
      <c r="BF179" s="3">
        <f t="shared" si="14"/>
        <v>57</v>
      </c>
      <c r="BH179" s="11" t="s">
        <v>92</v>
      </c>
      <c r="BI179" s="3">
        <v>30.44</v>
      </c>
      <c r="BJ179" s="3" t="s">
        <v>92</v>
      </c>
      <c r="BK179" s="3">
        <v>25.6</v>
      </c>
      <c r="BL179" s="11">
        <v>19.3</v>
      </c>
      <c r="BM179" s="3">
        <v>13.86</v>
      </c>
      <c r="BN179" s="11">
        <v>3.056</v>
      </c>
      <c r="BO179" s="11">
        <v>8.23</v>
      </c>
      <c r="BP179" s="3" t="s">
        <v>92</v>
      </c>
      <c r="BQ179" s="3" t="s">
        <v>92</v>
      </c>
      <c r="BR179" s="3">
        <v>14.85</v>
      </c>
      <c r="BS179" s="3" t="s">
        <v>92</v>
      </c>
      <c r="BT179" s="3">
        <v>9.44</v>
      </c>
      <c r="BU179" s="3" t="s">
        <v>92</v>
      </c>
      <c r="BV179" s="3">
        <v>13.994999999999999</v>
      </c>
      <c r="BW179" s="3" t="s">
        <v>92</v>
      </c>
      <c r="BX179" s="3" t="s">
        <v>92</v>
      </c>
      <c r="BY179" s="3" t="s">
        <v>92</v>
      </c>
      <c r="BZ179" s="3" t="s">
        <v>92</v>
      </c>
      <c r="CA179" s="3" t="s">
        <v>92</v>
      </c>
      <c r="CB179" s="3" t="s">
        <v>92</v>
      </c>
      <c r="CC179" s="3" t="s">
        <v>92</v>
      </c>
      <c r="CD179" s="3" t="s">
        <v>92</v>
      </c>
      <c r="CF179" s="16" t="s">
        <v>198</v>
      </c>
    </row>
    <row r="180" spans="1:85" s="30" customFormat="1" x14ac:dyDescent="0.15">
      <c r="A180" s="30" t="s">
        <v>197</v>
      </c>
      <c r="B180" s="30" t="s">
        <v>91</v>
      </c>
      <c r="C180" s="30" t="s">
        <v>92</v>
      </c>
      <c r="D180" s="30" t="s">
        <v>92</v>
      </c>
      <c r="E180" s="30" t="s">
        <v>93</v>
      </c>
      <c r="F180" s="30" t="s">
        <v>92</v>
      </c>
      <c r="G180" s="29" t="s">
        <v>92</v>
      </c>
      <c r="H180" s="30">
        <v>260</v>
      </c>
      <c r="I180" s="30" t="s">
        <v>92</v>
      </c>
      <c r="J180" s="30">
        <v>1</v>
      </c>
      <c r="M180" s="30">
        <v>16.670000000000002</v>
      </c>
      <c r="N180" s="30" t="s">
        <v>92</v>
      </c>
      <c r="O180" s="30" t="s">
        <v>92</v>
      </c>
      <c r="S180" s="57">
        <v>8</v>
      </c>
      <c r="W180" s="57" t="s">
        <v>92</v>
      </c>
      <c r="AA180" s="57" t="s">
        <v>92</v>
      </c>
      <c r="AE180" s="57" t="s">
        <v>92</v>
      </c>
      <c r="AI180" s="57" t="s">
        <v>92</v>
      </c>
      <c r="AM180" s="57" t="s">
        <v>92</v>
      </c>
      <c r="AQ180" s="57" t="s">
        <v>92</v>
      </c>
      <c r="AU180" s="57" t="s">
        <v>92</v>
      </c>
      <c r="AV180" s="57" t="s">
        <v>92</v>
      </c>
      <c r="AZ180" s="30">
        <f>BA180+BB180+BC180+BD180</f>
        <v>96</v>
      </c>
      <c r="BA180" s="30">
        <v>1</v>
      </c>
      <c r="BB180" s="30">
        <v>4</v>
      </c>
      <c r="BC180" s="30">
        <v>88</v>
      </c>
      <c r="BD180" s="30">
        <v>3</v>
      </c>
      <c r="BE180" s="30" t="s">
        <v>101</v>
      </c>
      <c r="BF180" s="30">
        <f>BA180+BB180</f>
        <v>5</v>
      </c>
      <c r="BG180" s="29"/>
      <c r="BH180" s="30" t="s">
        <v>92</v>
      </c>
      <c r="BI180" s="30">
        <v>1</v>
      </c>
      <c r="BJ180" s="30">
        <v>0</v>
      </c>
      <c r="BK180" s="30">
        <v>0</v>
      </c>
      <c r="BL180" s="30">
        <v>0.1</v>
      </c>
      <c r="BM180" s="30" t="s">
        <v>92</v>
      </c>
      <c r="BN180" s="30" t="s">
        <v>92</v>
      </c>
      <c r="BO180" s="30" t="s">
        <v>92</v>
      </c>
      <c r="BP180" s="30" t="s">
        <v>92</v>
      </c>
      <c r="BQ180" s="30" t="s">
        <v>92</v>
      </c>
      <c r="BR180" s="30" t="s">
        <v>92</v>
      </c>
      <c r="BS180" s="30" t="s">
        <v>92</v>
      </c>
      <c r="BT180" s="30">
        <v>0.4</v>
      </c>
      <c r="BU180" s="30" t="s">
        <v>92</v>
      </c>
      <c r="BV180" s="30" t="s">
        <v>92</v>
      </c>
      <c r="BW180" s="30" t="s">
        <v>92</v>
      </c>
      <c r="BX180" s="30" t="s">
        <v>92</v>
      </c>
      <c r="BY180" s="30" t="s">
        <v>92</v>
      </c>
      <c r="BZ180" s="30" t="s">
        <v>92</v>
      </c>
      <c r="CA180" s="30" t="s">
        <v>92</v>
      </c>
      <c r="CB180" s="30" t="s">
        <v>92</v>
      </c>
      <c r="CC180" s="30" t="s">
        <v>92</v>
      </c>
      <c r="CD180" s="30" t="s">
        <v>92</v>
      </c>
      <c r="CF180" s="41" t="s">
        <v>199</v>
      </c>
    </row>
    <row r="181" spans="1:85" s="14" customFormat="1" x14ac:dyDescent="0.15">
      <c r="A181" s="14" t="s">
        <v>197</v>
      </c>
      <c r="B181" s="14" t="s">
        <v>91</v>
      </c>
      <c r="C181" s="14" t="s">
        <v>92</v>
      </c>
      <c r="D181" s="14" t="s">
        <v>92</v>
      </c>
      <c r="E181" s="14" t="s">
        <v>93</v>
      </c>
      <c r="F181" s="14" t="s">
        <v>92</v>
      </c>
      <c r="G181" s="3" t="s">
        <v>92</v>
      </c>
      <c r="H181" s="14">
        <v>290</v>
      </c>
      <c r="I181" s="14" t="s">
        <v>92</v>
      </c>
      <c r="J181" s="14">
        <v>1</v>
      </c>
      <c r="M181" s="14">
        <v>16.670000000000002</v>
      </c>
      <c r="N181" s="14" t="s">
        <v>92</v>
      </c>
      <c r="O181" s="14" t="s">
        <v>92</v>
      </c>
      <c r="S181" s="57">
        <v>8</v>
      </c>
      <c r="W181" s="57" t="s">
        <v>92</v>
      </c>
      <c r="AA181" s="57" t="s">
        <v>92</v>
      </c>
      <c r="AE181" s="57" t="s">
        <v>92</v>
      </c>
      <c r="AI181" s="57" t="s">
        <v>92</v>
      </c>
      <c r="AM181" s="57" t="s">
        <v>92</v>
      </c>
      <c r="AQ181" s="57" t="s">
        <v>92</v>
      </c>
      <c r="AU181" s="57" t="s">
        <v>92</v>
      </c>
      <c r="AV181" s="57" t="s">
        <v>92</v>
      </c>
      <c r="AZ181" s="14">
        <f t="shared" ref="AZ181:AZ187" si="18">BA181+BB181+BC181+BD181</f>
        <v>103</v>
      </c>
      <c r="BA181" s="14">
        <v>2</v>
      </c>
      <c r="BB181" s="14">
        <v>17</v>
      </c>
      <c r="BC181" s="14">
        <v>78</v>
      </c>
      <c r="BD181" s="14">
        <v>6</v>
      </c>
      <c r="BE181" s="14" t="s">
        <v>101</v>
      </c>
      <c r="BF181" s="14">
        <f t="shared" ref="BF181:BF187" si="19">BA181+BB181</f>
        <v>19</v>
      </c>
      <c r="BG181" s="3"/>
      <c r="BH181" s="14" t="s">
        <v>92</v>
      </c>
      <c r="BI181" s="14">
        <v>0.8</v>
      </c>
      <c r="BJ181" s="14">
        <v>0</v>
      </c>
      <c r="BK181" s="14">
        <v>0</v>
      </c>
      <c r="BL181" s="14">
        <v>0.2</v>
      </c>
      <c r="BM181" s="14" t="s">
        <v>92</v>
      </c>
      <c r="BN181" s="14" t="s">
        <v>92</v>
      </c>
      <c r="BO181" s="14" t="s">
        <v>92</v>
      </c>
      <c r="BP181" s="14" t="s">
        <v>92</v>
      </c>
      <c r="BQ181" s="14" t="s">
        <v>92</v>
      </c>
      <c r="BR181" s="14" t="s">
        <v>92</v>
      </c>
      <c r="BS181" s="14" t="s">
        <v>92</v>
      </c>
      <c r="BT181" s="14">
        <v>0.9</v>
      </c>
      <c r="BU181" s="14" t="s">
        <v>92</v>
      </c>
      <c r="BV181" s="14" t="s">
        <v>92</v>
      </c>
      <c r="BW181" s="14" t="s">
        <v>92</v>
      </c>
      <c r="BX181" s="14" t="s">
        <v>92</v>
      </c>
      <c r="BY181" s="14" t="s">
        <v>92</v>
      </c>
      <c r="BZ181" s="14" t="s">
        <v>92</v>
      </c>
      <c r="CA181" s="14" t="s">
        <v>92</v>
      </c>
      <c r="CB181" s="14" t="s">
        <v>92</v>
      </c>
      <c r="CC181" s="14" t="s">
        <v>92</v>
      </c>
      <c r="CD181" s="14" t="s">
        <v>92</v>
      </c>
      <c r="CF181" s="14" t="s">
        <v>199</v>
      </c>
    </row>
    <row r="182" spans="1:85" s="14" customFormat="1" x14ac:dyDescent="0.15">
      <c r="A182" s="14" t="s">
        <v>197</v>
      </c>
      <c r="B182" s="14" t="s">
        <v>91</v>
      </c>
      <c r="C182" s="14" t="s">
        <v>92</v>
      </c>
      <c r="D182" s="14" t="s">
        <v>92</v>
      </c>
      <c r="E182" s="14" t="s">
        <v>93</v>
      </c>
      <c r="F182" s="14" t="s">
        <v>92</v>
      </c>
      <c r="G182" s="3" t="s">
        <v>92</v>
      </c>
      <c r="H182" s="14">
        <v>310</v>
      </c>
      <c r="I182" s="14" t="s">
        <v>92</v>
      </c>
      <c r="J182" s="14">
        <v>1</v>
      </c>
      <c r="M182" s="14">
        <v>16.670000000000002</v>
      </c>
      <c r="N182" s="14" t="s">
        <v>92</v>
      </c>
      <c r="O182" s="14" t="s">
        <v>92</v>
      </c>
      <c r="S182" s="57">
        <v>8</v>
      </c>
      <c r="W182" s="57" t="s">
        <v>92</v>
      </c>
      <c r="AA182" s="57" t="s">
        <v>92</v>
      </c>
      <c r="AE182" s="57" t="s">
        <v>92</v>
      </c>
      <c r="AI182" s="57" t="s">
        <v>92</v>
      </c>
      <c r="AM182" s="57" t="s">
        <v>92</v>
      </c>
      <c r="AQ182" s="57" t="s">
        <v>92</v>
      </c>
      <c r="AU182" s="57" t="s">
        <v>92</v>
      </c>
      <c r="AV182" s="57" t="s">
        <v>92</v>
      </c>
      <c r="AZ182" s="14">
        <f t="shared" si="18"/>
        <v>102</v>
      </c>
      <c r="BA182" s="14">
        <v>5</v>
      </c>
      <c r="BB182" s="14">
        <v>33</v>
      </c>
      <c r="BC182" s="14">
        <v>56</v>
      </c>
      <c r="BD182" s="14">
        <v>8</v>
      </c>
      <c r="BE182" s="14" t="s">
        <v>101</v>
      </c>
      <c r="BF182" s="14">
        <f t="shared" si="19"/>
        <v>38</v>
      </c>
      <c r="BG182" s="3"/>
      <c r="BH182" s="19" t="s">
        <v>92</v>
      </c>
      <c r="BI182" s="14">
        <v>1.7</v>
      </c>
      <c r="BJ182" s="14">
        <v>0</v>
      </c>
      <c r="BK182" s="14">
        <v>0</v>
      </c>
      <c r="BL182" s="19">
        <v>0.9</v>
      </c>
      <c r="BM182" s="14" t="s">
        <v>92</v>
      </c>
      <c r="BN182" s="14" t="s">
        <v>92</v>
      </c>
      <c r="BO182" s="14" t="s">
        <v>92</v>
      </c>
      <c r="BP182" s="14" t="s">
        <v>92</v>
      </c>
      <c r="BQ182" s="14" t="s">
        <v>92</v>
      </c>
      <c r="BR182" s="14" t="s">
        <v>92</v>
      </c>
      <c r="BS182" s="14" t="s">
        <v>92</v>
      </c>
      <c r="BT182" s="14">
        <v>2.9</v>
      </c>
      <c r="BU182" s="14" t="s">
        <v>92</v>
      </c>
      <c r="BV182" s="14" t="s">
        <v>92</v>
      </c>
      <c r="BW182" s="14" t="s">
        <v>92</v>
      </c>
      <c r="BX182" s="14" t="s">
        <v>92</v>
      </c>
      <c r="BY182" s="14" t="s">
        <v>92</v>
      </c>
      <c r="BZ182" s="14" t="s">
        <v>92</v>
      </c>
      <c r="CA182" s="14" t="s">
        <v>92</v>
      </c>
      <c r="CB182" s="14" t="s">
        <v>92</v>
      </c>
      <c r="CC182" s="14" t="s">
        <v>92</v>
      </c>
      <c r="CD182" s="14" t="s">
        <v>92</v>
      </c>
      <c r="CF182" s="14" t="s">
        <v>199</v>
      </c>
    </row>
    <row r="183" spans="1:85" s="14" customFormat="1" x14ac:dyDescent="0.15">
      <c r="A183" s="14" t="s">
        <v>197</v>
      </c>
      <c r="B183" s="14" t="s">
        <v>91</v>
      </c>
      <c r="C183" s="14" t="s">
        <v>92</v>
      </c>
      <c r="D183" s="14" t="s">
        <v>92</v>
      </c>
      <c r="E183" s="14" t="s">
        <v>93</v>
      </c>
      <c r="F183" s="14" t="s">
        <v>92</v>
      </c>
      <c r="G183" s="3" t="s">
        <v>92</v>
      </c>
      <c r="H183" s="14">
        <v>330</v>
      </c>
      <c r="I183" s="14" t="s">
        <v>92</v>
      </c>
      <c r="J183" s="14">
        <v>1</v>
      </c>
      <c r="M183" s="14">
        <v>16.670000000000002</v>
      </c>
      <c r="N183" s="14" t="s">
        <v>92</v>
      </c>
      <c r="O183" s="14" t="s">
        <v>92</v>
      </c>
      <c r="S183" s="57">
        <v>8</v>
      </c>
      <c r="W183" s="57" t="s">
        <v>92</v>
      </c>
      <c r="AA183" s="57" t="s">
        <v>92</v>
      </c>
      <c r="AE183" s="57" t="s">
        <v>92</v>
      </c>
      <c r="AI183" s="57" t="s">
        <v>92</v>
      </c>
      <c r="AM183" s="57" t="s">
        <v>92</v>
      </c>
      <c r="AQ183" s="57" t="s">
        <v>92</v>
      </c>
      <c r="AU183" s="57" t="s">
        <v>92</v>
      </c>
      <c r="AV183" s="57" t="s">
        <v>92</v>
      </c>
      <c r="AZ183" s="14">
        <f t="shared" si="18"/>
        <v>109</v>
      </c>
      <c r="BA183" s="14">
        <v>9</v>
      </c>
      <c r="BB183" s="14">
        <v>46</v>
      </c>
      <c r="BC183" s="14">
        <v>43</v>
      </c>
      <c r="BD183" s="14">
        <v>11</v>
      </c>
      <c r="BE183" s="14" t="s">
        <v>101</v>
      </c>
      <c r="BF183" s="14">
        <f t="shared" si="19"/>
        <v>55</v>
      </c>
      <c r="BG183" s="3"/>
      <c r="BH183" s="19" t="s">
        <v>92</v>
      </c>
      <c r="BI183" s="14">
        <v>3.1</v>
      </c>
      <c r="BJ183" s="14">
        <v>0</v>
      </c>
      <c r="BK183" s="14">
        <v>0</v>
      </c>
      <c r="BL183" s="19">
        <v>1.8</v>
      </c>
      <c r="BM183" s="14" t="s">
        <v>92</v>
      </c>
      <c r="BN183" s="14" t="s">
        <v>92</v>
      </c>
      <c r="BO183" s="14" t="s">
        <v>92</v>
      </c>
      <c r="BP183" s="14" t="s">
        <v>92</v>
      </c>
      <c r="BQ183" s="14" t="s">
        <v>92</v>
      </c>
      <c r="BR183" s="14" t="s">
        <v>92</v>
      </c>
      <c r="BS183" s="14" t="s">
        <v>92</v>
      </c>
      <c r="BT183" s="14">
        <v>4.4000000000000004</v>
      </c>
      <c r="BU183" s="14" t="s">
        <v>92</v>
      </c>
      <c r="BV183" s="14" t="s">
        <v>92</v>
      </c>
      <c r="BW183" s="14" t="s">
        <v>92</v>
      </c>
      <c r="BX183" s="14" t="s">
        <v>92</v>
      </c>
      <c r="BY183" s="14" t="s">
        <v>92</v>
      </c>
      <c r="BZ183" s="14" t="s">
        <v>92</v>
      </c>
      <c r="CA183" s="14" t="s">
        <v>92</v>
      </c>
      <c r="CB183" s="14" t="s">
        <v>92</v>
      </c>
      <c r="CC183" s="14" t="s">
        <v>92</v>
      </c>
      <c r="CD183" s="14" t="s">
        <v>92</v>
      </c>
      <c r="CF183" s="14" t="s">
        <v>199</v>
      </c>
    </row>
    <row r="184" spans="1:85" s="14" customFormat="1" x14ac:dyDescent="0.15">
      <c r="A184" s="14" t="s">
        <v>197</v>
      </c>
      <c r="B184" s="14" t="s">
        <v>91</v>
      </c>
      <c r="C184" s="14" t="s">
        <v>92</v>
      </c>
      <c r="D184" s="14" t="s">
        <v>92</v>
      </c>
      <c r="E184" s="14" t="s">
        <v>93</v>
      </c>
      <c r="F184" s="14" t="s">
        <v>92</v>
      </c>
      <c r="G184" s="3" t="s">
        <v>92</v>
      </c>
      <c r="H184" s="14">
        <v>360</v>
      </c>
      <c r="I184" s="14" t="s">
        <v>92</v>
      </c>
      <c r="J184" s="14">
        <v>1</v>
      </c>
      <c r="M184" s="14">
        <v>16.670000000000002</v>
      </c>
      <c r="N184" s="14" t="s">
        <v>92</v>
      </c>
      <c r="O184" s="14" t="s">
        <v>92</v>
      </c>
      <c r="S184" s="57">
        <v>8</v>
      </c>
      <c r="W184" s="57" t="s">
        <v>92</v>
      </c>
      <c r="AA184" s="57" t="s">
        <v>92</v>
      </c>
      <c r="AE184" s="57" t="s">
        <v>92</v>
      </c>
      <c r="AI184" s="57" t="s">
        <v>92</v>
      </c>
      <c r="AM184" s="57" t="s">
        <v>92</v>
      </c>
      <c r="AQ184" s="57" t="s">
        <v>92</v>
      </c>
      <c r="AU184" s="57" t="s">
        <v>92</v>
      </c>
      <c r="AV184" s="57" t="s">
        <v>92</v>
      </c>
      <c r="AZ184" s="14">
        <f t="shared" si="18"/>
        <v>106</v>
      </c>
      <c r="BA184" s="14">
        <v>10</v>
      </c>
      <c r="BB184" s="14">
        <v>53</v>
      </c>
      <c r="BC184" s="14">
        <v>30</v>
      </c>
      <c r="BD184" s="14">
        <v>13</v>
      </c>
      <c r="BE184" s="14" t="s">
        <v>101</v>
      </c>
      <c r="BF184" s="14">
        <f t="shared" si="19"/>
        <v>63</v>
      </c>
      <c r="BG184" s="3"/>
      <c r="BH184" s="19" t="s">
        <v>92</v>
      </c>
      <c r="BI184" s="14">
        <v>3.5</v>
      </c>
      <c r="BJ184" s="14">
        <v>0</v>
      </c>
      <c r="BK184" s="14">
        <v>0</v>
      </c>
      <c r="BL184" s="19">
        <v>1.6</v>
      </c>
      <c r="BM184" s="14" t="s">
        <v>92</v>
      </c>
      <c r="BN184" s="14" t="s">
        <v>92</v>
      </c>
      <c r="BO184" s="14" t="s">
        <v>92</v>
      </c>
      <c r="BP184" s="14" t="s">
        <v>92</v>
      </c>
      <c r="BQ184" s="14" t="s">
        <v>92</v>
      </c>
      <c r="BR184" s="14" t="s">
        <v>92</v>
      </c>
      <c r="BS184" s="14" t="s">
        <v>92</v>
      </c>
      <c r="BT184" s="14">
        <v>5.6</v>
      </c>
      <c r="BU184" s="14" t="s">
        <v>92</v>
      </c>
      <c r="BV184" s="14" t="s">
        <v>92</v>
      </c>
      <c r="BW184" s="14" t="s">
        <v>92</v>
      </c>
      <c r="BX184" s="14" t="s">
        <v>92</v>
      </c>
      <c r="BY184" s="14" t="s">
        <v>92</v>
      </c>
      <c r="BZ184" s="14" t="s">
        <v>92</v>
      </c>
      <c r="CA184" s="14" t="s">
        <v>92</v>
      </c>
      <c r="CB184" s="14" t="s">
        <v>92</v>
      </c>
      <c r="CC184" s="14" t="s">
        <v>92</v>
      </c>
      <c r="CD184" s="14" t="s">
        <v>92</v>
      </c>
      <c r="CF184" s="14" t="s">
        <v>199</v>
      </c>
    </row>
    <row r="185" spans="1:85" s="14" customFormat="1" x14ac:dyDescent="0.15">
      <c r="A185" s="14" t="s">
        <v>197</v>
      </c>
      <c r="B185" s="14" t="s">
        <v>91</v>
      </c>
      <c r="C185" s="14" t="s">
        <v>92</v>
      </c>
      <c r="D185" s="14" t="s">
        <v>92</v>
      </c>
      <c r="E185" s="14" t="s">
        <v>93</v>
      </c>
      <c r="F185" s="14" t="s">
        <v>92</v>
      </c>
      <c r="G185" s="3" t="s">
        <v>92</v>
      </c>
      <c r="H185" s="14">
        <v>530</v>
      </c>
      <c r="I185" s="14" t="s">
        <v>92</v>
      </c>
      <c r="J185" s="14">
        <v>1</v>
      </c>
      <c r="M185" s="14">
        <v>16.670000000000002</v>
      </c>
      <c r="N185" s="14" t="s">
        <v>92</v>
      </c>
      <c r="O185" s="14" t="s">
        <v>92</v>
      </c>
      <c r="S185" s="57">
        <v>8</v>
      </c>
      <c r="W185" s="57" t="s">
        <v>92</v>
      </c>
      <c r="AA185" s="57" t="s">
        <v>92</v>
      </c>
      <c r="AE185" s="57" t="s">
        <v>92</v>
      </c>
      <c r="AI185" s="57" t="s">
        <v>92</v>
      </c>
      <c r="AM185" s="57" t="s">
        <v>92</v>
      </c>
      <c r="AQ185" s="57" t="s">
        <v>92</v>
      </c>
      <c r="AU185" s="57" t="s">
        <v>92</v>
      </c>
      <c r="AV185" s="57" t="s">
        <v>92</v>
      </c>
      <c r="AZ185" s="14">
        <f t="shared" si="18"/>
        <v>105</v>
      </c>
      <c r="BA185" s="14">
        <v>8</v>
      </c>
      <c r="BB185" s="14">
        <v>59</v>
      </c>
      <c r="BC185" s="14">
        <v>10</v>
      </c>
      <c r="BD185" s="14">
        <v>28</v>
      </c>
      <c r="BE185" s="14" t="s">
        <v>101</v>
      </c>
      <c r="BF185" s="14">
        <f t="shared" si="19"/>
        <v>67</v>
      </c>
      <c r="BG185" s="3"/>
      <c r="BH185" s="19" t="s">
        <v>92</v>
      </c>
      <c r="BI185" s="14">
        <v>1.7</v>
      </c>
      <c r="BJ185" s="14">
        <v>2.4</v>
      </c>
      <c r="BK185" s="14">
        <v>0.8</v>
      </c>
      <c r="BL185" s="19">
        <v>0.5</v>
      </c>
      <c r="BM185" s="14" t="s">
        <v>92</v>
      </c>
      <c r="BN185" s="14" t="s">
        <v>92</v>
      </c>
      <c r="BO185" s="14" t="s">
        <v>92</v>
      </c>
      <c r="BP185" s="14" t="s">
        <v>92</v>
      </c>
      <c r="BQ185" s="14" t="s">
        <v>92</v>
      </c>
      <c r="BR185" s="14" t="s">
        <v>92</v>
      </c>
      <c r="BS185" s="14" t="s">
        <v>92</v>
      </c>
      <c r="BT185" s="14">
        <v>6.3</v>
      </c>
      <c r="BU185" s="14" t="s">
        <v>92</v>
      </c>
      <c r="BV185" s="14" t="s">
        <v>92</v>
      </c>
      <c r="BW185" s="14" t="s">
        <v>92</v>
      </c>
      <c r="BX185" s="14" t="s">
        <v>92</v>
      </c>
      <c r="BY185" s="14" t="s">
        <v>92</v>
      </c>
      <c r="BZ185" s="14" t="s">
        <v>92</v>
      </c>
      <c r="CA185" s="14" t="s">
        <v>92</v>
      </c>
      <c r="CB185" s="14" t="s">
        <v>92</v>
      </c>
      <c r="CC185" s="14" t="s">
        <v>92</v>
      </c>
      <c r="CD185" s="14" t="s">
        <v>92</v>
      </c>
      <c r="CF185" s="14" t="s">
        <v>199</v>
      </c>
    </row>
    <row r="186" spans="1:85" s="29" customFormat="1" x14ac:dyDescent="0.15">
      <c r="A186" s="29" t="s">
        <v>200</v>
      </c>
      <c r="B186" s="29" t="s">
        <v>201</v>
      </c>
      <c r="C186" s="29" t="s">
        <v>92</v>
      </c>
      <c r="D186" s="29">
        <v>247</v>
      </c>
      <c r="E186" s="29" t="s">
        <v>92</v>
      </c>
      <c r="F186" s="29" t="s">
        <v>92</v>
      </c>
      <c r="G186" s="29" t="s">
        <v>92</v>
      </c>
      <c r="H186" s="29">
        <v>500</v>
      </c>
      <c r="I186" s="29" t="s">
        <v>92</v>
      </c>
      <c r="J186" s="29" t="s">
        <v>92</v>
      </c>
      <c r="M186" s="29" t="s">
        <v>92</v>
      </c>
      <c r="N186" s="29" t="s">
        <v>92</v>
      </c>
      <c r="O186" s="29" t="s">
        <v>92</v>
      </c>
      <c r="S186" s="56">
        <v>9.6</v>
      </c>
      <c r="W186" s="56" t="s">
        <v>92</v>
      </c>
      <c r="AA186" s="56">
        <v>0.05</v>
      </c>
      <c r="AE186" s="56">
        <v>0.9</v>
      </c>
      <c r="AI186" s="56">
        <v>42.62</v>
      </c>
      <c r="AM186" s="56">
        <v>5.56</v>
      </c>
      <c r="AQ186" s="56">
        <v>0.76</v>
      </c>
      <c r="AU186" s="56">
        <v>51.01</v>
      </c>
      <c r="AV186" s="56" t="s">
        <v>92</v>
      </c>
      <c r="AZ186" s="29">
        <f t="shared" si="18"/>
        <v>100</v>
      </c>
      <c r="BA186" s="29">
        <v>38.6</v>
      </c>
      <c r="BB186" s="29">
        <v>8.9</v>
      </c>
      <c r="BC186" s="29">
        <v>36.6</v>
      </c>
      <c r="BD186" s="29">
        <v>15.9</v>
      </c>
      <c r="BE186" s="29" t="s">
        <v>101</v>
      </c>
      <c r="BF186" s="29">
        <f t="shared" si="19"/>
        <v>47.5</v>
      </c>
      <c r="BH186" s="29" t="s">
        <v>92</v>
      </c>
      <c r="BI186" s="29">
        <v>15.99</v>
      </c>
      <c r="BJ186" s="29">
        <v>4.84</v>
      </c>
      <c r="BK186" s="29">
        <v>2.61</v>
      </c>
      <c r="BL186" s="29">
        <v>13.99</v>
      </c>
      <c r="BM186" s="29">
        <v>14.52</v>
      </c>
      <c r="BN186" s="29">
        <v>3.83</v>
      </c>
      <c r="BO186" s="29">
        <v>0.35</v>
      </c>
      <c r="BP186" s="29" t="s">
        <v>92</v>
      </c>
      <c r="BQ186" s="29" t="s">
        <v>92</v>
      </c>
      <c r="BR186" s="29" t="s">
        <v>92</v>
      </c>
      <c r="BS186" s="29" t="s">
        <v>92</v>
      </c>
      <c r="BT186" s="29" t="s">
        <v>92</v>
      </c>
      <c r="BU186" s="29" t="s">
        <v>92</v>
      </c>
      <c r="BV186" s="29">
        <v>7.9</v>
      </c>
      <c r="BW186" s="29" t="s">
        <v>92</v>
      </c>
      <c r="BX186" s="29" t="s">
        <v>92</v>
      </c>
      <c r="BY186" s="29" t="s">
        <v>92</v>
      </c>
      <c r="BZ186" s="29" t="s">
        <v>92</v>
      </c>
      <c r="CA186" s="29" t="s">
        <v>92</v>
      </c>
      <c r="CB186" s="29" t="s">
        <v>92</v>
      </c>
      <c r="CC186" s="29" t="s">
        <v>92</v>
      </c>
      <c r="CD186" s="29" t="s">
        <v>92</v>
      </c>
      <c r="CF186" s="29" t="s">
        <v>202</v>
      </c>
      <c r="CG186" s="29" t="s">
        <v>203</v>
      </c>
    </row>
    <row r="187" spans="1:85" s="29" customFormat="1" x14ac:dyDescent="0.15">
      <c r="A187" s="29" t="s">
        <v>127</v>
      </c>
      <c r="B187" s="29" t="s">
        <v>204</v>
      </c>
      <c r="C187" s="29" t="s">
        <v>92</v>
      </c>
      <c r="D187" s="29" t="s">
        <v>92</v>
      </c>
      <c r="E187" s="29" t="s">
        <v>92</v>
      </c>
      <c r="F187" s="29" t="s">
        <v>92</v>
      </c>
      <c r="G187" s="29" t="s">
        <v>92</v>
      </c>
      <c r="H187" s="29">
        <v>350</v>
      </c>
      <c r="I187" s="29" t="s">
        <v>92</v>
      </c>
      <c r="J187" s="29" t="s">
        <v>92</v>
      </c>
      <c r="M187" s="29" t="s">
        <v>92</v>
      </c>
      <c r="N187" s="29" t="s">
        <v>92</v>
      </c>
      <c r="O187" s="29" t="s">
        <v>92</v>
      </c>
      <c r="S187" s="56" t="s">
        <v>92</v>
      </c>
      <c r="W187" s="56">
        <v>81.98</v>
      </c>
      <c r="AA187" s="56" t="s">
        <v>92</v>
      </c>
      <c r="AE187" s="56">
        <v>2.16</v>
      </c>
      <c r="AI187" s="56">
        <v>15.86</v>
      </c>
      <c r="AM187" s="56" t="s">
        <v>92</v>
      </c>
      <c r="AQ187" s="56" t="s">
        <v>92</v>
      </c>
      <c r="AU187" s="56" t="s">
        <v>92</v>
      </c>
      <c r="AV187" s="56" t="s">
        <v>92</v>
      </c>
      <c r="AZ187" s="29">
        <f t="shared" si="18"/>
        <v>100</v>
      </c>
      <c r="BA187" s="29">
        <f>0.3*22.7</f>
        <v>6.81</v>
      </c>
      <c r="BB187" s="29">
        <f>22.7-BA187</f>
        <v>15.89</v>
      </c>
      <c r="BC187" s="29">
        <v>17.3</v>
      </c>
      <c r="BD187" s="29">
        <v>60</v>
      </c>
      <c r="BE187" s="29" t="s">
        <v>101</v>
      </c>
      <c r="BF187" s="29">
        <f t="shared" si="19"/>
        <v>22.7</v>
      </c>
      <c r="BH187" s="29" t="s">
        <v>92</v>
      </c>
      <c r="BI187" s="29">
        <f>5.12+5.05</f>
        <v>10.17</v>
      </c>
      <c r="BJ187" s="29" t="s">
        <v>92</v>
      </c>
      <c r="BK187" s="29" t="s">
        <v>92</v>
      </c>
      <c r="BL187" s="29" t="s">
        <v>92</v>
      </c>
      <c r="BM187" s="29">
        <v>4.8099999999999996</v>
      </c>
      <c r="BN187" s="29">
        <v>5.72</v>
      </c>
      <c r="BO187" s="29">
        <v>26.6</v>
      </c>
      <c r="BP187" s="29" t="s">
        <v>92</v>
      </c>
      <c r="BQ187" s="29" t="s">
        <v>92</v>
      </c>
      <c r="BR187" s="29" t="s">
        <v>92</v>
      </c>
      <c r="BS187" s="29" t="s">
        <v>92</v>
      </c>
      <c r="BT187" s="29">
        <v>1.04</v>
      </c>
      <c r="BU187" s="29" t="s">
        <v>92</v>
      </c>
      <c r="BV187" s="29" t="s">
        <v>92</v>
      </c>
      <c r="BW187" s="29" t="s">
        <v>92</v>
      </c>
      <c r="BX187" s="29" t="s">
        <v>92</v>
      </c>
      <c r="BY187" s="29" t="s">
        <v>92</v>
      </c>
      <c r="BZ187" s="29" t="s">
        <v>92</v>
      </c>
      <c r="CA187" s="29" t="s">
        <v>92</v>
      </c>
      <c r="CB187" s="29" t="s">
        <v>92</v>
      </c>
      <c r="CC187" s="29" t="s">
        <v>92</v>
      </c>
      <c r="CD187" s="29" t="s">
        <v>92</v>
      </c>
      <c r="CF187" s="29" t="s">
        <v>205</v>
      </c>
      <c r="CG187" s="29" t="s">
        <v>203</v>
      </c>
    </row>
    <row r="188" spans="1:85" s="63" customFormat="1" x14ac:dyDescent="0.15">
      <c r="A188" s="63" t="s">
        <v>206</v>
      </c>
      <c r="B188" s="63" t="s">
        <v>91</v>
      </c>
      <c r="C188" s="63">
        <v>353.4</v>
      </c>
      <c r="D188" s="63" t="s">
        <v>92</v>
      </c>
      <c r="E188" s="63" t="s">
        <v>93</v>
      </c>
      <c r="F188" s="63">
        <v>1.75</v>
      </c>
      <c r="G188" s="63">
        <f t="shared" ref="G188:G194" si="20">(C188/1000)*(F188)*60</f>
        <v>37.106999999999999</v>
      </c>
      <c r="H188" s="63">
        <v>400</v>
      </c>
      <c r="I188" s="63" t="s">
        <v>92</v>
      </c>
      <c r="J188" s="63">
        <v>0.55000000000000004</v>
      </c>
      <c r="K188" s="63" t="s">
        <v>112</v>
      </c>
      <c r="L188" s="63">
        <v>0.18099999999999999</v>
      </c>
      <c r="M188" s="63">
        <v>1.67</v>
      </c>
      <c r="N188" s="63" t="s">
        <v>92</v>
      </c>
      <c r="O188" s="63" t="s">
        <v>92</v>
      </c>
      <c r="S188" s="63">
        <v>6.9</v>
      </c>
      <c r="W188" s="63" t="s">
        <v>92</v>
      </c>
      <c r="AA188" s="63">
        <v>0</v>
      </c>
      <c r="AE188" s="63">
        <v>0.3</v>
      </c>
      <c r="AI188" s="63">
        <v>50.28</v>
      </c>
      <c r="AM188" s="63">
        <v>6.18</v>
      </c>
      <c r="AQ188" s="63">
        <v>0.08</v>
      </c>
      <c r="AU188" s="63">
        <v>43.46</v>
      </c>
      <c r="AV188" s="63">
        <v>18.93</v>
      </c>
      <c r="AZ188" s="63">
        <f t="shared" ref="AZ188:AZ194" si="21">SUM(BA188:BD188)</f>
        <v>100</v>
      </c>
      <c r="BA188" s="63">
        <f>0.1268*63.72</f>
        <v>8.0796960000000002</v>
      </c>
      <c r="BB188" s="63">
        <f>0.8732*63.72</f>
        <v>55.640304</v>
      </c>
      <c r="BC188" s="63">
        <v>21.05</v>
      </c>
      <c r="BD188" s="63">
        <v>15.23</v>
      </c>
      <c r="BE188" s="63" t="s">
        <v>101</v>
      </c>
      <c r="BF188" s="63">
        <v>63.72</v>
      </c>
      <c r="CF188" s="63" t="s">
        <v>207</v>
      </c>
    </row>
    <row r="189" spans="1:85" s="63" customFormat="1" x14ac:dyDescent="0.15">
      <c r="A189" s="63" t="s">
        <v>206</v>
      </c>
      <c r="B189" s="63" t="s">
        <v>91</v>
      </c>
      <c r="C189" s="63">
        <v>353.4</v>
      </c>
      <c r="D189" s="63" t="s">
        <v>92</v>
      </c>
      <c r="E189" s="63" t="s">
        <v>93</v>
      </c>
      <c r="F189" s="63">
        <v>1.75</v>
      </c>
      <c r="G189" s="63">
        <f t="shared" si="20"/>
        <v>37.106999999999999</v>
      </c>
      <c r="H189" s="63">
        <v>450</v>
      </c>
      <c r="I189" s="63" t="s">
        <v>92</v>
      </c>
      <c r="J189" s="63">
        <v>0.55000000000000004</v>
      </c>
      <c r="K189" s="63" t="s">
        <v>112</v>
      </c>
      <c r="L189" s="63">
        <v>0.18099999999999999</v>
      </c>
      <c r="M189" s="63">
        <v>1.67</v>
      </c>
      <c r="N189" s="63" t="s">
        <v>92</v>
      </c>
      <c r="O189" s="63" t="s">
        <v>92</v>
      </c>
      <c r="S189" s="63">
        <v>6.9</v>
      </c>
      <c r="W189" s="63" t="s">
        <v>92</v>
      </c>
      <c r="AA189" s="63">
        <v>0</v>
      </c>
      <c r="AE189" s="63">
        <v>0.3</v>
      </c>
      <c r="AI189" s="63">
        <v>50.28</v>
      </c>
      <c r="AM189" s="63">
        <v>6.18</v>
      </c>
      <c r="AQ189" s="63">
        <v>0.08</v>
      </c>
      <c r="AU189" s="63">
        <v>43.46</v>
      </c>
      <c r="AV189" s="63">
        <v>18.93</v>
      </c>
      <c r="AZ189" s="63">
        <f t="shared" si="21"/>
        <v>100.01063770000002</v>
      </c>
      <c r="BA189" s="63">
        <f>0.1321*63.77</f>
        <v>8.424017000000001</v>
      </c>
      <c r="BB189" s="63">
        <f>0.86791*63.77</f>
        <v>55.346620700000003</v>
      </c>
      <c r="BC189" s="63">
        <v>19.78</v>
      </c>
      <c r="BD189" s="63">
        <v>16.46</v>
      </c>
      <c r="BE189" s="63" t="s">
        <v>101</v>
      </c>
      <c r="BF189" s="63">
        <v>63.77</v>
      </c>
      <c r="BG189" s="63">
        <f>SUM(BI189:BZ189)</f>
        <v>70.429999999999993</v>
      </c>
      <c r="BH189" s="63">
        <f>SUM(BI189:BK189)</f>
        <v>50.66</v>
      </c>
      <c r="BI189" s="63">
        <f>6.55+3.28</f>
        <v>9.83</v>
      </c>
      <c r="BJ189" s="63">
        <f>0.43</f>
        <v>0.43</v>
      </c>
      <c r="BK189" s="63">
        <f>1.05+1.75+7.06+0.18+7.09+2.37+13.22+3.76+3.92</f>
        <v>40.4</v>
      </c>
      <c r="BL189" s="63">
        <f>1.14</f>
        <v>1.1399999999999999</v>
      </c>
      <c r="BT189" s="63">
        <f>17.08</f>
        <v>17.079999999999998</v>
      </c>
      <c r="BV189" s="63">
        <f>1.55</f>
        <v>1.55</v>
      </c>
      <c r="CF189" s="63" t="s">
        <v>207</v>
      </c>
      <c r="CG189" s="63" t="s">
        <v>203</v>
      </c>
    </row>
    <row r="190" spans="1:85" s="63" customFormat="1" x14ac:dyDescent="0.15">
      <c r="A190" s="63" t="s">
        <v>206</v>
      </c>
      <c r="B190" s="63" t="s">
        <v>91</v>
      </c>
      <c r="C190" s="63">
        <v>353.4</v>
      </c>
      <c r="D190" s="63" t="s">
        <v>92</v>
      </c>
      <c r="E190" s="63" t="s">
        <v>93</v>
      </c>
      <c r="F190" s="63">
        <v>1.75</v>
      </c>
      <c r="G190" s="63">
        <f t="shared" si="20"/>
        <v>37.106999999999999</v>
      </c>
      <c r="H190" s="63">
        <v>500</v>
      </c>
      <c r="I190" s="63" t="s">
        <v>92</v>
      </c>
      <c r="J190" s="63">
        <v>0.55000000000000004</v>
      </c>
      <c r="K190" s="63" t="s">
        <v>112</v>
      </c>
      <c r="L190" s="63">
        <v>0.18099999999999999</v>
      </c>
      <c r="M190" s="63">
        <v>1.67</v>
      </c>
      <c r="N190" s="63" t="s">
        <v>92</v>
      </c>
      <c r="O190" s="63" t="s">
        <v>92</v>
      </c>
      <c r="S190" s="63">
        <v>6.9</v>
      </c>
      <c r="W190" s="63" t="s">
        <v>92</v>
      </c>
      <c r="AA190" s="63">
        <v>0</v>
      </c>
      <c r="AE190" s="63">
        <v>0.3</v>
      </c>
      <c r="AI190" s="63">
        <v>50.28</v>
      </c>
      <c r="AM190" s="63">
        <v>6.18</v>
      </c>
      <c r="AQ190" s="63">
        <v>0.08</v>
      </c>
      <c r="AU190" s="63">
        <v>43.46</v>
      </c>
      <c r="AV190" s="63">
        <v>18.93</v>
      </c>
      <c r="AZ190" s="63">
        <f t="shared" si="21"/>
        <v>100</v>
      </c>
      <c r="BA190" s="63">
        <f>0.1331*63.57</f>
        <v>8.4611669999999997</v>
      </c>
      <c r="BB190" s="63">
        <f>0.8669*63.57</f>
        <v>55.108832999999997</v>
      </c>
      <c r="BC190" s="63">
        <v>18.36</v>
      </c>
      <c r="BD190" s="63">
        <v>18.07</v>
      </c>
      <c r="BE190" s="63" t="s">
        <v>101</v>
      </c>
      <c r="BF190" s="63">
        <v>63.57</v>
      </c>
      <c r="BG190" s="63">
        <f>SUM(BI190:BZ190)</f>
        <v>0</v>
      </c>
      <c r="CF190" s="63" t="s">
        <v>207</v>
      </c>
    </row>
    <row r="191" spans="1:85" s="63" customFormat="1" x14ac:dyDescent="0.15">
      <c r="A191" s="63" t="s">
        <v>206</v>
      </c>
      <c r="B191" s="63" t="s">
        <v>91</v>
      </c>
      <c r="C191" s="63">
        <v>353.4</v>
      </c>
      <c r="D191" s="63" t="s">
        <v>92</v>
      </c>
      <c r="E191" s="63" t="s">
        <v>93</v>
      </c>
      <c r="F191" s="63">
        <v>1.75</v>
      </c>
      <c r="G191" s="63">
        <f t="shared" si="20"/>
        <v>37.106999999999999</v>
      </c>
      <c r="H191" s="63">
        <v>550</v>
      </c>
      <c r="I191" s="63" t="s">
        <v>92</v>
      </c>
      <c r="J191" s="63">
        <v>0.55000000000000004</v>
      </c>
      <c r="K191" s="63" t="s">
        <v>112</v>
      </c>
      <c r="L191" s="63">
        <v>0.18099999999999999</v>
      </c>
      <c r="M191" s="63">
        <v>1.67</v>
      </c>
      <c r="N191" s="63" t="s">
        <v>92</v>
      </c>
      <c r="O191" s="63" t="s">
        <v>92</v>
      </c>
      <c r="S191" s="63">
        <v>6.9</v>
      </c>
      <c r="W191" s="63" t="s">
        <v>92</v>
      </c>
      <c r="AA191" s="63">
        <v>0</v>
      </c>
      <c r="AE191" s="63">
        <v>0.3</v>
      </c>
      <c r="AI191" s="63">
        <v>50.28</v>
      </c>
      <c r="AM191" s="63">
        <v>6.18</v>
      </c>
      <c r="AQ191" s="63">
        <v>0.08</v>
      </c>
      <c r="AU191" s="63">
        <v>43.46</v>
      </c>
      <c r="AV191" s="63">
        <v>18.93</v>
      </c>
      <c r="AZ191" s="63">
        <f t="shared" si="21"/>
        <v>100.01060440000001</v>
      </c>
      <c r="BA191" s="63">
        <f>0.17151*60.44</f>
        <v>10.366064399999999</v>
      </c>
      <c r="BB191" s="63">
        <f>0.8285*60.44</f>
        <v>50.074539999999999</v>
      </c>
      <c r="BC191" s="63">
        <v>18.04</v>
      </c>
      <c r="BD191" s="63">
        <v>21.53</v>
      </c>
      <c r="BE191" s="63" t="s">
        <v>101</v>
      </c>
      <c r="BF191" s="63">
        <v>60.44</v>
      </c>
      <c r="BG191" s="63">
        <f>SUM(BI191:BZ191)</f>
        <v>68.429999999999993</v>
      </c>
      <c r="BH191" s="63">
        <f>SUM(BI191:BK191)</f>
        <v>48.859999999999992</v>
      </c>
      <c r="BI191" s="63">
        <f>3.46+2.57</f>
        <v>6.0299999999999994</v>
      </c>
      <c r="BJ191" s="63">
        <f>1.01</f>
        <v>1.01</v>
      </c>
      <c r="BK191" s="63">
        <f>1.11+1.5+1.29+0.99+0.4+1.71+4.19+3.24+5.1+5.23+1.09+1.56+8.87+1.82+0.41+3.05+0.26</f>
        <v>41.819999999999993</v>
      </c>
      <c r="BL191" s="63">
        <f>0.34+0.68+2.53+0.49</f>
        <v>4.04</v>
      </c>
      <c r="BM191" s="63">
        <v>3.09</v>
      </c>
      <c r="BN191" s="63">
        <f>0.7+0.21</f>
        <v>0.90999999999999992</v>
      </c>
      <c r="BT191" s="63">
        <f>10.25</f>
        <v>10.25</v>
      </c>
      <c r="BV191" s="63">
        <f>1.02+0.26</f>
        <v>1.28</v>
      </c>
      <c r="CF191" s="63" t="s">
        <v>207</v>
      </c>
      <c r="CG191" s="63" t="s">
        <v>203</v>
      </c>
    </row>
    <row r="192" spans="1:85" s="63" customFormat="1" x14ac:dyDescent="0.15">
      <c r="A192" s="63" t="s">
        <v>206</v>
      </c>
      <c r="B192" s="63" t="s">
        <v>91</v>
      </c>
      <c r="C192" s="63">
        <v>353.4</v>
      </c>
      <c r="D192" s="63" t="s">
        <v>92</v>
      </c>
      <c r="E192" s="63" t="s">
        <v>93</v>
      </c>
      <c r="F192" s="63">
        <v>1.75</v>
      </c>
      <c r="G192" s="63">
        <f t="shared" si="20"/>
        <v>37.106999999999999</v>
      </c>
      <c r="H192" s="63">
        <v>500</v>
      </c>
      <c r="I192" s="63" t="s">
        <v>92</v>
      </c>
      <c r="J192" s="63">
        <v>0.35</v>
      </c>
      <c r="K192" s="63" t="s">
        <v>112</v>
      </c>
      <c r="L192" s="63">
        <v>0.18099999999999999</v>
      </c>
      <c r="M192" s="63">
        <v>1.67</v>
      </c>
      <c r="N192" s="63" t="s">
        <v>92</v>
      </c>
      <c r="O192" s="63" t="s">
        <v>92</v>
      </c>
      <c r="S192" s="63">
        <v>6.9</v>
      </c>
      <c r="W192" s="63" t="s">
        <v>92</v>
      </c>
      <c r="AA192" s="63">
        <v>0</v>
      </c>
      <c r="AE192" s="63">
        <v>0.3</v>
      </c>
      <c r="AI192" s="63">
        <v>50.28</v>
      </c>
      <c r="AM192" s="63">
        <v>6.18</v>
      </c>
      <c r="AQ192" s="63">
        <v>0.08</v>
      </c>
      <c r="AU192" s="63">
        <v>43.46</v>
      </c>
      <c r="AV192" s="63">
        <v>18.93</v>
      </c>
      <c r="AZ192" s="63">
        <f t="shared" si="21"/>
        <v>100.01</v>
      </c>
      <c r="BA192" s="63">
        <f>BF192*0.1191</f>
        <v>7.4937719999999999</v>
      </c>
      <c r="BB192" s="63">
        <f>BF192*0.8809</f>
        <v>55.426228000000002</v>
      </c>
      <c r="BC192" s="63">
        <v>18.04</v>
      </c>
      <c r="BD192" s="63">
        <v>19.05</v>
      </c>
      <c r="BE192" s="63" t="s">
        <v>101</v>
      </c>
      <c r="BF192" s="63">
        <v>62.92</v>
      </c>
      <c r="CF192" s="63" t="s">
        <v>207</v>
      </c>
    </row>
    <row r="193" spans="1:84" s="63" customFormat="1" x14ac:dyDescent="0.15">
      <c r="A193" s="63" t="s">
        <v>206</v>
      </c>
      <c r="B193" s="63" t="s">
        <v>91</v>
      </c>
      <c r="C193" s="63">
        <v>353.4</v>
      </c>
      <c r="D193" s="63" t="s">
        <v>92</v>
      </c>
      <c r="E193" s="63" t="s">
        <v>93</v>
      </c>
      <c r="F193" s="63">
        <v>1.75</v>
      </c>
      <c r="G193" s="63">
        <f t="shared" si="20"/>
        <v>37.106999999999999</v>
      </c>
      <c r="H193" s="63">
        <v>500</v>
      </c>
      <c r="I193" s="63" t="s">
        <v>92</v>
      </c>
      <c r="J193" s="63">
        <v>0.55000000000000004</v>
      </c>
      <c r="K193" s="63" t="s">
        <v>112</v>
      </c>
      <c r="L193" s="63">
        <v>0.18099999999999999</v>
      </c>
      <c r="M193" s="63">
        <v>1.67</v>
      </c>
      <c r="N193" s="63" t="s">
        <v>92</v>
      </c>
      <c r="O193" s="63" t="s">
        <v>92</v>
      </c>
      <c r="S193" s="63">
        <v>6.9</v>
      </c>
      <c r="W193" s="63" t="s">
        <v>92</v>
      </c>
      <c r="AA193" s="63">
        <v>0</v>
      </c>
      <c r="AE193" s="63">
        <v>0.3</v>
      </c>
      <c r="AI193" s="63">
        <v>50.28</v>
      </c>
      <c r="AM193" s="63">
        <v>6.18</v>
      </c>
      <c r="AQ193" s="63">
        <v>0.08</v>
      </c>
      <c r="AU193" s="63">
        <v>43.46</v>
      </c>
      <c r="AV193" s="63">
        <v>18.93</v>
      </c>
      <c r="AZ193" s="63">
        <f t="shared" si="21"/>
        <v>100</v>
      </c>
      <c r="BA193" s="63">
        <f>BF193*0.1331</f>
        <v>8.4611669999999997</v>
      </c>
      <c r="BB193" s="63">
        <f>BF193*0.8669</f>
        <v>55.108832999999997</v>
      </c>
      <c r="BC193" s="63">
        <v>18.36</v>
      </c>
      <c r="BD193" s="63">
        <v>18.07</v>
      </c>
      <c r="BE193" s="63" t="s">
        <v>101</v>
      </c>
      <c r="BF193" s="63">
        <v>63.57</v>
      </c>
      <c r="CF193" s="63" t="s">
        <v>207</v>
      </c>
    </row>
    <row r="194" spans="1:84" s="63" customFormat="1" x14ac:dyDescent="0.15">
      <c r="A194" s="63" t="s">
        <v>206</v>
      </c>
      <c r="B194" s="63" t="s">
        <v>91</v>
      </c>
      <c r="C194" s="63">
        <v>353.4</v>
      </c>
      <c r="D194" s="63" t="s">
        <v>92</v>
      </c>
      <c r="E194" s="63" t="s">
        <v>93</v>
      </c>
      <c r="F194" s="63">
        <v>1.75</v>
      </c>
      <c r="G194" s="63">
        <f t="shared" si="20"/>
        <v>37.106999999999999</v>
      </c>
      <c r="H194" s="63">
        <v>500</v>
      </c>
      <c r="I194" s="63" t="s">
        <v>92</v>
      </c>
      <c r="J194" s="63">
        <v>0.95</v>
      </c>
      <c r="K194" s="63" t="s">
        <v>112</v>
      </c>
      <c r="L194" s="63">
        <v>0.18099999999999999</v>
      </c>
      <c r="M194" s="63">
        <v>1.67</v>
      </c>
      <c r="N194" s="63" t="s">
        <v>92</v>
      </c>
      <c r="O194" s="63" t="s">
        <v>92</v>
      </c>
      <c r="S194" s="63">
        <v>6.9</v>
      </c>
      <c r="W194" s="63" t="s">
        <v>92</v>
      </c>
      <c r="AA194" s="63">
        <v>0</v>
      </c>
      <c r="AE194" s="63">
        <v>0.3</v>
      </c>
      <c r="AI194" s="63">
        <v>50.28</v>
      </c>
      <c r="AM194" s="63">
        <v>6.18</v>
      </c>
      <c r="AQ194" s="63">
        <v>0.08</v>
      </c>
      <c r="AU194" s="63">
        <v>43.46</v>
      </c>
      <c r="AV194" s="63">
        <v>18.93</v>
      </c>
      <c r="AZ194" s="63">
        <f t="shared" si="21"/>
        <v>100.00999999999999</v>
      </c>
      <c r="BA194" s="63">
        <f>BF194*0.1616</f>
        <v>10.175951999999999</v>
      </c>
      <c r="BB194" s="63">
        <f>BF194*0.8384</f>
        <v>52.794048000000004</v>
      </c>
      <c r="BC194" s="63">
        <v>19.55</v>
      </c>
      <c r="BD194" s="63">
        <v>17.489999999999998</v>
      </c>
      <c r="BE194" s="63" t="s">
        <v>101</v>
      </c>
      <c r="BF194" s="63">
        <v>62.97</v>
      </c>
      <c r="CF194" s="63" t="s">
        <v>207</v>
      </c>
    </row>
    <row r="195" spans="1:84" s="3" customFormat="1" x14ac:dyDescent="0.15">
      <c r="S195" s="56"/>
      <c r="W195" s="56"/>
      <c r="AA195" s="56"/>
      <c r="AE195" s="56"/>
      <c r="AI195" s="56"/>
      <c r="AM195" s="56"/>
      <c r="AQ195" s="56"/>
      <c r="AU195" s="56"/>
      <c r="AV195" s="56"/>
      <c r="BH195" s="11"/>
      <c r="BL195" s="11"/>
      <c r="BN195" s="11"/>
      <c r="BO195" s="11"/>
    </row>
    <row r="196" spans="1:84" s="3" customFormat="1" x14ac:dyDescent="0.15">
      <c r="S196" s="56"/>
      <c r="W196" s="56"/>
      <c r="AA196" s="56"/>
      <c r="AE196" s="56"/>
      <c r="AI196" s="56"/>
      <c r="AM196" s="56"/>
      <c r="AQ196" s="56"/>
      <c r="AU196" s="56"/>
      <c r="AV196" s="56"/>
      <c r="BH196" s="11"/>
      <c r="BL196" s="11"/>
      <c r="BN196" s="11"/>
      <c r="BO196" s="11"/>
    </row>
    <row r="197" spans="1:84" s="3" customFormat="1" x14ac:dyDescent="0.15">
      <c r="S197" s="56"/>
      <c r="W197" s="56"/>
      <c r="AA197" s="56"/>
      <c r="AE197" s="56"/>
      <c r="AI197" s="56"/>
      <c r="AM197" s="56"/>
      <c r="AQ197" s="56"/>
      <c r="AU197" s="56"/>
      <c r="AV197" s="56"/>
      <c r="BH197" s="11"/>
      <c r="BL197" s="11"/>
      <c r="BN197" s="11"/>
      <c r="BO197" s="11"/>
    </row>
    <row r="214" spans="1:85" ht="15" customHeight="1" x14ac:dyDescent="0.15">
      <c r="A214" s="1" t="s">
        <v>208</v>
      </c>
      <c r="B214" s="1" t="s">
        <v>124</v>
      </c>
      <c r="C214" s="1" t="s">
        <v>92</v>
      </c>
      <c r="D214" s="1">
        <v>693</v>
      </c>
      <c r="E214" s="1" t="s">
        <v>93</v>
      </c>
      <c r="F214" s="1">
        <v>0.15</v>
      </c>
      <c r="G214" s="1">
        <f>((D214/1000)/(F214))*60</f>
        <v>277.2</v>
      </c>
      <c r="H214" s="3">
        <v>400</v>
      </c>
      <c r="I214" s="1" t="s">
        <v>92</v>
      </c>
      <c r="J214" s="1">
        <v>0.215</v>
      </c>
      <c r="M214" s="1" t="s">
        <v>92</v>
      </c>
      <c r="N214" s="1" t="s">
        <v>92</v>
      </c>
      <c r="O214" s="1" t="s">
        <v>92</v>
      </c>
      <c r="S214" s="54">
        <v>3.87</v>
      </c>
      <c r="W214" s="54">
        <v>78.17</v>
      </c>
      <c r="AE214" s="54">
        <v>3.53</v>
      </c>
      <c r="AI214" s="54">
        <v>49.17</v>
      </c>
      <c r="AM214" s="54">
        <v>5.93</v>
      </c>
      <c r="AQ214" s="54">
        <v>1.03</v>
      </c>
      <c r="AU214" s="54">
        <v>43.87</v>
      </c>
      <c r="AV214" s="54">
        <v>17.73</v>
      </c>
      <c r="BB214" s="1">
        <v>42.2</v>
      </c>
      <c r="BC214" s="1">
        <v>37.6</v>
      </c>
      <c r="BD214" s="1">
        <v>20.3</v>
      </c>
      <c r="BE214" s="5" t="s">
        <v>96</v>
      </c>
      <c r="BF214" s="5"/>
      <c r="BG214" s="5"/>
      <c r="BH214" s="10">
        <f t="shared" ref="BH214:BH233" si="22">BI214+BJ214+BK214</f>
        <v>3421.14</v>
      </c>
      <c r="BI214" s="1">
        <v>0</v>
      </c>
      <c r="BJ214" s="1">
        <v>0</v>
      </c>
      <c r="BK214" s="1">
        <v>3421.14</v>
      </c>
      <c r="BL214" s="8" t="s">
        <v>92</v>
      </c>
      <c r="BM214" s="1">
        <v>1639.31</v>
      </c>
      <c r="BN214" s="8" t="s">
        <v>92</v>
      </c>
      <c r="BO214" s="8" t="s">
        <v>92</v>
      </c>
      <c r="BP214" s="132">
        <f>1273.38+1097.43+1050.25</f>
        <v>3421.0600000000004</v>
      </c>
      <c r="BQ214" s="132"/>
      <c r="BR214" s="1" t="s">
        <v>92</v>
      </c>
      <c r="BS214" s="1" t="s">
        <v>92</v>
      </c>
      <c r="BT214" s="1" t="s">
        <v>92</v>
      </c>
      <c r="BU214" s="1" t="s">
        <v>92</v>
      </c>
      <c r="BV214" s="1">
        <v>1716.45</v>
      </c>
      <c r="BW214" s="3" t="s">
        <v>92</v>
      </c>
      <c r="BX214" s="1" t="s">
        <v>92</v>
      </c>
      <c r="BY214" s="1" t="s">
        <v>92</v>
      </c>
      <c r="BZ214" s="1" t="s">
        <v>92</v>
      </c>
      <c r="CA214" s="1" t="s">
        <v>92</v>
      </c>
      <c r="CB214" s="1" t="s">
        <v>92</v>
      </c>
      <c r="CC214" s="1" t="s">
        <v>92</v>
      </c>
      <c r="CD214" s="1">
        <f>886.41</f>
        <v>886.41</v>
      </c>
      <c r="CF214" s="13" t="s">
        <v>209</v>
      </c>
      <c r="CG214" s="1" t="s">
        <v>210</v>
      </c>
    </row>
    <row r="215" spans="1:85" ht="15" customHeight="1" x14ac:dyDescent="0.15">
      <c r="A215" s="1" t="s">
        <v>208</v>
      </c>
      <c r="B215" s="1" t="s">
        <v>124</v>
      </c>
      <c r="C215" s="1" t="s">
        <v>92</v>
      </c>
      <c r="D215" s="1">
        <v>693</v>
      </c>
      <c r="E215" s="1" t="s">
        <v>93</v>
      </c>
      <c r="F215" s="1">
        <v>0.15</v>
      </c>
      <c r="G215" s="1">
        <f t="shared" ref="G215:G223" si="23">((D215/1000)/(F215))*60</f>
        <v>277.2</v>
      </c>
      <c r="H215" s="3">
        <v>500</v>
      </c>
      <c r="I215" s="1" t="s">
        <v>92</v>
      </c>
      <c r="J215" s="1">
        <v>0.215</v>
      </c>
      <c r="M215" s="1" t="s">
        <v>92</v>
      </c>
      <c r="N215" s="1" t="s">
        <v>92</v>
      </c>
      <c r="O215" s="1" t="s">
        <v>92</v>
      </c>
      <c r="S215" s="54">
        <v>3.87</v>
      </c>
      <c r="W215" s="54">
        <v>78.17</v>
      </c>
      <c r="AE215" s="54">
        <v>3.53</v>
      </c>
      <c r="AI215" s="54">
        <v>49.17</v>
      </c>
      <c r="AM215" s="54">
        <v>5.93</v>
      </c>
      <c r="AQ215" s="54">
        <v>1.03</v>
      </c>
      <c r="AU215" s="54">
        <v>43.87</v>
      </c>
      <c r="AV215" s="54">
        <v>17.73</v>
      </c>
      <c r="BB215" s="1">
        <v>44.3</v>
      </c>
      <c r="BC215" s="1">
        <v>33.6</v>
      </c>
      <c r="BD215" s="1">
        <v>22.2</v>
      </c>
      <c r="BE215" s="5" t="s">
        <v>96</v>
      </c>
      <c r="BF215" s="5"/>
      <c r="BG215" s="5"/>
      <c r="BH215" s="10">
        <f t="shared" si="22"/>
        <v>3427.19</v>
      </c>
      <c r="BI215" s="1">
        <v>0</v>
      </c>
      <c r="BJ215" s="1">
        <v>0</v>
      </c>
      <c r="BK215" s="1">
        <v>3427.19</v>
      </c>
      <c r="BL215" s="8" t="s">
        <v>92</v>
      </c>
      <c r="BM215" s="1">
        <v>1637.27</v>
      </c>
      <c r="BN215" s="8" t="s">
        <v>92</v>
      </c>
      <c r="BO215" s="8" t="s">
        <v>92</v>
      </c>
      <c r="BP215" s="132">
        <f>1266.67+1093.73+1054.07</f>
        <v>3414.4700000000003</v>
      </c>
      <c r="BQ215" s="132"/>
      <c r="BR215" s="1" t="s">
        <v>92</v>
      </c>
      <c r="BS215" s="1" t="s">
        <v>92</v>
      </c>
      <c r="BT215" s="1" t="s">
        <v>92</v>
      </c>
      <c r="BU215" s="1" t="s">
        <v>92</v>
      </c>
      <c r="BV215" s="1">
        <v>1721.14</v>
      </c>
      <c r="BW215" s="3" t="s">
        <v>92</v>
      </c>
      <c r="BX215" s="1" t="s">
        <v>92</v>
      </c>
      <c r="BY215" s="1" t="s">
        <v>92</v>
      </c>
      <c r="BZ215" s="1" t="s">
        <v>92</v>
      </c>
      <c r="CA215" s="1" t="s">
        <v>92</v>
      </c>
      <c r="CB215" s="1" t="s">
        <v>92</v>
      </c>
      <c r="CC215" s="1" t="s">
        <v>92</v>
      </c>
      <c r="CD215" s="1">
        <v>886.97</v>
      </c>
      <c r="CF215" s="13" t="s">
        <v>209</v>
      </c>
    </row>
    <row r="216" spans="1:85" ht="15" customHeight="1" x14ac:dyDescent="0.15">
      <c r="A216" s="1" t="s">
        <v>208</v>
      </c>
      <c r="B216" s="1" t="s">
        <v>124</v>
      </c>
      <c r="C216" s="1" t="s">
        <v>92</v>
      </c>
      <c r="D216" s="1">
        <v>693</v>
      </c>
      <c r="E216" s="1" t="s">
        <v>93</v>
      </c>
      <c r="F216" s="1">
        <v>0.15</v>
      </c>
      <c r="G216" s="1">
        <f t="shared" si="23"/>
        <v>277.2</v>
      </c>
      <c r="H216" s="3">
        <v>600</v>
      </c>
      <c r="I216" s="1" t="s">
        <v>92</v>
      </c>
      <c r="J216" s="1">
        <v>0.215</v>
      </c>
      <c r="M216" s="1" t="s">
        <v>92</v>
      </c>
      <c r="N216" s="1" t="s">
        <v>92</v>
      </c>
      <c r="O216" s="1" t="s">
        <v>92</v>
      </c>
      <c r="S216" s="54">
        <v>3.87</v>
      </c>
      <c r="W216" s="54">
        <v>78.17</v>
      </c>
      <c r="AE216" s="54">
        <v>3.53</v>
      </c>
      <c r="AI216" s="54">
        <v>49.17</v>
      </c>
      <c r="AM216" s="54">
        <v>5.93</v>
      </c>
      <c r="AQ216" s="54">
        <v>1.03</v>
      </c>
      <c r="AU216" s="54">
        <v>43.87</v>
      </c>
      <c r="AV216" s="54">
        <v>17.73</v>
      </c>
      <c r="BB216" s="1">
        <v>48.9</v>
      </c>
      <c r="BC216" s="1">
        <v>27.5</v>
      </c>
      <c r="BD216" s="1">
        <v>23.8</v>
      </c>
      <c r="BE216" s="5" t="s">
        <v>96</v>
      </c>
      <c r="BF216" s="5"/>
      <c r="BG216" s="5"/>
      <c r="BH216" s="10">
        <f t="shared" si="22"/>
        <v>3407.77</v>
      </c>
      <c r="BI216" s="1">
        <v>0</v>
      </c>
      <c r="BJ216" s="1">
        <v>0</v>
      </c>
      <c r="BK216" s="1">
        <v>3407.77</v>
      </c>
      <c r="BL216" s="8" t="s">
        <v>92</v>
      </c>
      <c r="BM216" s="1">
        <v>1641.79</v>
      </c>
      <c r="BN216" s="8" t="s">
        <v>92</v>
      </c>
      <c r="BO216" s="8" t="s">
        <v>92</v>
      </c>
      <c r="BP216" s="132">
        <f>1266.3+1237.14+1089.41+1047.3</f>
        <v>4640.1500000000005</v>
      </c>
      <c r="BQ216" s="132"/>
      <c r="BR216" s="1">
        <v>814.77</v>
      </c>
      <c r="BS216" s="1" t="s">
        <v>92</v>
      </c>
      <c r="BT216" s="1" t="s">
        <v>92</v>
      </c>
      <c r="BU216" s="1" t="s">
        <v>92</v>
      </c>
      <c r="BV216" s="1">
        <v>1721.81</v>
      </c>
      <c r="BW216" s="3" t="s">
        <v>92</v>
      </c>
      <c r="BX216" s="1" t="s">
        <v>92</v>
      </c>
      <c r="BY216" s="1" t="s">
        <v>92</v>
      </c>
      <c r="BZ216" s="1" t="s">
        <v>92</v>
      </c>
      <c r="CA216" s="1" t="s">
        <v>92</v>
      </c>
      <c r="CB216" s="1" t="s">
        <v>92</v>
      </c>
      <c r="CC216" s="1" t="s">
        <v>92</v>
      </c>
      <c r="CD216" s="1">
        <v>884.01</v>
      </c>
      <c r="CF216" s="13" t="s">
        <v>209</v>
      </c>
    </row>
    <row r="217" spans="1:85" ht="15" customHeight="1" x14ac:dyDescent="0.15">
      <c r="A217" s="1" t="s">
        <v>208</v>
      </c>
      <c r="B217" s="1" t="s">
        <v>124</v>
      </c>
      <c r="C217" s="1" t="s">
        <v>92</v>
      </c>
      <c r="D217" s="1">
        <v>693</v>
      </c>
      <c r="E217" s="1" t="s">
        <v>93</v>
      </c>
      <c r="F217" s="1">
        <v>0.15</v>
      </c>
      <c r="G217" s="1">
        <f t="shared" si="23"/>
        <v>277.2</v>
      </c>
      <c r="H217" s="3">
        <v>700</v>
      </c>
      <c r="I217" s="1" t="s">
        <v>92</v>
      </c>
      <c r="J217" s="1">
        <v>0.215</v>
      </c>
      <c r="M217" s="1" t="s">
        <v>92</v>
      </c>
      <c r="N217" s="1" t="s">
        <v>92</v>
      </c>
      <c r="O217" s="1" t="s">
        <v>92</v>
      </c>
      <c r="S217" s="54">
        <v>3.87</v>
      </c>
      <c r="W217" s="54">
        <v>78.17</v>
      </c>
      <c r="AE217" s="54">
        <v>3.53</v>
      </c>
      <c r="AI217" s="54">
        <v>49.17</v>
      </c>
      <c r="AM217" s="54">
        <v>5.93</v>
      </c>
      <c r="AQ217" s="54">
        <v>1.03</v>
      </c>
      <c r="AU217" s="54">
        <v>43.87</v>
      </c>
      <c r="AV217" s="54">
        <v>17.73</v>
      </c>
      <c r="BB217" s="1">
        <v>47.3</v>
      </c>
      <c r="BC217" s="1">
        <v>26.7</v>
      </c>
      <c r="BD217" s="1">
        <v>26.7</v>
      </c>
      <c r="BE217" s="5" t="s">
        <v>96</v>
      </c>
      <c r="BF217" s="5"/>
      <c r="BG217" s="5"/>
      <c r="BH217" s="10">
        <f t="shared" si="22"/>
        <v>3427.28</v>
      </c>
      <c r="BI217" s="1">
        <v>0</v>
      </c>
      <c r="BJ217" s="1">
        <v>0</v>
      </c>
      <c r="BK217" s="1">
        <v>3427.28</v>
      </c>
      <c r="BL217" s="8" t="s">
        <v>92</v>
      </c>
      <c r="BM217" s="1">
        <v>1639.4</v>
      </c>
      <c r="BN217" s="8" t="s">
        <v>92</v>
      </c>
      <c r="BO217" s="8" t="s">
        <v>92</v>
      </c>
      <c r="BP217" s="132">
        <f>1271.54+1096.06+1048.33</f>
        <v>3415.93</v>
      </c>
      <c r="BQ217" s="132"/>
      <c r="BR217" s="1" t="s">
        <v>92</v>
      </c>
      <c r="BS217" s="1" t="s">
        <v>92</v>
      </c>
      <c r="BT217" s="1" t="s">
        <v>92</v>
      </c>
      <c r="BU217" s="1" t="s">
        <v>92</v>
      </c>
      <c r="BV217" s="1">
        <v>1723.84</v>
      </c>
      <c r="BW217" s="3" t="s">
        <v>92</v>
      </c>
      <c r="BX217" s="1" t="s">
        <v>92</v>
      </c>
      <c r="BY217" s="1" t="s">
        <v>92</v>
      </c>
      <c r="BZ217" s="1" t="s">
        <v>92</v>
      </c>
      <c r="CA217" s="1" t="s">
        <v>92</v>
      </c>
      <c r="CB217" s="1" t="s">
        <v>92</v>
      </c>
      <c r="CC217" s="1" t="s">
        <v>92</v>
      </c>
      <c r="CD217" s="1" t="s">
        <v>92</v>
      </c>
      <c r="CF217" s="13" t="s">
        <v>209</v>
      </c>
    </row>
    <row r="218" spans="1:85" x14ac:dyDescent="0.15">
      <c r="A218" s="1" t="s">
        <v>208</v>
      </c>
      <c r="B218" s="1" t="s">
        <v>124</v>
      </c>
      <c r="C218" s="1" t="s">
        <v>92</v>
      </c>
      <c r="D218" s="1">
        <v>693</v>
      </c>
      <c r="E218" s="1" t="s">
        <v>93</v>
      </c>
      <c r="F218" s="1">
        <v>0.15</v>
      </c>
      <c r="G218" s="1">
        <f t="shared" si="23"/>
        <v>277.2</v>
      </c>
      <c r="H218" s="3">
        <v>600</v>
      </c>
      <c r="I218" s="1" t="s">
        <v>92</v>
      </c>
      <c r="J218" s="1">
        <v>0.215</v>
      </c>
      <c r="M218" s="1" t="s">
        <v>92</v>
      </c>
      <c r="N218" s="1" t="s">
        <v>92</v>
      </c>
      <c r="O218" s="1" t="s">
        <v>92</v>
      </c>
      <c r="S218" s="54">
        <v>3.87</v>
      </c>
      <c r="W218" s="54">
        <v>78.17</v>
      </c>
      <c r="AE218" s="54">
        <v>3.53</v>
      </c>
      <c r="AI218" s="54">
        <v>49.17</v>
      </c>
      <c r="AM218" s="54">
        <v>5.93</v>
      </c>
      <c r="AQ218" s="54">
        <v>1.03</v>
      </c>
      <c r="AU218" s="54">
        <v>43.87</v>
      </c>
      <c r="AV218" s="54">
        <v>17.73</v>
      </c>
      <c r="BB218" s="1">
        <v>48.9</v>
      </c>
      <c r="BC218" s="1">
        <v>27.4</v>
      </c>
      <c r="BD218" s="1">
        <v>23.7</v>
      </c>
      <c r="BE218" s="5" t="s">
        <v>96</v>
      </c>
      <c r="BF218" s="5"/>
      <c r="BG218" s="5"/>
      <c r="BH218" s="10">
        <f t="shared" si="22"/>
        <v>0</v>
      </c>
      <c r="BI218" s="1">
        <v>0</v>
      </c>
      <c r="BJ218" s="1">
        <v>0</v>
      </c>
      <c r="BK218" s="1">
        <v>0</v>
      </c>
      <c r="BL218" s="8" t="s">
        <v>92</v>
      </c>
      <c r="BM218" s="1" t="s">
        <v>92</v>
      </c>
      <c r="BN218" s="8" t="s">
        <v>92</v>
      </c>
      <c r="BO218" s="8" t="s">
        <v>92</v>
      </c>
      <c r="BP218" s="1" t="s">
        <v>92</v>
      </c>
      <c r="BQ218" s="1" t="s">
        <v>92</v>
      </c>
      <c r="BR218" s="1" t="s">
        <v>92</v>
      </c>
      <c r="BS218" s="1" t="s">
        <v>92</v>
      </c>
      <c r="BT218" s="1" t="s">
        <v>92</v>
      </c>
      <c r="BU218" s="1" t="s">
        <v>92</v>
      </c>
      <c r="BV218" s="1" t="s">
        <v>92</v>
      </c>
      <c r="BW218" s="3" t="s">
        <v>92</v>
      </c>
      <c r="BX218" s="1" t="s">
        <v>92</v>
      </c>
      <c r="BY218" s="1" t="s">
        <v>92</v>
      </c>
      <c r="BZ218" s="1" t="s">
        <v>92</v>
      </c>
      <c r="CA218" s="1" t="s">
        <v>92</v>
      </c>
      <c r="CB218" s="1" t="s">
        <v>92</v>
      </c>
      <c r="CC218" s="1" t="s">
        <v>92</v>
      </c>
      <c r="CD218" s="1" t="s">
        <v>92</v>
      </c>
      <c r="CF218" s="13" t="s">
        <v>209</v>
      </c>
    </row>
    <row r="219" spans="1:85" x14ac:dyDescent="0.15">
      <c r="A219" s="1" t="s">
        <v>208</v>
      </c>
      <c r="B219" s="1" t="s">
        <v>124</v>
      </c>
      <c r="C219" s="1" t="s">
        <v>92</v>
      </c>
      <c r="D219" s="1">
        <v>693</v>
      </c>
      <c r="E219" s="1" t="s">
        <v>93</v>
      </c>
      <c r="F219" s="1">
        <v>0.2</v>
      </c>
      <c r="G219" s="1">
        <f t="shared" si="23"/>
        <v>207.89999999999998</v>
      </c>
      <c r="H219" s="3">
        <v>600</v>
      </c>
      <c r="I219" s="1" t="s">
        <v>92</v>
      </c>
      <c r="J219" s="1">
        <v>0.215</v>
      </c>
      <c r="M219" s="1" t="s">
        <v>92</v>
      </c>
      <c r="N219" s="1" t="s">
        <v>92</v>
      </c>
      <c r="O219" s="1" t="s">
        <v>92</v>
      </c>
      <c r="S219" s="54">
        <v>3.87</v>
      </c>
      <c r="W219" s="54">
        <v>78.17</v>
      </c>
      <c r="AE219" s="54">
        <v>3.53</v>
      </c>
      <c r="AI219" s="54">
        <v>49.17</v>
      </c>
      <c r="AM219" s="54">
        <v>5.93</v>
      </c>
      <c r="AQ219" s="54">
        <v>1.03</v>
      </c>
      <c r="AU219" s="54">
        <v>43.87</v>
      </c>
      <c r="AV219" s="54">
        <v>17.73</v>
      </c>
      <c r="BB219" s="1">
        <v>47.8</v>
      </c>
      <c r="BC219" s="1">
        <v>26.1</v>
      </c>
      <c r="BD219" s="1">
        <v>26.1</v>
      </c>
      <c r="BE219" s="5" t="s">
        <v>96</v>
      </c>
      <c r="BF219" s="5"/>
      <c r="BG219" s="5"/>
      <c r="BH219" s="10">
        <f t="shared" si="22"/>
        <v>0</v>
      </c>
      <c r="BI219" s="1">
        <v>0</v>
      </c>
      <c r="BJ219" s="1">
        <v>0</v>
      </c>
      <c r="BK219" s="1">
        <v>0</v>
      </c>
      <c r="BL219" s="8" t="s">
        <v>92</v>
      </c>
      <c r="BM219" s="1" t="s">
        <v>92</v>
      </c>
      <c r="BN219" s="8" t="s">
        <v>92</v>
      </c>
      <c r="BO219" s="8" t="s">
        <v>92</v>
      </c>
      <c r="BP219" s="1" t="s">
        <v>92</v>
      </c>
      <c r="BQ219" s="1" t="s">
        <v>92</v>
      </c>
      <c r="BR219" s="1" t="s">
        <v>92</v>
      </c>
      <c r="BS219" s="1" t="s">
        <v>92</v>
      </c>
      <c r="BT219" s="1" t="s">
        <v>92</v>
      </c>
      <c r="BU219" s="1" t="s">
        <v>92</v>
      </c>
      <c r="BV219" s="1" t="s">
        <v>92</v>
      </c>
      <c r="BW219" s="3" t="s">
        <v>92</v>
      </c>
      <c r="BX219" s="1" t="s">
        <v>92</v>
      </c>
      <c r="BY219" s="1" t="s">
        <v>92</v>
      </c>
      <c r="BZ219" s="1" t="s">
        <v>92</v>
      </c>
      <c r="CA219" s="1" t="s">
        <v>92</v>
      </c>
      <c r="CB219" s="1" t="s">
        <v>92</v>
      </c>
      <c r="CC219" s="1" t="s">
        <v>92</v>
      </c>
      <c r="CD219" s="1" t="s">
        <v>92</v>
      </c>
      <c r="CF219" s="13" t="s">
        <v>209</v>
      </c>
    </row>
    <row r="220" spans="1:85" x14ac:dyDescent="0.15">
      <c r="A220" s="1" t="s">
        <v>208</v>
      </c>
      <c r="B220" s="1" t="s">
        <v>124</v>
      </c>
      <c r="C220" s="1" t="s">
        <v>92</v>
      </c>
      <c r="D220" s="1">
        <v>693</v>
      </c>
      <c r="E220" s="1" t="s">
        <v>93</v>
      </c>
      <c r="F220" s="1">
        <v>0.25</v>
      </c>
      <c r="G220" s="1">
        <f t="shared" si="23"/>
        <v>166.32</v>
      </c>
      <c r="H220" s="3">
        <v>600</v>
      </c>
      <c r="I220" s="1" t="s">
        <v>92</v>
      </c>
      <c r="J220" s="1">
        <v>0.215</v>
      </c>
      <c r="M220" s="1" t="s">
        <v>92</v>
      </c>
      <c r="N220" s="1" t="s">
        <v>92</v>
      </c>
      <c r="O220" s="1" t="s">
        <v>92</v>
      </c>
      <c r="S220" s="54">
        <v>3.87</v>
      </c>
      <c r="W220" s="54">
        <v>78.17</v>
      </c>
      <c r="AE220" s="54">
        <v>3.53</v>
      </c>
      <c r="AI220" s="54">
        <v>49.17</v>
      </c>
      <c r="AM220" s="54">
        <v>5.93</v>
      </c>
      <c r="AQ220" s="54">
        <v>1.03</v>
      </c>
      <c r="AU220" s="54">
        <v>43.87</v>
      </c>
      <c r="AV220" s="54">
        <v>17.73</v>
      </c>
      <c r="BB220" s="1">
        <v>45.7</v>
      </c>
      <c r="BC220" s="1">
        <v>24.3</v>
      </c>
      <c r="BD220" s="1">
        <v>29.6</v>
      </c>
      <c r="BE220" s="5" t="s">
        <v>96</v>
      </c>
      <c r="BF220" s="5"/>
      <c r="BG220" s="5"/>
      <c r="BH220" s="10">
        <f t="shared" si="22"/>
        <v>0</v>
      </c>
      <c r="BI220" s="1">
        <v>0</v>
      </c>
      <c r="BJ220" s="1">
        <v>0</v>
      </c>
      <c r="BK220" s="1">
        <v>0</v>
      </c>
      <c r="BL220" s="8" t="s">
        <v>92</v>
      </c>
      <c r="BM220" s="1" t="s">
        <v>92</v>
      </c>
      <c r="BN220" s="8" t="s">
        <v>92</v>
      </c>
      <c r="BO220" s="8" t="s">
        <v>92</v>
      </c>
      <c r="BP220" s="1" t="s">
        <v>92</v>
      </c>
      <c r="BQ220" s="1" t="s">
        <v>92</v>
      </c>
      <c r="BR220" s="1" t="s">
        <v>92</v>
      </c>
      <c r="BS220" s="1" t="s">
        <v>92</v>
      </c>
      <c r="BT220" s="1" t="s">
        <v>92</v>
      </c>
      <c r="BU220" s="1" t="s">
        <v>92</v>
      </c>
      <c r="BV220" s="1" t="s">
        <v>92</v>
      </c>
      <c r="BW220" s="3" t="s">
        <v>92</v>
      </c>
      <c r="BX220" s="1" t="s">
        <v>92</v>
      </c>
      <c r="BY220" s="1" t="s">
        <v>92</v>
      </c>
      <c r="BZ220" s="1" t="s">
        <v>92</v>
      </c>
      <c r="CA220" s="1" t="s">
        <v>92</v>
      </c>
      <c r="CB220" s="1" t="s">
        <v>92</v>
      </c>
      <c r="CC220" s="1" t="s">
        <v>92</v>
      </c>
      <c r="CD220" s="1" t="s">
        <v>92</v>
      </c>
      <c r="CF220" s="13" t="s">
        <v>209</v>
      </c>
    </row>
    <row r="221" spans="1:85" x14ac:dyDescent="0.15">
      <c r="A221" s="1" t="s">
        <v>208</v>
      </c>
      <c r="B221" s="1" t="s">
        <v>124</v>
      </c>
      <c r="C221" s="1" t="s">
        <v>92</v>
      </c>
      <c r="D221" s="1">
        <v>693</v>
      </c>
      <c r="E221" s="1" t="s">
        <v>93</v>
      </c>
      <c r="F221" s="1">
        <v>0.15</v>
      </c>
      <c r="G221" s="1">
        <f t="shared" si="23"/>
        <v>277.2</v>
      </c>
      <c r="H221" s="3">
        <v>600</v>
      </c>
      <c r="I221" s="1" t="s">
        <v>92</v>
      </c>
      <c r="J221" s="1">
        <v>0.215</v>
      </c>
      <c r="M221" s="1" t="s">
        <v>92</v>
      </c>
      <c r="N221" s="1" t="s">
        <v>92</v>
      </c>
      <c r="O221" s="1" t="s">
        <v>92</v>
      </c>
      <c r="S221" s="54">
        <v>3.87</v>
      </c>
      <c r="W221" s="54">
        <v>78.17</v>
      </c>
      <c r="AE221" s="54">
        <v>3.53</v>
      </c>
      <c r="AI221" s="54">
        <v>49.17</v>
      </c>
      <c r="AM221" s="54">
        <v>5.93</v>
      </c>
      <c r="AQ221" s="54">
        <v>1.03</v>
      </c>
      <c r="AU221" s="54">
        <v>43.87</v>
      </c>
      <c r="AV221" s="54">
        <v>17.73</v>
      </c>
      <c r="BB221" s="1">
        <v>47.2</v>
      </c>
      <c r="BC221" s="1">
        <v>30.1</v>
      </c>
      <c r="BD221" s="1">
        <v>22.3</v>
      </c>
      <c r="BE221" s="5" t="s">
        <v>96</v>
      </c>
      <c r="BF221" s="5"/>
      <c r="BG221" s="5"/>
      <c r="BH221" s="10">
        <f t="shared" si="22"/>
        <v>0</v>
      </c>
      <c r="BI221" s="1">
        <v>0</v>
      </c>
      <c r="BJ221" s="1">
        <v>0</v>
      </c>
      <c r="BK221" s="1">
        <v>0</v>
      </c>
      <c r="BL221" s="8" t="s">
        <v>92</v>
      </c>
      <c r="BM221" s="1" t="s">
        <v>92</v>
      </c>
      <c r="BN221" s="8" t="s">
        <v>92</v>
      </c>
      <c r="BO221" s="8" t="s">
        <v>92</v>
      </c>
      <c r="BP221" s="1" t="s">
        <v>92</v>
      </c>
      <c r="BQ221" s="1" t="s">
        <v>92</v>
      </c>
      <c r="BR221" s="1" t="s">
        <v>92</v>
      </c>
      <c r="BS221" s="1" t="s">
        <v>92</v>
      </c>
      <c r="BT221" s="1" t="s">
        <v>92</v>
      </c>
      <c r="BU221" s="1" t="s">
        <v>92</v>
      </c>
      <c r="BV221" s="1" t="s">
        <v>92</v>
      </c>
      <c r="BW221" s="3" t="s">
        <v>92</v>
      </c>
      <c r="BX221" s="1" t="s">
        <v>92</v>
      </c>
      <c r="BY221" s="1" t="s">
        <v>92</v>
      </c>
      <c r="BZ221" s="1" t="s">
        <v>92</v>
      </c>
      <c r="CA221" s="1" t="s">
        <v>92</v>
      </c>
      <c r="CB221" s="1" t="s">
        <v>92</v>
      </c>
      <c r="CC221" s="1" t="s">
        <v>92</v>
      </c>
      <c r="CD221" s="1" t="s">
        <v>92</v>
      </c>
      <c r="CF221" s="13" t="s">
        <v>209</v>
      </c>
    </row>
    <row r="222" spans="1:85" x14ac:dyDescent="0.15">
      <c r="A222" s="1" t="s">
        <v>208</v>
      </c>
      <c r="B222" s="1" t="s">
        <v>124</v>
      </c>
      <c r="C222" s="1" t="s">
        <v>92</v>
      </c>
      <c r="D222" s="1">
        <v>693</v>
      </c>
      <c r="E222" s="1" t="s">
        <v>93</v>
      </c>
      <c r="F222" s="1">
        <v>0.15</v>
      </c>
      <c r="G222" s="1">
        <f t="shared" si="23"/>
        <v>277.2</v>
      </c>
      <c r="H222" s="3">
        <v>600</v>
      </c>
      <c r="I222" s="1" t="s">
        <v>92</v>
      </c>
      <c r="J222" s="1">
        <v>0.33500000000000002</v>
      </c>
      <c r="M222" s="1" t="s">
        <v>92</v>
      </c>
      <c r="N222" s="1" t="s">
        <v>92</v>
      </c>
      <c r="O222" s="1" t="s">
        <v>92</v>
      </c>
      <c r="S222" s="54">
        <v>3.87</v>
      </c>
      <c r="W222" s="54">
        <v>78.17</v>
      </c>
      <c r="AE222" s="54">
        <v>3.53</v>
      </c>
      <c r="AI222" s="54">
        <v>49.17</v>
      </c>
      <c r="AM222" s="54">
        <v>5.93</v>
      </c>
      <c r="AQ222" s="54">
        <v>1.03</v>
      </c>
      <c r="AU222" s="54">
        <v>43.87</v>
      </c>
      <c r="AV222" s="54">
        <v>17.73</v>
      </c>
      <c r="BB222" s="1">
        <v>47.9</v>
      </c>
      <c r="BC222" s="1">
        <v>28.8</v>
      </c>
      <c r="BD222" s="1">
        <v>22.9</v>
      </c>
      <c r="BE222" s="5" t="s">
        <v>96</v>
      </c>
      <c r="BF222" s="5"/>
      <c r="BG222" s="5"/>
      <c r="BH222" s="10">
        <f t="shared" si="22"/>
        <v>0</v>
      </c>
      <c r="BI222" s="1">
        <v>0</v>
      </c>
      <c r="BJ222" s="1">
        <v>0</v>
      </c>
      <c r="BK222" s="1">
        <v>0</v>
      </c>
      <c r="BL222" s="8" t="s">
        <v>92</v>
      </c>
      <c r="BM222" s="1" t="s">
        <v>92</v>
      </c>
      <c r="BN222" s="8" t="s">
        <v>92</v>
      </c>
      <c r="BO222" s="8" t="s">
        <v>92</v>
      </c>
      <c r="BP222" s="1" t="s">
        <v>92</v>
      </c>
      <c r="BQ222" s="1" t="s">
        <v>92</v>
      </c>
      <c r="BR222" s="1" t="s">
        <v>92</v>
      </c>
      <c r="BS222" s="1" t="s">
        <v>92</v>
      </c>
      <c r="BT222" s="1" t="s">
        <v>92</v>
      </c>
      <c r="BU222" s="1" t="s">
        <v>92</v>
      </c>
      <c r="BV222" s="1" t="s">
        <v>92</v>
      </c>
      <c r="BW222" s="3" t="s">
        <v>92</v>
      </c>
      <c r="BX222" s="1" t="s">
        <v>92</v>
      </c>
      <c r="BY222" s="1" t="s">
        <v>92</v>
      </c>
      <c r="BZ222" s="1" t="s">
        <v>92</v>
      </c>
      <c r="CA222" s="1" t="s">
        <v>92</v>
      </c>
      <c r="CB222" s="1" t="s">
        <v>92</v>
      </c>
      <c r="CC222" s="1" t="s">
        <v>92</v>
      </c>
      <c r="CD222" s="1" t="s">
        <v>92</v>
      </c>
      <c r="CF222" s="13" t="s">
        <v>209</v>
      </c>
    </row>
    <row r="223" spans="1:85" x14ac:dyDescent="0.15">
      <c r="A223" s="1" t="s">
        <v>208</v>
      </c>
      <c r="B223" s="1" t="s">
        <v>124</v>
      </c>
      <c r="C223" s="1" t="s">
        <v>92</v>
      </c>
      <c r="D223" s="1">
        <v>693</v>
      </c>
      <c r="E223" s="1" t="s">
        <v>93</v>
      </c>
      <c r="F223" s="1">
        <v>0.15</v>
      </c>
      <c r="G223" s="1">
        <f t="shared" si="23"/>
        <v>277.2</v>
      </c>
      <c r="H223" s="3">
        <v>600</v>
      </c>
      <c r="I223" s="1" t="s">
        <v>92</v>
      </c>
      <c r="J223" s="1">
        <v>0.51</v>
      </c>
      <c r="M223" s="1" t="s">
        <v>92</v>
      </c>
      <c r="N223" s="1" t="s">
        <v>92</v>
      </c>
      <c r="O223" s="1" t="s">
        <v>92</v>
      </c>
      <c r="S223" s="54">
        <v>3.87</v>
      </c>
      <c r="W223" s="54">
        <v>78.17</v>
      </c>
      <c r="AE223" s="54">
        <v>3.53</v>
      </c>
      <c r="AI223" s="54">
        <v>49.17</v>
      </c>
      <c r="AM223" s="54">
        <v>5.93</v>
      </c>
      <c r="AQ223" s="54">
        <v>1.03</v>
      </c>
      <c r="AU223" s="54">
        <v>43.87</v>
      </c>
      <c r="AV223" s="54">
        <v>17.73</v>
      </c>
      <c r="BB223" s="1">
        <v>48.4</v>
      </c>
      <c r="BC223" s="1">
        <v>27.1</v>
      </c>
      <c r="BD223" s="1">
        <v>23.5</v>
      </c>
      <c r="BE223" s="5" t="s">
        <v>96</v>
      </c>
      <c r="BF223" s="5"/>
      <c r="BG223" s="5"/>
      <c r="BH223" s="10">
        <f t="shared" si="22"/>
        <v>0</v>
      </c>
      <c r="BI223" s="1">
        <v>0</v>
      </c>
      <c r="BJ223" s="1">
        <v>0</v>
      </c>
      <c r="BK223" s="1">
        <v>0</v>
      </c>
      <c r="BL223" s="8" t="s">
        <v>92</v>
      </c>
      <c r="BM223" s="1" t="s">
        <v>92</v>
      </c>
      <c r="BN223" s="8" t="s">
        <v>92</v>
      </c>
      <c r="BO223" s="8" t="s">
        <v>92</v>
      </c>
      <c r="BP223" s="1" t="s">
        <v>92</v>
      </c>
      <c r="BQ223" s="1" t="s">
        <v>92</v>
      </c>
      <c r="BR223" s="1" t="s">
        <v>92</v>
      </c>
      <c r="BS223" s="1" t="s">
        <v>92</v>
      </c>
      <c r="BT223" s="1" t="s">
        <v>92</v>
      </c>
      <c r="BU223" s="1" t="s">
        <v>92</v>
      </c>
      <c r="BV223" s="1" t="s">
        <v>92</v>
      </c>
      <c r="BW223" s="3" t="s">
        <v>92</v>
      </c>
      <c r="BX223" s="1" t="s">
        <v>92</v>
      </c>
      <c r="BY223" s="1" t="s">
        <v>92</v>
      </c>
      <c r="BZ223" s="1" t="s">
        <v>92</v>
      </c>
      <c r="CA223" s="1" t="s">
        <v>92</v>
      </c>
      <c r="CB223" s="1" t="s">
        <v>92</v>
      </c>
      <c r="CC223" s="1" t="s">
        <v>92</v>
      </c>
      <c r="CD223" s="1" t="s">
        <v>92</v>
      </c>
      <c r="CF223" s="13" t="s">
        <v>209</v>
      </c>
    </row>
    <row r="224" spans="1:85" x14ac:dyDescent="0.15">
      <c r="A224" s="1" t="s">
        <v>211</v>
      </c>
      <c r="B224" s="1" t="s">
        <v>91</v>
      </c>
      <c r="C224" s="1">
        <v>1510</v>
      </c>
      <c r="D224" s="1" t="s">
        <v>92</v>
      </c>
      <c r="E224" s="1" t="s">
        <v>93</v>
      </c>
      <c r="F224" s="1">
        <v>5</v>
      </c>
      <c r="G224" s="1">
        <f>((C224/1000)/(F224))*60</f>
        <v>18.12</v>
      </c>
      <c r="H224" s="3">
        <v>400</v>
      </c>
      <c r="I224" s="1" t="s">
        <v>92</v>
      </c>
      <c r="J224" s="1">
        <v>0.7</v>
      </c>
      <c r="M224" s="1">
        <v>2.5</v>
      </c>
      <c r="N224" s="1" t="s">
        <v>92</v>
      </c>
      <c r="O224" s="1" t="s">
        <v>92</v>
      </c>
      <c r="S224" s="54">
        <v>9.1</v>
      </c>
      <c r="W224" s="54">
        <v>91.9</v>
      </c>
      <c r="AE224" s="54" t="s">
        <v>92</v>
      </c>
      <c r="AI224" s="54">
        <v>49.1</v>
      </c>
      <c r="AM224" s="54">
        <v>6.2</v>
      </c>
      <c r="AQ224" s="54">
        <v>3</v>
      </c>
      <c r="AU224" s="54">
        <v>41.7</v>
      </c>
      <c r="AV224" s="54" t="s">
        <v>92</v>
      </c>
      <c r="BB224" s="1">
        <v>52.1</v>
      </c>
      <c r="BC224" s="1">
        <v>35.4</v>
      </c>
      <c r="BD224" s="1">
        <v>11.8</v>
      </c>
      <c r="BE224" s="5" t="s">
        <v>96</v>
      </c>
      <c r="BF224" s="5"/>
      <c r="BG224" s="5"/>
      <c r="BH224" s="10">
        <f t="shared" si="22"/>
        <v>15.9</v>
      </c>
      <c r="BI224" s="1">
        <v>0</v>
      </c>
      <c r="BJ224" s="1">
        <v>0</v>
      </c>
      <c r="BK224" s="1">
        <v>15.9</v>
      </c>
      <c r="BL224" s="8" t="s">
        <v>92</v>
      </c>
      <c r="BM224" s="1" t="s">
        <v>92</v>
      </c>
      <c r="BN224" s="8" t="s">
        <v>92</v>
      </c>
      <c r="BO224" s="8" t="s">
        <v>92</v>
      </c>
      <c r="BP224" s="1" t="s">
        <v>92</v>
      </c>
      <c r="BQ224" s="1" t="s">
        <v>92</v>
      </c>
      <c r="BR224" s="1">
        <v>0</v>
      </c>
      <c r="BS224" s="1" t="s">
        <v>92</v>
      </c>
      <c r="BT224" s="1" t="s">
        <v>92</v>
      </c>
      <c r="BU224" s="1" t="s">
        <v>92</v>
      </c>
      <c r="BV224" s="1">
        <v>4.9000000000000004</v>
      </c>
      <c r="BW224" s="1">
        <v>16.399999999999999</v>
      </c>
      <c r="BX224" s="1" t="s">
        <v>92</v>
      </c>
      <c r="BY224" s="1" t="s">
        <v>92</v>
      </c>
      <c r="BZ224" s="1" t="s">
        <v>92</v>
      </c>
      <c r="CA224" s="1" t="s">
        <v>92</v>
      </c>
      <c r="CB224" s="1" t="s">
        <v>92</v>
      </c>
      <c r="CC224" s="1" t="s">
        <v>92</v>
      </c>
      <c r="CD224" s="1" t="s">
        <v>92</v>
      </c>
      <c r="CF224" s="1" t="s">
        <v>212</v>
      </c>
    </row>
    <row r="225" spans="1:85" x14ac:dyDescent="0.15">
      <c r="A225" s="1" t="s">
        <v>211</v>
      </c>
      <c r="B225" s="1" t="s">
        <v>91</v>
      </c>
      <c r="C225" s="1">
        <v>1510</v>
      </c>
      <c r="D225" s="1" t="s">
        <v>92</v>
      </c>
      <c r="E225" s="1" t="s">
        <v>93</v>
      </c>
      <c r="F225" s="1">
        <v>5</v>
      </c>
      <c r="G225" s="1">
        <f t="shared" ref="G225:G233" si="24">((C225/1000)/(F225))*60</f>
        <v>18.12</v>
      </c>
      <c r="H225" s="3">
        <v>450</v>
      </c>
      <c r="I225" s="1" t="s">
        <v>92</v>
      </c>
      <c r="J225" s="1">
        <v>0.7</v>
      </c>
      <c r="M225" s="1">
        <v>2.5</v>
      </c>
      <c r="N225" s="1" t="s">
        <v>92</v>
      </c>
      <c r="O225" s="1" t="s">
        <v>92</v>
      </c>
      <c r="S225" s="54">
        <v>9.1</v>
      </c>
      <c r="W225" s="54">
        <v>91.9</v>
      </c>
      <c r="AE225" s="54" t="s">
        <v>92</v>
      </c>
      <c r="AI225" s="54">
        <v>49.1</v>
      </c>
      <c r="AM225" s="54">
        <v>6.2</v>
      </c>
      <c r="AQ225" s="54">
        <v>3</v>
      </c>
      <c r="AU225" s="54">
        <v>41.7</v>
      </c>
      <c r="AV225" s="54" t="s">
        <v>92</v>
      </c>
      <c r="BB225" s="1">
        <v>57.8</v>
      </c>
      <c r="BC225" s="1">
        <v>28.4</v>
      </c>
      <c r="BD225" s="1">
        <v>13.05</v>
      </c>
      <c r="BE225" s="5" t="s">
        <v>96</v>
      </c>
      <c r="BF225" s="5"/>
      <c r="BG225" s="5"/>
      <c r="BH225" s="10">
        <f t="shared" si="22"/>
        <v>6.9</v>
      </c>
      <c r="BI225" s="1">
        <v>0</v>
      </c>
      <c r="BJ225" s="1">
        <v>0</v>
      </c>
      <c r="BK225" s="1">
        <v>6.9</v>
      </c>
      <c r="BL225" s="8" t="s">
        <v>92</v>
      </c>
      <c r="BM225" s="1" t="s">
        <v>92</v>
      </c>
      <c r="BN225" s="8" t="s">
        <v>92</v>
      </c>
      <c r="BO225" s="8" t="s">
        <v>92</v>
      </c>
      <c r="BP225" s="1" t="s">
        <v>92</v>
      </c>
      <c r="BQ225" s="1" t="s">
        <v>92</v>
      </c>
      <c r="BR225" s="1">
        <v>0</v>
      </c>
      <c r="BS225" s="1" t="s">
        <v>92</v>
      </c>
      <c r="BT225" s="1" t="s">
        <v>92</v>
      </c>
      <c r="BU225" s="1" t="s">
        <v>92</v>
      </c>
      <c r="BV225" s="1">
        <v>12.2</v>
      </c>
      <c r="BW225" s="1">
        <v>16.2</v>
      </c>
      <c r="BX225" s="1" t="s">
        <v>92</v>
      </c>
      <c r="BY225" s="1" t="s">
        <v>92</v>
      </c>
      <c r="BZ225" s="1" t="s">
        <v>92</v>
      </c>
      <c r="CA225" s="1" t="s">
        <v>92</v>
      </c>
      <c r="CB225" s="1" t="s">
        <v>92</v>
      </c>
      <c r="CC225" s="1" t="s">
        <v>92</v>
      </c>
      <c r="CD225" s="1" t="s">
        <v>92</v>
      </c>
      <c r="CF225" s="1" t="s">
        <v>212</v>
      </c>
    </row>
    <row r="226" spans="1:85" x14ac:dyDescent="0.15">
      <c r="A226" s="1" t="s">
        <v>211</v>
      </c>
      <c r="B226" s="1" t="s">
        <v>91</v>
      </c>
      <c r="C226" s="1">
        <v>1510</v>
      </c>
      <c r="D226" s="1" t="s">
        <v>92</v>
      </c>
      <c r="E226" s="1" t="s">
        <v>93</v>
      </c>
      <c r="F226" s="1">
        <v>5</v>
      </c>
      <c r="G226" s="1">
        <f t="shared" si="24"/>
        <v>18.12</v>
      </c>
      <c r="H226" s="3">
        <v>500</v>
      </c>
      <c r="I226" s="1" t="s">
        <v>92</v>
      </c>
      <c r="J226" s="1">
        <v>0.7</v>
      </c>
      <c r="M226" s="1">
        <v>2.5</v>
      </c>
      <c r="N226" s="1" t="s">
        <v>92</v>
      </c>
      <c r="O226" s="1" t="s">
        <v>92</v>
      </c>
      <c r="S226" s="54">
        <v>9.1</v>
      </c>
      <c r="W226" s="54">
        <v>91.9</v>
      </c>
      <c r="AE226" s="54" t="s">
        <v>92</v>
      </c>
      <c r="AI226" s="54">
        <v>49.1</v>
      </c>
      <c r="AM226" s="54">
        <v>6.2</v>
      </c>
      <c r="AQ226" s="54">
        <v>3</v>
      </c>
      <c r="AU226" s="54">
        <v>41.7</v>
      </c>
      <c r="AV226" s="54" t="s">
        <v>92</v>
      </c>
      <c r="BB226" s="1">
        <v>54.5</v>
      </c>
      <c r="BC226" s="1">
        <v>23.8</v>
      </c>
      <c r="BD226" s="1">
        <v>21.6</v>
      </c>
      <c r="BE226" s="5" t="s">
        <v>96</v>
      </c>
      <c r="BF226" s="5"/>
      <c r="BG226" s="5"/>
      <c r="BH226" s="10">
        <f t="shared" si="22"/>
        <v>7.4</v>
      </c>
      <c r="BI226" s="1">
        <v>0</v>
      </c>
      <c r="BJ226" s="1">
        <v>0</v>
      </c>
      <c r="BK226" s="1">
        <v>7.4</v>
      </c>
      <c r="BL226" s="8" t="s">
        <v>92</v>
      </c>
      <c r="BM226" s="1" t="s">
        <v>92</v>
      </c>
      <c r="BN226" s="8" t="s">
        <v>92</v>
      </c>
      <c r="BO226" s="8" t="s">
        <v>92</v>
      </c>
      <c r="BP226" s="1" t="s">
        <v>92</v>
      </c>
      <c r="BQ226" s="1" t="s">
        <v>92</v>
      </c>
      <c r="BR226" s="1">
        <v>0</v>
      </c>
      <c r="BS226" s="1" t="s">
        <v>92</v>
      </c>
      <c r="BT226" s="1" t="s">
        <v>92</v>
      </c>
      <c r="BU226" s="1" t="s">
        <v>92</v>
      </c>
      <c r="BV226" s="1">
        <v>29.85</v>
      </c>
      <c r="BW226" s="1">
        <v>13.3</v>
      </c>
      <c r="BX226" s="1" t="s">
        <v>92</v>
      </c>
      <c r="BY226" s="1" t="s">
        <v>92</v>
      </c>
      <c r="BZ226" s="1" t="s">
        <v>92</v>
      </c>
      <c r="CA226" s="1" t="s">
        <v>92</v>
      </c>
      <c r="CB226" s="1" t="s">
        <v>92</v>
      </c>
      <c r="CC226" s="1" t="s">
        <v>92</v>
      </c>
      <c r="CD226" s="1" t="s">
        <v>92</v>
      </c>
      <c r="CF226" s="1" t="s">
        <v>212</v>
      </c>
    </row>
    <row r="227" spans="1:85" x14ac:dyDescent="0.15">
      <c r="A227" s="1" t="s">
        <v>211</v>
      </c>
      <c r="B227" s="1" t="s">
        <v>91</v>
      </c>
      <c r="C227" s="1">
        <v>1510</v>
      </c>
      <c r="D227" s="1" t="s">
        <v>92</v>
      </c>
      <c r="E227" s="1" t="s">
        <v>93</v>
      </c>
      <c r="F227" s="1">
        <v>5</v>
      </c>
      <c r="G227" s="1">
        <f t="shared" si="24"/>
        <v>18.12</v>
      </c>
      <c r="H227" s="3">
        <v>550</v>
      </c>
      <c r="I227" s="1" t="s">
        <v>92</v>
      </c>
      <c r="J227" s="1">
        <v>0.7</v>
      </c>
      <c r="M227" s="1">
        <v>2.5</v>
      </c>
      <c r="N227" s="1" t="s">
        <v>92</v>
      </c>
      <c r="O227" s="1" t="s">
        <v>92</v>
      </c>
      <c r="S227" s="54">
        <v>9.1</v>
      </c>
      <c r="W227" s="54">
        <v>91.9</v>
      </c>
      <c r="AE227" s="54" t="s">
        <v>92</v>
      </c>
      <c r="AI227" s="54">
        <v>49.1</v>
      </c>
      <c r="AM227" s="54">
        <v>6.2</v>
      </c>
      <c r="AQ227" s="54">
        <v>3</v>
      </c>
      <c r="AU227" s="54">
        <v>41.7</v>
      </c>
      <c r="AV227" s="54" t="s">
        <v>92</v>
      </c>
      <c r="BB227" s="1">
        <v>43.8</v>
      </c>
      <c r="BC227" s="1">
        <v>21.1</v>
      </c>
      <c r="BD227" s="1">
        <v>34.5</v>
      </c>
      <c r="BE227" s="5" t="s">
        <v>96</v>
      </c>
      <c r="BF227" s="5"/>
      <c r="BG227" s="5"/>
      <c r="BH227" s="10">
        <f t="shared" si="22"/>
        <v>17.899999999999999</v>
      </c>
      <c r="BI227" s="1">
        <v>0</v>
      </c>
      <c r="BJ227" s="1">
        <v>0</v>
      </c>
      <c r="BK227" s="1">
        <v>17.899999999999999</v>
      </c>
      <c r="BL227" s="8" t="s">
        <v>92</v>
      </c>
      <c r="BM227" s="1" t="s">
        <v>92</v>
      </c>
      <c r="BN227" s="8" t="s">
        <v>92</v>
      </c>
      <c r="BO227" s="8" t="s">
        <v>92</v>
      </c>
      <c r="BP227" s="1" t="s">
        <v>92</v>
      </c>
      <c r="BQ227" s="1" t="s">
        <v>92</v>
      </c>
      <c r="BR227" s="1">
        <v>0.68</v>
      </c>
      <c r="BS227" s="1" t="s">
        <v>92</v>
      </c>
      <c r="BT227" s="1" t="s">
        <v>92</v>
      </c>
      <c r="BU227" s="1" t="s">
        <v>92</v>
      </c>
      <c r="BV227" s="1">
        <v>27.6</v>
      </c>
      <c r="BW227" s="1">
        <v>7.8</v>
      </c>
      <c r="BX227" s="1" t="s">
        <v>92</v>
      </c>
      <c r="BY227" s="1" t="s">
        <v>92</v>
      </c>
      <c r="BZ227" s="1" t="s">
        <v>92</v>
      </c>
      <c r="CA227" s="1" t="s">
        <v>92</v>
      </c>
      <c r="CB227" s="1" t="s">
        <v>92</v>
      </c>
      <c r="CC227" s="1" t="s">
        <v>92</v>
      </c>
      <c r="CD227" s="1" t="s">
        <v>92</v>
      </c>
      <c r="CF227" s="1" t="s">
        <v>212</v>
      </c>
    </row>
    <row r="228" spans="1:85" x14ac:dyDescent="0.15">
      <c r="A228" s="1" t="s">
        <v>211</v>
      </c>
      <c r="B228" s="1" t="s">
        <v>91</v>
      </c>
      <c r="C228" s="1">
        <v>1510</v>
      </c>
      <c r="D228" s="1" t="s">
        <v>92</v>
      </c>
      <c r="E228" s="1" t="s">
        <v>93</v>
      </c>
      <c r="F228" s="1">
        <v>5</v>
      </c>
      <c r="G228" s="1">
        <f t="shared" si="24"/>
        <v>18.12</v>
      </c>
      <c r="H228" s="3">
        <v>450</v>
      </c>
      <c r="I228" s="1" t="s">
        <v>92</v>
      </c>
      <c r="J228" s="1">
        <v>0.3</v>
      </c>
      <c r="M228" s="1">
        <v>2.5</v>
      </c>
      <c r="N228" s="1" t="s">
        <v>92</v>
      </c>
      <c r="O228" s="1" t="s">
        <v>92</v>
      </c>
      <c r="S228" s="54">
        <v>9.1</v>
      </c>
      <c r="W228" s="54">
        <v>91.9</v>
      </c>
      <c r="AE228" s="54" t="s">
        <v>92</v>
      </c>
      <c r="AI228" s="54">
        <v>49.1</v>
      </c>
      <c r="AM228" s="54">
        <v>6.2</v>
      </c>
      <c r="AQ228" s="54">
        <v>3</v>
      </c>
      <c r="AU228" s="54">
        <v>41.7</v>
      </c>
      <c r="AV228" s="54" t="s">
        <v>92</v>
      </c>
      <c r="BB228" s="1">
        <f>BB226-3</f>
        <v>51.5</v>
      </c>
      <c r="BC228" s="1">
        <f>BC225-3</f>
        <v>25.4</v>
      </c>
      <c r="BD228" s="1">
        <v>20.5</v>
      </c>
      <c r="BE228" s="5" t="s">
        <v>96</v>
      </c>
      <c r="BF228" s="5"/>
      <c r="BG228" s="5"/>
      <c r="BH228" s="10">
        <f t="shared" si="22"/>
        <v>0</v>
      </c>
      <c r="BI228" s="1">
        <v>0</v>
      </c>
      <c r="BJ228" s="1">
        <v>0</v>
      </c>
      <c r="BK228" s="1">
        <v>0</v>
      </c>
      <c r="BL228" s="8" t="s">
        <v>92</v>
      </c>
      <c r="BM228" s="1" t="s">
        <v>92</v>
      </c>
      <c r="BN228" s="8" t="s">
        <v>92</v>
      </c>
      <c r="BO228" s="8" t="s">
        <v>92</v>
      </c>
      <c r="BP228" s="1" t="s">
        <v>92</v>
      </c>
      <c r="BQ228" s="1" t="s">
        <v>92</v>
      </c>
      <c r="BR228" s="1" t="s">
        <v>92</v>
      </c>
      <c r="BS228" s="1" t="s">
        <v>92</v>
      </c>
      <c r="BT228" s="1" t="s">
        <v>92</v>
      </c>
      <c r="BU228" s="1" t="s">
        <v>92</v>
      </c>
      <c r="BV228" s="1" t="s">
        <v>92</v>
      </c>
      <c r="BW228" s="1" t="s">
        <v>92</v>
      </c>
      <c r="BX228" s="1" t="s">
        <v>92</v>
      </c>
      <c r="BY228" s="1" t="s">
        <v>92</v>
      </c>
      <c r="BZ228" s="1" t="s">
        <v>92</v>
      </c>
      <c r="CA228" s="1" t="s">
        <v>92</v>
      </c>
      <c r="CB228" s="1" t="s">
        <v>92</v>
      </c>
      <c r="CC228" s="1" t="s">
        <v>92</v>
      </c>
      <c r="CD228" s="1" t="s">
        <v>92</v>
      </c>
      <c r="CF228" s="1" t="s">
        <v>212</v>
      </c>
    </row>
    <row r="229" spans="1:85" x14ac:dyDescent="0.15">
      <c r="A229" s="1" t="s">
        <v>211</v>
      </c>
      <c r="B229" s="1" t="s">
        <v>91</v>
      </c>
      <c r="C229" s="1">
        <v>1510</v>
      </c>
      <c r="D229" s="1" t="s">
        <v>92</v>
      </c>
      <c r="E229" s="1" t="s">
        <v>93</v>
      </c>
      <c r="F229" s="1">
        <v>5</v>
      </c>
      <c r="G229" s="1">
        <f t="shared" si="24"/>
        <v>18.12</v>
      </c>
      <c r="H229" s="3">
        <v>450</v>
      </c>
      <c r="I229" s="1" t="s">
        <v>92</v>
      </c>
      <c r="J229" s="1">
        <v>1.3</v>
      </c>
      <c r="M229" s="1">
        <v>2.5</v>
      </c>
      <c r="N229" s="1" t="s">
        <v>92</v>
      </c>
      <c r="O229" s="1" t="s">
        <v>92</v>
      </c>
      <c r="S229" s="54">
        <v>9.1</v>
      </c>
      <c r="W229" s="54">
        <v>91.9</v>
      </c>
      <c r="AE229" s="54" t="s">
        <v>92</v>
      </c>
      <c r="AI229" s="54">
        <v>49.1</v>
      </c>
      <c r="AM229" s="54">
        <v>6.2</v>
      </c>
      <c r="AQ229" s="54">
        <v>3</v>
      </c>
      <c r="AU229" s="54">
        <v>41.7</v>
      </c>
      <c r="AV229" s="54" t="s">
        <v>92</v>
      </c>
      <c r="BB229" s="1">
        <v>53</v>
      </c>
      <c r="BC229" s="1">
        <f>28.4+3</f>
        <v>31.4</v>
      </c>
      <c r="BD229" s="1">
        <f>100-(BB229+BC229)</f>
        <v>15.599999999999994</v>
      </c>
      <c r="BE229" s="5" t="s">
        <v>96</v>
      </c>
      <c r="BF229" s="5"/>
      <c r="BG229" s="5"/>
      <c r="BH229" s="10">
        <f t="shared" si="22"/>
        <v>0</v>
      </c>
      <c r="BI229" s="1">
        <v>0</v>
      </c>
      <c r="BJ229" s="1">
        <v>0</v>
      </c>
      <c r="BK229" s="1">
        <v>0</v>
      </c>
      <c r="BL229" s="8" t="s">
        <v>92</v>
      </c>
      <c r="BM229" s="1" t="s">
        <v>92</v>
      </c>
      <c r="BN229" s="8" t="s">
        <v>92</v>
      </c>
      <c r="BO229" s="8" t="s">
        <v>92</v>
      </c>
      <c r="BP229" s="1" t="s">
        <v>92</v>
      </c>
      <c r="BQ229" s="1" t="s">
        <v>92</v>
      </c>
      <c r="BR229" s="1" t="s">
        <v>92</v>
      </c>
      <c r="BS229" s="1" t="s">
        <v>92</v>
      </c>
      <c r="BT229" s="1" t="s">
        <v>92</v>
      </c>
      <c r="BU229" s="1" t="s">
        <v>92</v>
      </c>
      <c r="BV229" s="1" t="s">
        <v>92</v>
      </c>
      <c r="BW229" s="1" t="s">
        <v>92</v>
      </c>
      <c r="BX229" s="1" t="s">
        <v>92</v>
      </c>
      <c r="BY229" s="1" t="s">
        <v>92</v>
      </c>
      <c r="BZ229" s="1" t="s">
        <v>92</v>
      </c>
      <c r="CA229" s="1" t="s">
        <v>92</v>
      </c>
      <c r="CB229" s="1" t="s">
        <v>92</v>
      </c>
      <c r="CC229" s="1" t="s">
        <v>92</v>
      </c>
      <c r="CD229" s="1" t="s">
        <v>92</v>
      </c>
      <c r="CF229" s="1" t="s">
        <v>212</v>
      </c>
      <c r="CG229" s="1" t="s">
        <v>122</v>
      </c>
    </row>
    <row r="230" spans="1:85" x14ac:dyDescent="0.15">
      <c r="A230" s="1" t="s">
        <v>211</v>
      </c>
      <c r="B230" s="1" t="s">
        <v>91</v>
      </c>
      <c r="C230" s="1">
        <v>1510</v>
      </c>
      <c r="D230" s="1" t="s">
        <v>92</v>
      </c>
      <c r="E230" s="1" t="s">
        <v>93</v>
      </c>
      <c r="F230" s="1">
        <v>3</v>
      </c>
      <c r="G230" s="1">
        <f t="shared" si="24"/>
        <v>30.2</v>
      </c>
      <c r="H230" s="3">
        <v>450</v>
      </c>
      <c r="I230" s="1" t="s">
        <v>92</v>
      </c>
      <c r="J230" s="1">
        <v>0.7</v>
      </c>
      <c r="M230" s="1">
        <v>2.5</v>
      </c>
      <c r="N230" s="1" t="s">
        <v>92</v>
      </c>
      <c r="O230" s="1" t="s">
        <v>92</v>
      </c>
      <c r="S230" s="54">
        <v>9.1</v>
      </c>
      <c r="W230" s="54">
        <v>91.9</v>
      </c>
      <c r="AE230" s="54" t="s">
        <v>92</v>
      </c>
      <c r="AI230" s="54">
        <v>49.1</v>
      </c>
      <c r="AM230" s="54">
        <v>6.2</v>
      </c>
      <c r="AQ230" s="54">
        <v>3</v>
      </c>
      <c r="AU230" s="54">
        <v>41.7</v>
      </c>
      <c r="AV230" s="54" t="s">
        <v>92</v>
      </c>
      <c r="BB230" s="1">
        <v>53</v>
      </c>
      <c r="BC230" s="1">
        <v>28.4</v>
      </c>
      <c r="BD230" s="1">
        <f>100-(BB230+BC230)</f>
        <v>18.599999999999994</v>
      </c>
      <c r="BE230" s="5" t="s">
        <v>96</v>
      </c>
      <c r="BF230" s="5"/>
      <c r="BG230" s="5"/>
      <c r="BH230" s="10">
        <f t="shared" si="22"/>
        <v>0</v>
      </c>
      <c r="BI230" s="1">
        <v>0</v>
      </c>
      <c r="BJ230" s="1">
        <v>0</v>
      </c>
      <c r="BK230" s="1">
        <v>0</v>
      </c>
      <c r="BL230" s="8" t="s">
        <v>92</v>
      </c>
      <c r="BM230" s="1" t="s">
        <v>92</v>
      </c>
      <c r="BN230" s="8" t="s">
        <v>92</v>
      </c>
      <c r="BO230" s="8" t="s">
        <v>92</v>
      </c>
      <c r="BP230" s="1" t="s">
        <v>92</v>
      </c>
      <c r="BQ230" s="1" t="s">
        <v>92</v>
      </c>
      <c r="BR230" s="1" t="s">
        <v>92</v>
      </c>
      <c r="BS230" s="1" t="s">
        <v>92</v>
      </c>
      <c r="BT230" s="1" t="s">
        <v>92</v>
      </c>
      <c r="BU230" s="1" t="s">
        <v>92</v>
      </c>
      <c r="BV230" s="1" t="s">
        <v>92</v>
      </c>
      <c r="BW230" s="1" t="s">
        <v>92</v>
      </c>
      <c r="BX230" s="1" t="s">
        <v>92</v>
      </c>
      <c r="BY230" s="1" t="s">
        <v>92</v>
      </c>
      <c r="BZ230" s="1" t="s">
        <v>92</v>
      </c>
      <c r="CA230" s="1" t="s">
        <v>92</v>
      </c>
      <c r="CB230" s="1" t="s">
        <v>92</v>
      </c>
      <c r="CC230" s="1" t="s">
        <v>92</v>
      </c>
      <c r="CD230" s="1" t="s">
        <v>92</v>
      </c>
      <c r="CF230" s="1" t="s">
        <v>212</v>
      </c>
    </row>
    <row r="231" spans="1:85" x14ac:dyDescent="0.15">
      <c r="A231" s="1" t="s">
        <v>211</v>
      </c>
      <c r="B231" s="1" t="s">
        <v>91</v>
      </c>
      <c r="C231" s="1">
        <v>1510</v>
      </c>
      <c r="D231" s="1" t="s">
        <v>92</v>
      </c>
      <c r="E231" s="1" t="s">
        <v>93</v>
      </c>
      <c r="F231" s="1">
        <v>4</v>
      </c>
      <c r="G231" s="1">
        <f t="shared" si="24"/>
        <v>22.65</v>
      </c>
      <c r="H231" s="3">
        <v>450</v>
      </c>
      <c r="I231" s="1" t="s">
        <v>92</v>
      </c>
      <c r="J231" s="1">
        <v>0.7</v>
      </c>
      <c r="M231" s="1">
        <v>2.5</v>
      </c>
      <c r="N231" s="1" t="s">
        <v>92</v>
      </c>
      <c r="O231" s="1" t="s">
        <v>92</v>
      </c>
      <c r="S231" s="54">
        <v>9.1</v>
      </c>
      <c r="W231" s="54">
        <v>91.9</v>
      </c>
      <c r="AE231" s="54" t="s">
        <v>92</v>
      </c>
      <c r="AI231" s="54">
        <v>49.1</v>
      </c>
      <c r="AM231" s="54">
        <v>6.2</v>
      </c>
      <c r="AQ231" s="54">
        <v>3</v>
      </c>
      <c r="AU231" s="54">
        <v>41.7</v>
      </c>
      <c r="AV231" s="54" t="s">
        <v>92</v>
      </c>
      <c r="BB231" s="1" t="s">
        <v>92</v>
      </c>
      <c r="BC231" s="1" t="s">
        <v>92</v>
      </c>
      <c r="BD231" s="1" t="s">
        <v>92</v>
      </c>
      <c r="BE231" s="5"/>
      <c r="BF231" s="5"/>
      <c r="BG231" s="5"/>
      <c r="BH231" s="10">
        <f t="shared" si="22"/>
        <v>0</v>
      </c>
      <c r="BI231" s="1">
        <v>0</v>
      </c>
      <c r="BJ231" s="1">
        <v>0</v>
      </c>
      <c r="BK231" s="1">
        <v>0</v>
      </c>
      <c r="BL231" s="8" t="s">
        <v>92</v>
      </c>
      <c r="BM231" s="1" t="s">
        <v>92</v>
      </c>
      <c r="BN231" s="8" t="s">
        <v>92</v>
      </c>
      <c r="BO231" s="8" t="s">
        <v>92</v>
      </c>
      <c r="BP231" s="1" t="s">
        <v>92</v>
      </c>
      <c r="BQ231" s="1" t="s">
        <v>92</v>
      </c>
      <c r="BR231" s="1" t="s">
        <v>92</v>
      </c>
      <c r="BS231" s="1" t="s">
        <v>92</v>
      </c>
      <c r="BT231" s="1" t="s">
        <v>92</v>
      </c>
      <c r="BU231" s="1" t="s">
        <v>92</v>
      </c>
      <c r="BV231" s="1" t="s">
        <v>92</v>
      </c>
      <c r="BW231" s="1" t="s">
        <v>92</v>
      </c>
      <c r="BX231" s="1" t="s">
        <v>92</v>
      </c>
      <c r="BY231" s="1" t="s">
        <v>92</v>
      </c>
      <c r="BZ231" s="1" t="s">
        <v>92</v>
      </c>
      <c r="CA231" s="1" t="s">
        <v>92</v>
      </c>
      <c r="CB231" s="1" t="s">
        <v>92</v>
      </c>
      <c r="CC231" s="1" t="s">
        <v>92</v>
      </c>
      <c r="CD231" s="1" t="s">
        <v>92</v>
      </c>
      <c r="CF231" s="1" t="s">
        <v>212</v>
      </c>
    </row>
    <row r="232" spans="1:85" x14ac:dyDescent="0.15">
      <c r="A232" s="1" t="s">
        <v>211</v>
      </c>
      <c r="B232" s="1" t="s">
        <v>91</v>
      </c>
      <c r="C232" s="1">
        <v>1510</v>
      </c>
      <c r="D232" s="1" t="s">
        <v>92</v>
      </c>
      <c r="E232" s="1" t="s">
        <v>93</v>
      </c>
      <c r="F232" s="1">
        <v>5</v>
      </c>
      <c r="G232" s="1">
        <f t="shared" si="24"/>
        <v>18.12</v>
      </c>
      <c r="H232" s="3">
        <v>450</v>
      </c>
      <c r="I232" s="1" t="s">
        <v>92</v>
      </c>
      <c r="J232" s="1">
        <v>0.7</v>
      </c>
      <c r="M232" s="1">
        <v>1.5</v>
      </c>
      <c r="N232" s="1" t="s">
        <v>92</v>
      </c>
      <c r="O232" s="1" t="s">
        <v>92</v>
      </c>
      <c r="S232" s="54">
        <v>9.1</v>
      </c>
      <c r="W232" s="54">
        <v>91.9</v>
      </c>
      <c r="AE232" s="54" t="s">
        <v>92</v>
      </c>
      <c r="AI232" s="54">
        <v>49.1</v>
      </c>
      <c r="AM232" s="54">
        <v>6.2</v>
      </c>
      <c r="AQ232" s="54">
        <v>3</v>
      </c>
      <c r="AU232" s="54">
        <v>41.7</v>
      </c>
      <c r="AV232" s="54" t="s">
        <v>92</v>
      </c>
      <c r="BB232" s="1">
        <f>BB225-3</f>
        <v>54.8</v>
      </c>
      <c r="BC232" s="1">
        <v>28.4</v>
      </c>
      <c r="BD232" s="1">
        <f>100-(BB232+BC232)</f>
        <v>16.800000000000011</v>
      </c>
      <c r="BE232" s="5" t="s">
        <v>96</v>
      </c>
      <c r="BF232" s="5"/>
      <c r="BG232" s="5"/>
      <c r="BH232" s="10">
        <f t="shared" si="22"/>
        <v>0</v>
      </c>
      <c r="BI232" s="1">
        <v>0</v>
      </c>
      <c r="BJ232" s="1">
        <v>0</v>
      </c>
      <c r="BK232" s="1">
        <v>0</v>
      </c>
      <c r="BL232" s="8" t="s">
        <v>92</v>
      </c>
      <c r="BM232" s="1" t="s">
        <v>92</v>
      </c>
      <c r="BN232" s="8" t="s">
        <v>92</v>
      </c>
      <c r="BO232" s="8" t="s">
        <v>92</v>
      </c>
      <c r="BP232" s="1" t="s">
        <v>92</v>
      </c>
      <c r="BQ232" s="1" t="s">
        <v>92</v>
      </c>
      <c r="BR232" s="1" t="s">
        <v>92</v>
      </c>
      <c r="BS232" s="1" t="s">
        <v>92</v>
      </c>
      <c r="BT232" s="1" t="s">
        <v>92</v>
      </c>
      <c r="BU232" s="1" t="s">
        <v>92</v>
      </c>
      <c r="BV232" s="1" t="s">
        <v>92</v>
      </c>
      <c r="BW232" s="1" t="s">
        <v>92</v>
      </c>
      <c r="BX232" s="1" t="s">
        <v>92</v>
      </c>
      <c r="BY232" s="1" t="s">
        <v>92</v>
      </c>
      <c r="BZ232" s="1" t="s">
        <v>92</v>
      </c>
      <c r="CA232" s="1" t="s">
        <v>92</v>
      </c>
      <c r="CB232" s="1" t="s">
        <v>92</v>
      </c>
      <c r="CC232" s="1" t="s">
        <v>92</v>
      </c>
      <c r="CD232" s="1" t="s">
        <v>92</v>
      </c>
      <c r="CF232" s="1" t="s">
        <v>212</v>
      </c>
    </row>
    <row r="233" spans="1:85" x14ac:dyDescent="0.15">
      <c r="A233" s="1" t="s">
        <v>211</v>
      </c>
      <c r="B233" s="1" t="s">
        <v>91</v>
      </c>
      <c r="C233" s="1">
        <v>1510</v>
      </c>
      <c r="D233" s="1" t="s">
        <v>92</v>
      </c>
      <c r="E233" s="1" t="s">
        <v>213</v>
      </c>
      <c r="F233" s="1">
        <v>5</v>
      </c>
      <c r="G233" s="1">
        <f t="shared" si="24"/>
        <v>18.12</v>
      </c>
      <c r="H233" s="3">
        <v>450</v>
      </c>
      <c r="I233" s="1" t="s">
        <v>92</v>
      </c>
      <c r="J233" s="1">
        <v>0.7</v>
      </c>
      <c r="M233" s="1">
        <v>2.5</v>
      </c>
      <c r="N233" s="1" t="s">
        <v>92</v>
      </c>
      <c r="O233" s="1" t="s">
        <v>92</v>
      </c>
      <c r="S233" s="54">
        <v>9.1</v>
      </c>
      <c r="W233" s="54">
        <v>91.9</v>
      </c>
      <c r="AE233" s="54" t="s">
        <v>92</v>
      </c>
      <c r="AI233" s="54">
        <v>49.1</v>
      </c>
      <c r="AM233" s="54">
        <v>6.2</v>
      </c>
      <c r="AQ233" s="54">
        <v>3</v>
      </c>
      <c r="AU233" s="54">
        <v>41.7</v>
      </c>
      <c r="AV233" s="54" t="s">
        <v>92</v>
      </c>
      <c r="BB233" s="1">
        <v>65.8</v>
      </c>
      <c r="BC233" s="1">
        <v>28.4</v>
      </c>
      <c r="BD233" s="1">
        <v>3.8</v>
      </c>
      <c r="BE233" s="5" t="s">
        <v>96</v>
      </c>
      <c r="BF233" s="5"/>
      <c r="BG233" s="5"/>
      <c r="BH233" s="10">
        <f t="shared" si="22"/>
        <v>6.98</v>
      </c>
      <c r="BI233" s="1">
        <v>0</v>
      </c>
      <c r="BJ233" s="1">
        <v>0</v>
      </c>
      <c r="BK233" s="1">
        <v>6.98</v>
      </c>
      <c r="BL233" s="8" t="s">
        <v>92</v>
      </c>
      <c r="BM233" s="1" t="s">
        <v>92</v>
      </c>
      <c r="BN233" s="8" t="s">
        <v>92</v>
      </c>
      <c r="BO233" s="8" t="s">
        <v>92</v>
      </c>
      <c r="BP233" s="1" t="s">
        <v>92</v>
      </c>
      <c r="BQ233" s="1" t="s">
        <v>92</v>
      </c>
      <c r="BR233" s="1">
        <v>0</v>
      </c>
      <c r="BS233" s="1" t="s">
        <v>92</v>
      </c>
      <c r="BT233" s="1" t="s">
        <v>92</v>
      </c>
      <c r="BU233" s="1" t="s">
        <v>92</v>
      </c>
      <c r="BV233" s="1">
        <v>15.5</v>
      </c>
      <c r="BW233" s="1">
        <v>16.02</v>
      </c>
      <c r="BX233" s="1" t="s">
        <v>92</v>
      </c>
      <c r="BY233" s="1" t="s">
        <v>92</v>
      </c>
      <c r="BZ233" s="1" t="s">
        <v>92</v>
      </c>
      <c r="CA233" s="1" t="s">
        <v>92</v>
      </c>
      <c r="CB233" s="1" t="s">
        <v>92</v>
      </c>
      <c r="CC233" s="1" t="s">
        <v>92</v>
      </c>
      <c r="CD233" s="1" t="s">
        <v>92</v>
      </c>
      <c r="CF233" s="1" t="s">
        <v>212</v>
      </c>
    </row>
    <row r="234" spans="1:85" x14ac:dyDescent="0.15">
      <c r="A234" s="1" t="s">
        <v>214</v>
      </c>
      <c r="B234" s="1" t="s">
        <v>100</v>
      </c>
      <c r="C234" s="1" t="s">
        <v>92</v>
      </c>
      <c r="D234" s="1" t="s">
        <v>92</v>
      </c>
      <c r="E234" s="1" t="s">
        <v>93</v>
      </c>
      <c r="F234" s="1">
        <v>0.03</v>
      </c>
      <c r="G234" s="1" t="s">
        <v>92</v>
      </c>
      <c r="H234" s="3">
        <v>400</v>
      </c>
      <c r="I234" s="1" t="s">
        <v>92</v>
      </c>
      <c r="J234" s="1">
        <v>0.25</v>
      </c>
      <c r="M234" s="1" t="s">
        <v>92</v>
      </c>
      <c r="N234" s="1" t="s">
        <v>92</v>
      </c>
      <c r="O234" s="1" t="s">
        <v>92</v>
      </c>
      <c r="S234" s="54">
        <v>5.6</v>
      </c>
      <c r="W234" s="54" t="s">
        <v>92</v>
      </c>
      <c r="AE234" s="54">
        <v>12</v>
      </c>
      <c r="AI234" s="54">
        <v>46.51</v>
      </c>
      <c r="AM234" s="54">
        <v>5.64</v>
      </c>
      <c r="AQ234" s="54">
        <v>2.0699999999999998</v>
      </c>
      <c r="AU234" s="54">
        <v>45.74</v>
      </c>
      <c r="AV234" s="54" t="s">
        <v>92</v>
      </c>
      <c r="BB234" s="1">
        <v>37.299999999999997</v>
      </c>
      <c r="BC234" s="1">
        <v>42.6</v>
      </c>
      <c r="BD234" s="1">
        <v>19.7</v>
      </c>
      <c r="BE234" s="5" t="s">
        <v>96</v>
      </c>
      <c r="BF234" s="5"/>
      <c r="BG234" s="5"/>
      <c r="BH234" s="1" t="s">
        <v>92</v>
      </c>
      <c r="BI234" s="1" t="s">
        <v>92</v>
      </c>
      <c r="BJ234" s="1" t="s">
        <v>92</v>
      </c>
      <c r="BK234" s="1">
        <v>0.4</v>
      </c>
      <c r="BL234" s="8" t="s">
        <v>92</v>
      </c>
      <c r="BM234" s="1">
        <f>0.1+0.2</f>
        <v>0.30000000000000004</v>
      </c>
      <c r="BN234" s="8">
        <f>0.04+0.2</f>
        <v>0.24000000000000002</v>
      </c>
      <c r="BP234" s="1" t="s">
        <v>92</v>
      </c>
      <c r="BQ234" s="1" t="s">
        <v>92</v>
      </c>
      <c r="BR234" s="1" t="s">
        <v>92</v>
      </c>
      <c r="BS234" s="1" t="s">
        <v>92</v>
      </c>
      <c r="BT234" s="1" t="s">
        <v>92</v>
      </c>
      <c r="BU234" s="1" t="s">
        <v>92</v>
      </c>
      <c r="BV234" s="1">
        <f>23+12</f>
        <v>35</v>
      </c>
      <c r="BW234" s="1" t="s">
        <v>92</v>
      </c>
      <c r="BX234" s="1" t="s">
        <v>92</v>
      </c>
      <c r="BY234" s="1" t="s">
        <v>92</v>
      </c>
      <c r="BZ234" s="1" t="s">
        <v>92</v>
      </c>
      <c r="CA234" s="1" t="s">
        <v>92</v>
      </c>
      <c r="CB234" s="1" t="s">
        <v>92</v>
      </c>
      <c r="CC234" s="1" t="s">
        <v>92</v>
      </c>
      <c r="CD234" s="1" t="s">
        <v>92</v>
      </c>
      <c r="CF234" s="1" t="s">
        <v>215</v>
      </c>
      <c r="CG234" s="1" t="s">
        <v>216</v>
      </c>
    </row>
    <row r="235" spans="1:85" ht="15" x14ac:dyDescent="0.2">
      <c r="A235" s="1" t="s">
        <v>214</v>
      </c>
      <c r="B235" s="1" t="s">
        <v>100</v>
      </c>
      <c r="C235" s="1" t="s">
        <v>92</v>
      </c>
      <c r="D235" s="1" t="s">
        <v>92</v>
      </c>
      <c r="E235" s="1" t="s">
        <v>93</v>
      </c>
      <c r="F235" s="1">
        <v>0.03</v>
      </c>
      <c r="G235" s="1" t="s">
        <v>92</v>
      </c>
      <c r="H235" s="3">
        <v>400</v>
      </c>
      <c r="I235" s="1" t="s">
        <v>92</v>
      </c>
      <c r="J235" s="1">
        <v>0.25</v>
      </c>
      <c r="M235" s="1" t="s">
        <v>92</v>
      </c>
      <c r="N235" s="1" t="s">
        <v>92</v>
      </c>
      <c r="O235" s="1" t="s">
        <v>92</v>
      </c>
      <c r="S235" s="54">
        <v>5.6</v>
      </c>
      <c r="W235" s="54" t="s">
        <v>92</v>
      </c>
      <c r="AE235" s="54">
        <v>12</v>
      </c>
      <c r="AI235" s="54">
        <v>46.51</v>
      </c>
      <c r="AM235" s="54">
        <v>5.64</v>
      </c>
      <c r="AQ235" s="54">
        <v>2.0699999999999998</v>
      </c>
      <c r="AU235" s="54">
        <v>45.74</v>
      </c>
      <c r="AV235" s="54" t="s">
        <v>92</v>
      </c>
      <c r="BB235" s="1">
        <v>40.56</v>
      </c>
      <c r="BC235" s="1">
        <v>33.200000000000003</v>
      </c>
      <c r="BD235" s="1">
        <v>26.08</v>
      </c>
      <c r="BE235" s="5" t="s">
        <v>96</v>
      </c>
      <c r="BF235" s="5"/>
      <c r="BG235" s="5"/>
      <c r="BH235" s="1" t="s">
        <v>92</v>
      </c>
      <c r="BI235" s="1" t="s">
        <v>92</v>
      </c>
      <c r="BJ235" s="1" t="s">
        <v>92</v>
      </c>
      <c r="BK235" s="1">
        <v>0.4</v>
      </c>
      <c r="BL235" s="8" t="s">
        <v>92</v>
      </c>
      <c r="BM235" s="1">
        <f>4+0.16</f>
        <v>4.16</v>
      </c>
      <c r="BN235" s="8">
        <f>0.08</f>
        <v>0.08</v>
      </c>
      <c r="BP235" s="1" t="s">
        <v>92</v>
      </c>
      <c r="BQ235" s="1" t="s">
        <v>92</v>
      </c>
      <c r="BR235" s="1" t="s">
        <v>92</v>
      </c>
      <c r="BS235" s="1" t="s">
        <v>92</v>
      </c>
      <c r="BT235" s="1" t="s">
        <v>92</v>
      </c>
      <c r="BU235" s="1" t="s">
        <v>92</v>
      </c>
      <c r="BV235" s="1">
        <f>13.5+9</f>
        <v>22.5</v>
      </c>
      <c r="BW235" s="1" t="s">
        <v>92</v>
      </c>
      <c r="BX235" s="1" t="s">
        <v>92</v>
      </c>
      <c r="BY235" s="1" t="s">
        <v>92</v>
      </c>
      <c r="BZ235" s="1" t="s">
        <v>92</v>
      </c>
      <c r="CA235" s="1" t="s">
        <v>92</v>
      </c>
      <c r="CB235" s="1" t="s">
        <v>92</v>
      </c>
      <c r="CC235" s="1" t="s">
        <v>92</v>
      </c>
      <c r="CD235" s="1" t="s">
        <v>92</v>
      </c>
      <c r="CF235" s="1" t="s">
        <v>215</v>
      </c>
      <c r="CG235" s="12" t="s">
        <v>217</v>
      </c>
    </row>
    <row r="236" spans="1:85" x14ac:dyDescent="0.15">
      <c r="A236" s="1" t="s">
        <v>214</v>
      </c>
      <c r="B236" s="1" t="s">
        <v>100</v>
      </c>
      <c r="C236" s="1" t="s">
        <v>92</v>
      </c>
      <c r="D236" s="1" t="s">
        <v>92</v>
      </c>
      <c r="E236" s="1" t="s">
        <v>93</v>
      </c>
      <c r="F236" s="1">
        <v>0.03</v>
      </c>
      <c r="G236" s="1" t="s">
        <v>92</v>
      </c>
      <c r="H236" s="3">
        <v>400</v>
      </c>
      <c r="I236" s="1" t="s">
        <v>92</v>
      </c>
      <c r="J236" s="1">
        <v>0.25</v>
      </c>
      <c r="M236" s="1" t="s">
        <v>92</v>
      </c>
      <c r="N236" s="1" t="s">
        <v>92</v>
      </c>
      <c r="O236" s="1" t="s">
        <v>92</v>
      </c>
      <c r="S236" s="54">
        <v>5.6</v>
      </c>
      <c r="W236" s="54" t="s">
        <v>92</v>
      </c>
      <c r="AE236" s="54">
        <v>12</v>
      </c>
      <c r="AI236" s="54">
        <v>46.51</v>
      </c>
      <c r="AM236" s="54">
        <v>5.64</v>
      </c>
      <c r="AQ236" s="54">
        <v>2.0699999999999998</v>
      </c>
      <c r="AU236" s="54">
        <v>45.74</v>
      </c>
      <c r="AV236" s="54" t="s">
        <v>92</v>
      </c>
      <c r="BB236" s="1">
        <v>38.9</v>
      </c>
      <c r="BC236" s="1">
        <v>31.2</v>
      </c>
      <c r="BD236" s="1">
        <v>30.16</v>
      </c>
      <c r="BE236" s="5" t="s">
        <v>96</v>
      </c>
      <c r="BF236" s="5"/>
      <c r="BG236" s="5"/>
      <c r="BH236" s="1" t="s">
        <v>92</v>
      </c>
      <c r="BI236" s="1" t="s">
        <v>92</v>
      </c>
      <c r="BJ236" s="1" t="s">
        <v>92</v>
      </c>
      <c r="BK236" s="1">
        <v>0.5</v>
      </c>
      <c r="BL236" s="8" t="s">
        <v>92</v>
      </c>
      <c r="BM236" s="1">
        <f>0.08+0.19</f>
        <v>0.27</v>
      </c>
      <c r="BN236" s="8">
        <f>0.15+2.6</f>
        <v>2.75</v>
      </c>
      <c r="BP236" s="1" t="s">
        <v>92</v>
      </c>
      <c r="BQ236" s="1" t="s">
        <v>92</v>
      </c>
      <c r="BR236" s="1" t="s">
        <v>92</v>
      </c>
      <c r="BS236" s="1" t="s">
        <v>92</v>
      </c>
      <c r="BT236" s="1" t="s">
        <v>92</v>
      </c>
      <c r="BU236" s="1" t="s">
        <v>92</v>
      </c>
      <c r="BV236" s="1">
        <f>18+11.5</f>
        <v>29.5</v>
      </c>
      <c r="BW236" s="1" t="s">
        <v>92</v>
      </c>
      <c r="BX236" s="1" t="s">
        <v>92</v>
      </c>
      <c r="BY236" s="1" t="s">
        <v>92</v>
      </c>
      <c r="BZ236" s="1" t="s">
        <v>92</v>
      </c>
      <c r="CA236" s="1" t="s">
        <v>92</v>
      </c>
      <c r="CB236" s="1" t="s">
        <v>92</v>
      </c>
      <c r="CC236" s="1" t="s">
        <v>92</v>
      </c>
      <c r="CD236" s="1" t="s">
        <v>92</v>
      </c>
      <c r="CF236" s="1" t="s">
        <v>215</v>
      </c>
    </row>
    <row r="237" spans="1:85" x14ac:dyDescent="0.15">
      <c r="A237" s="1" t="s">
        <v>214</v>
      </c>
      <c r="B237" s="1" t="s">
        <v>100</v>
      </c>
      <c r="C237" s="1" t="s">
        <v>92</v>
      </c>
      <c r="D237" s="1" t="s">
        <v>92</v>
      </c>
      <c r="E237" s="1" t="s">
        <v>93</v>
      </c>
      <c r="F237" s="1">
        <v>0.03</v>
      </c>
      <c r="G237" s="1" t="s">
        <v>92</v>
      </c>
      <c r="H237" s="3">
        <v>400</v>
      </c>
      <c r="I237" s="1" t="s">
        <v>92</v>
      </c>
      <c r="J237" s="1">
        <v>0.25</v>
      </c>
      <c r="M237" s="1" t="s">
        <v>92</v>
      </c>
      <c r="N237" s="1" t="s">
        <v>92</v>
      </c>
      <c r="O237" s="1" t="s">
        <v>92</v>
      </c>
      <c r="S237" s="54">
        <v>5.6</v>
      </c>
      <c r="W237" s="54" t="s">
        <v>92</v>
      </c>
      <c r="AE237" s="54">
        <v>12</v>
      </c>
      <c r="AI237" s="54">
        <v>46.51</v>
      </c>
      <c r="AM237" s="54">
        <v>5.64</v>
      </c>
      <c r="AQ237" s="54">
        <v>2.0699999999999998</v>
      </c>
      <c r="AU237" s="54">
        <v>45.74</v>
      </c>
      <c r="AV237" s="54" t="s">
        <v>92</v>
      </c>
      <c r="BB237" s="1">
        <v>43.2</v>
      </c>
      <c r="BC237" s="1">
        <v>19.86</v>
      </c>
      <c r="BD237" s="1">
        <v>37.299999999999997</v>
      </c>
      <c r="BE237" s="5" t="s">
        <v>96</v>
      </c>
      <c r="BF237" s="5"/>
      <c r="BG237" s="5"/>
      <c r="BH237" s="1" t="s">
        <v>92</v>
      </c>
      <c r="BI237" s="1" t="s">
        <v>92</v>
      </c>
      <c r="BJ237" s="1" t="s">
        <v>92</v>
      </c>
      <c r="BK237" s="1">
        <v>0.8</v>
      </c>
      <c r="BL237" s="8" t="s">
        <v>92</v>
      </c>
      <c r="BM237" s="1">
        <f>0.14+0.2</f>
        <v>0.34</v>
      </c>
      <c r="BN237" s="8">
        <f>0.17+0.08</f>
        <v>0.25</v>
      </c>
      <c r="BP237" s="1" t="s">
        <v>92</v>
      </c>
      <c r="BQ237" s="1" t="s">
        <v>92</v>
      </c>
      <c r="BR237" s="1" t="s">
        <v>92</v>
      </c>
      <c r="BS237" s="1" t="s">
        <v>92</v>
      </c>
      <c r="BT237" s="1" t="s">
        <v>92</v>
      </c>
      <c r="BU237" s="1" t="s">
        <v>92</v>
      </c>
      <c r="BV237" s="1">
        <f>31+18</f>
        <v>49</v>
      </c>
      <c r="BW237" s="1" t="s">
        <v>92</v>
      </c>
      <c r="BX237" s="1" t="s">
        <v>92</v>
      </c>
      <c r="BY237" s="1" t="s">
        <v>92</v>
      </c>
      <c r="BZ237" s="1" t="s">
        <v>92</v>
      </c>
      <c r="CA237" s="1" t="s">
        <v>92</v>
      </c>
      <c r="CB237" s="1" t="s">
        <v>92</v>
      </c>
      <c r="CC237" s="1" t="s">
        <v>92</v>
      </c>
      <c r="CD237" s="1" t="s">
        <v>92</v>
      </c>
      <c r="CF237" s="1" t="s">
        <v>215</v>
      </c>
    </row>
  </sheetData>
  <mergeCells count="22">
    <mergeCell ref="A2:A3"/>
    <mergeCell ref="A1:AV1"/>
    <mergeCell ref="E2:E3"/>
    <mergeCell ref="BI2:BV2"/>
    <mergeCell ref="BB1:BV1"/>
    <mergeCell ref="S2:AU2"/>
    <mergeCell ref="BB2:BD2"/>
    <mergeCell ref="H2:H3"/>
    <mergeCell ref="J2:J3"/>
    <mergeCell ref="M2:M3"/>
    <mergeCell ref="O2:O3"/>
    <mergeCell ref="D2:D3"/>
    <mergeCell ref="I2:I3"/>
    <mergeCell ref="N2:N3"/>
    <mergeCell ref="BP214:BQ214"/>
    <mergeCell ref="BP215:BQ215"/>
    <mergeCell ref="BP216:BQ216"/>
    <mergeCell ref="BP217:BQ217"/>
    <mergeCell ref="B2:B3"/>
    <mergeCell ref="G2:G3"/>
    <mergeCell ref="K2:K3"/>
    <mergeCell ref="L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126C-80D7-464D-8DA8-014F43256175}">
  <dimension ref="A1:BF99"/>
  <sheetViews>
    <sheetView tabSelected="1" zoomScale="85" zoomScaleNormal="85" workbookViewId="0">
      <selection sqref="A1:W1"/>
    </sheetView>
  </sheetViews>
  <sheetFormatPr baseColWidth="10" defaultColWidth="8.83203125" defaultRowHeight="15" x14ac:dyDescent="0.2"/>
  <cols>
    <col min="1" max="1" width="19.6640625" bestFit="1" customWidth="1"/>
    <col min="2" max="2" width="12.5" bestFit="1" customWidth="1"/>
    <col min="3" max="3" width="11.6640625" bestFit="1" customWidth="1"/>
    <col min="4" max="4" width="10.5" bestFit="1" customWidth="1"/>
    <col min="5" max="5" width="15.1640625" bestFit="1" customWidth="1"/>
    <col min="6" max="6" width="22.6640625" bestFit="1" customWidth="1"/>
    <col min="7" max="7" width="14.5" style="23" bestFit="1" customWidth="1"/>
    <col min="9" max="9" width="16.5" bestFit="1" customWidth="1"/>
    <col min="10" max="10" width="16.5" customWidth="1"/>
    <col min="11" max="11" width="20.5" bestFit="1" customWidth="1"/>
    <col min="12" max="12" width="15.5" bestFit="1" customWidth="1"/>
    <col min="13" max="13" width="24.5" bestFit="1" customWidth="1"/>
    <col min="14" max="14" width="22.5" bestFit="1" customWidth="1"/>
    <col min="15" max="15" width="8.33203125" bestFit="1" customWidth="1"/>
    <col min="16" max="16" width="13.33203125" bestFit="1" customWidth="1"/>
    <col min="23" max="23" width="11.6640625" bestFit="1" customWidth="1"/>
    <col min="30" max="30" width="17.5" bestFit="1" customWidth="1"/>
    <col min="31" max="31" width="17.5" customWidth="1"/>
    <col min="32" max="32" width="8.6640625" style="22" bestFit="1" customWidth="1"/>
    <col min="33" max="37" width="9.1640625" style="23"/>
    <col min="38" max="38" width="9.1640625" style="105"/>
    <col min="39" max="41" width="9.1640625" style="23"/>
    <col min="42" max="42" width="19.83203125" style="23" bestFit="1" customWidth="1"/>
    <col min="43" max="46" width="9.1640625" style="23"/>
    <col min="47" max="47" width="11.1640625" style="23" bestFit="1" customWidth="1"/>
    <col min="48" max="48" width="22.5" style="23" bestFit="1" customWidth="1"/>
    <col min="49" max="50" width="17.6640625" bestFit="1" customWidth="1"/>
    <col min="52" max="52" width="20.1640625" bestFit="1" customWidth="1"/>
    <col min="53" max="53" width="15.1640625" bestFit="1" customWidth="1"/>
    <col min="56" max="56" width="36" bestFit="1" customWidth="1"/>
    <col min="57" max="57" width="112.83203125" bestFit="1" customWidth="1"/>
  </cols>
  <sheetData>
    <row r="1" spans="1:58" s="1" customFormat="1" ht="15" customHeight="1" x14ac:dyDescent="0.1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Z1" s="136" t="s">
        <v>1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20"/>
      <c r="AV1" s="20"/>
      <c r="AW1" s="62"/>
      <c r="AX1" s="62"/>
      <c r="AY1" s="62"/>
      <c r="AZ1" s="62"/>
      <c r="BA1" s="62"/>
      <c r="BB1" s="62"/>
      <c r="BD1" s="1" t="s">
        <v>2</v>
      </c>
      <c r="BE1" s="1" t="s">
        <v>247</v>
      </c>
    </row>
    <row r="2" spans="1:58" s="1" customFormat="1" ht="15" customHeight="1" x14ac:dyDescent="0.15">
      <c r="A2" s="133" t="s">
        <v>6</v>
      </c>
      <c r="B2" s="133"/>
      <c r="C2" s="60" t="s">
        <v>7</v>
      </c>
      <c r="D2" s="133" t="s">
        <v>9</v>
      </c>
      <c r="E2" s="60" t="s">
        <v>9</v>
      </c>
      <c r="F2" s="133" t="s">
        <v>10</v>
      </c>
      <c r="G2" s="137" t="s">
        <v>11</v>
      </c>
      <c r="H2" s="133" t="s">
        <v>12</v>
      </c>
      <c r="I2" s="133" t="s">
        <v>13</v>
      </c>
      <c r="J2" s="133" t="s">
        <v>14</v>
      </c>
      <c r="K2" s="133" t="s">
        <v>15</v>
      </c>
      <c r="L2" s="133" t="s">
        <v>248</v>
      </c>
      <c r="M2" s="133" t="s">
        <v>17</v>
      </c>
      <c r="N2" s="133" t="s">
        <v>18</v>
      </c>
      <c r="O2" s="132" t="s">
        <v>19</v>
      </c>
      <c r="P2" s="132"/>
      <c r="Q2" s="132"/>
      <c r="R2" s="132"/>
      <c r="S2" s="132"/>
      <c r="T2" s="132"/>
      <c r="U2" s="132"/>
      <c r="Z2" s="132" t="s">
        <v>218</v>
      </c>
      <c r="AA2" s="132"/>
      <c r="AB2" s="132"/>
      <c r="AF2" s="3"/>
      <c r="AG2" s="139" t="s">
        <v>21</v>
      </c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3"/>
      <c r="AV2" s="3"/>
      <c r="BF2" s="1" t="s">
        <v>241</v>
      </c>
    </row>
    <row r="3" spans="1:58" s="2" customFormat="1" ht="13" x14ac:dyDescent="0.15">
      <c r="A3" s="134"/>
      <c r="B3" s="134"/>
      <c r="C3" s="61" t="s">
        <v>22</v>
      </c>
      <c r="D3" s="134"/>
      <c r="E3" s="61" t="s">
        <v>23</v>
      </c>
      <c r="F3" s="134"/>
      <c r="G3" s="138"/>
      <c r="H3" s="134"/>
      <c r="I3" s="134"/>
      <c r="J3" s="134"/>
      <c r="K3" s="134"/>
      <c r="L3" s="134"/>
      <c r="M3" s="134"/>
      <c r="N3" s="134"/>
      <c r="O3" s="2" t="s">
        <v>27</v>
      </c>
      <c r="P3" s="2" t="s">
        <v>31</v>
      </c>
      <c r="Q3" s="2" t="s">
        <v>39</v>
      </c>
      <c r="R3" s="2" t="s">
        <v>43</v>
      </c>
      <c r="S3" s="2" t="s">
        <v>47</v>
      </c>
      <c r="T3" s="2" t="s">
        <v>51</v>
      </c>
      <c r="U3" s="2" t="s">
        <v>55</v>
      </c>
      <c r="V3" s="2" t="s">
        <v>35</v>
      </c>
      <c r="W3" s="2" t="s">
        <v>56</v>
      </c>
      <c r="Y3" s="2" t="s">
        <v>60</v>
      </c>
      <c r="Z3" s="2" t="s">
        <v>61</v>
      </c>
      <c r="AA3" s="2" t="s">
        <v>62</v>
      </c>
      <c r="AB3" s="2" t="s">
        <v>63</v>
      </c>
      <c r="AC3" s="2" t="s">
        <v>64</v>
      </c>
      <c r="AD3" s="2" t="s">
        <v>65</v>
      </c>
      <c r="AF3" s="21" t="s">
        <v>66</v>
      </c>
      <c r="AG3" s="21" t="s">
        <v>67</v>
      </c>
      <c r="AH3" s="21" t="s">
        <v>68</v>
      </c>
      <c r="AI3" s="21" t="s">
        <v>69</v>
      </c>
      <c r="AJ3" s="21" t="s">
        <v>70</v>
      </c>
      <c r="AK3" s="21" t="s">
        <v>71</v>
      </c>
      <c r="AL3" s="104" t="s">
        <v>72</v>
      </c>
      <c r="AM3" s="21" t="s">
        <v>73</v>
      </c>
      <c r="AN3" s="21" t="s">
        <v>74</v>
      </c>
      <c r="AO3" s="21" t="s">
        <v>75</v>
      </c>
      <c r="AP3" s="21" t="s">
        <v>76</v>
      </c>
      <c r="AQ3" s="21" t="s">
        <v>77</v>
      </c>
      <c r="AR3" s="21" t="s">
        <v>78</v>
      </c>
      <c r="AS3" s="21" t="s">
        <v>79</v>
      </c>
      <c r="AT3" s="21" t="s">
        <v>80</v>
      </c>
      <c r="AU3" s="21" t="s">
        <v>81</v>
      </c>
      <c r="AV3" s="21" t="s">
        <v>82</v>
      </c>
      <c r="AW3" s="2" t="s">
        <v>83</v>
      </c>
      <c r="AX3" s="2" t="s">
        <v>84</v>
      </c>
      <c r="AY3" s="2" t="s">
        <v>85</v>
      </c>
      <c r="AZ3" s="2" t="s">
        <v>86</v>
      </c>
      <c r="BA3" s="2" t="s">
        <v>87</v>
      </c>
      <c r="BB3" s="2" t="s">
        <v>88</v>
      </c>
      <c r="BE3" s="2" t="s">
        <v>89</v>
      </c>
    </row>
    <row r="4" spans="1:58" s="67" customFormat="1" ht="15.75" customHeight="1" x14ac:dyDescent="0.15">
      <c r="A4" s="67" t="s">
        <v>90</v>
      </c>
      <c r="B4" s="67" t="s">
        <v>91</v>
      </c>
      <c r="C4" s="67">
        <v>40</v>
      </c>
      <c r="D4" s="67" t="s">
        <v>93</v>
      </c>
      <c r="E4" s="67">
        <v>13</v>
      </c>
      <c r="F4" s="67">
        <f>((C4/1000)/(E4))*60</f>
        <v>0.18461538461538463</v>
      </c>
      <c r="G4" s="101">
        <v>400</v>
      </c>
      <c r="H4" s="67" t="s">
        <v>92</v>
      </c>
      <c r="I4" s="67">
        <v>0.42</v>
      </c>
      <c r="J4" s="67" t="s">
        <v>94</v>
      </c>
      <c r="K4" s="67">
        <f t="shared" ref="K4:K9" si="0">(0.4+0.25)/2</f>
        <v>0.32500000000000001</v>
      </c>
      <c r="L4" s="68">
        <v>1</v>
      </c>
      <c r="M4" s="68" t="s">
        <v>92</v>
      </c>
      <c r="N4" s="68" t="s">
        <v>92</v>
      </c>
      <c r="O4" s="67">
        <f t="shared" ref="O4:O9" si="1">(10+13)/2</f>
        <v>11.5</v>
      </c>
      <c r="P4" s="67" t="s">
        <v>95</v>
      </c>
      <c r="Q4" s="67">
        <v>0.309</v>
      </c>
      <c r="R4" s="67">
        <v>45.1</v>
      </c>
      <c r="S4" s="67">
        <v>6.8</v>
      </c>
      <c r="T4" s="67">
        <v>0.5</v>
      </c>
      <c r="U4" s="67">
        <v>48.1</v>
      </c>
      <c r="V4" s="67" t="s">
        <v>92</v>
      </c>
      <c r="W4" s="67">
        <v>18.07</v>
      </c>
      <c r="X4" s="68">
        <f>Z4+AA4+AB4</f>
        <v>100</v>
      </c>
      <c r="Y4" s="68">
        <f>100-X4</f>
        <v>0</v>
      </c>
      <c r="Z4" s="68">
        <v>52</v>
      </c>
      <c r="AA4" s="68">
        <v>19</v>
      </c>
      <c r="AB4" s="68">
        <v>29</v>
      </c>
      <c r="AC4" s="68" t="s">
        <v>96</v>
      </c>
      <c r="AD4" s="68">
        <f>Z4+Y4</f>
        <v>52</v>
      </c>
      <c r="AE4" s="68"/>
      <c r="AF4" s="69">
        <f>AG4+AH4+AI4</f>
        <v>11.98</v>
      </c>
      <c r="AG4" s="69">
        <v>10.97</v>
      </c>
      <c r="AH4" s="69">
        <v>0.98</v>
      </c>
      <c r="AI4" s="69">
        <v>0.03</v>
      </c>
      <c r="AJ4" s="69" t="s">
        <v>92</v>
      </c>
      <c r="AK4" s="69" t="s">
        <v>92</v>
      </c>
      <c r="AL4" s="69" t="s">
        <v>92</v>
      </c>
      <c r="AM4" s="69">
        <v>0</v>
      </c>
      <c r="AN4" s="69" t="s">
        <v>92</v>
      </c>
      <c r="AO4" s="69" t="s">
        <v>92</v>
      </c>
      <c r="AP4" s="69" t="s">
        <v>92</v>
      </c>
      <c r="AQ4" s="69">
        <v>4.4800000000000004</v>
      </c>
      <c r="AR4" s="69">
        <v>18.010000000000002</v>
      </c>
      <c r="AS4" s="69">
        <v>3.45</v>
      </c>
      <c r="AT4" s="69">
        <v>4.66</v>
      </c>
      <c r="AU4" s="69" t="s">
        <v>92</v>
      </c>
      <c r="AV4" s="69" t="s">
        <v>92</v>
      </c>
      <c r="AW4" s="69" t="s">
        <v>92</v>
      </c>
      <c r="AX4" s="69" t="s">
        <v>92</v>
      </c>
      <c r="AY4" s="69" t="s">
        <v>92</v>
      </c>
      <c r="AZ4" s="69" t="s">
        <v>92</v>
      </c>
      <c r="BA4" s="69" t="s">
        <v>92</v>
      </c>
      <c r="BB4" s="69" t="s">
        <v>92</v>
      </c>
      <c r="BD4" s="67" t="s">
        <v>97</v>
      </c>
    </row>
    <row r="5" spans="1:58" s="67" customFormat="1" ht="13.5" customHeight="1" x14ac:dyDescent="0.15">
      <c r="A5" s="67" t="s">
        <v>90</v>
      </c>
      <c r="B5" s="67" t="s">
        <v>91</v>
      </c>
      <c r="C5" s="67">
        <v>40</v>
      </c>
      <c r="D5" s="67" t="s">
        <v>93</v>
      </c>
      <c r="E5" s="67">
        <v>13</v>
      </c>
      <c r="F5" s="67">
        <f>((C5/1000)/(E5))*60</f>
        <v>0.18461538461538463</v>
      </c>
      <c r="G5" s="67">
        <v>500</v>
      </c>
      <c r="H5" s="67" t="s">
        <v>92</v>
      </c>
      <c r="I5" s="67">
        <v>0.42</v>
      </c>
      <c r="J5" s="67" t="s">
        <v>94</v>
      </c>
      <c r="K5" s="67">
        <f t="shared" si="0"/>
        <v>0.32500000000000001</v>
      </c>
      <c r="L5" s="68">
        <v>1</v>
      </c>
      <c r="M5" s="68" t="s">
        <v>92</v>
      </c>
      <c r="N5" s="68" t="s">
        <v>92</v>
      </c>
      <c r="O5" s="67">
        <f t="shared" si="1"/>
        <v>11.5</v>
      </c>
      <c r="P5" s="67" t="s">
        <v>95</v>
      </c>
      <c r="Q5" s="67">
        <v>0.309</v>
      </c>
      <c r="R5" s="67">
        <v>45.1</v>
      </c>
      <c r="S5" s="67">
        <v>6.8</v>
      </c>
      <c r="T5" s="67">
        <v>0.5</v>
      </c>
      <c r="U5" s="67">
        <v>48.1</v>
      </c>
      <c r="V5" s="67" t="s">
        <v>92</v>
      </c>
      <c r="W5" s="67">
        <v>18.07</v>
      </c>
      <c r="X5" s="68">
        <f t="shared" ref="X5:X51" si="2">Z5+AA5+AB5</f>
        <v>100</v>
      </c>
      <c r="Y5" s="68">
        <f t="shared" ref="Y5:Y51" si="3">100-X5</f>
        <v>0</v>
      </c>
      <c r="Z5" s="68">
        <v>56</v>
      </c>
      <c r="AA5" s="68">
        <v>12</v>
      </c>
      <c r="AB5" s="68">
        <v>32</v>
      </c>
      <c r="AC5" s="68" t="s">
        <v>96</v>
      </c>
      <c r="AD5" s="68">
        <f t="shared" ref="AD5:AD51" si="4">Z5+Y5</f>
        <v>56</v>
      </c>
      <c r="AE5" s="68"/>
      <c r="AF5" s="69">
        <f>AG5+AH5+AI5</f>
        <v>13.899999999999999</v>
      </c>
      <c r="AG5" s="69">
        <v>11.77</v>
      </c>
      <c r="AH5" s="69">
        <v>2.09</v>
      </c>
      <c r="AI5" s="69">
        <v>0.04</v>
      </c>
      <c r="AJ5" s="69" t="s">
        <v>92</v>
      </c>
      <c r="AK5" s="69" t="s">
        <v>92</v>
      </c>
      <c r="AL5" s="69" t="s">
        <v>92</v>
      </c>
      <c r="AM5" s="69" t="s">
        <v>92</v>
      </c>
      <c r="AN5" s="69" t="s">
        <v>92</v>
      </c>
      <c r="AO5" s="69" t="s">
        <v>92</v>
      </c>
      <c r="AP5" s="69" t="s">
        <v>92</v>
      </c>
      <c r="AQ5" s="69">
        <v>3.08</v>
      </c>
      <c r="AR5" s="69">
        <v>16.41</v>
      </c>
      <c r="AS5" s="69">
        <v>3.6</v>
      </c>
      <c r="AT5" s="69">
        <v>4.6399999999999997</v>
      </c>
      <c r="AU5" s="69" t="s">
        <v>92</v>
      </c>
      <c r="AV5" s="69" t="s">
        <v>92</v>
      </c>
      <c r="AW5" s="69" t="s">
        <v>92</v>
      </c>
      <c r="AX5" s="69" t="s">
        <v>92</v>
      </c>
      <c r="AY5" s="69" t="s">
        <v>92</v>
      </c>
      <c r="AZ5" s="69" t="s">
        <v>92</v>
      </c>
      <c r="BA5" s="69" t="s">
        <v>92</v>
      </c>
      <c r="BB5" s="69" t="s">
        <v>92</v>
      </c>
      <c r="BD5" s="67" t="s">
        <v>97</v>
      </c>
      <c r="BE5" s="67" t="s">
        <v>98</v>
      </c>
    </row>
    <row r="6" spans="1:58" s="67" customFormat="1" ht="12" customHeight="1" x14ac:dyDescent="0.15">
      <c r="A6" s="67" t="s">
        <v>90</v>
      </c>
      <c r="B6" s="67" t="s">
        <v>91</v>
      </c>
      <c r="C6" s="67">
        <v>40</v>
      </c>
      <c r="D6" s="67" t="s">
        <v>93</v>
      </c>
      <c r="E6" s="67">
        <v>13</v>
      </c>
      <c r="F6" s="67">
        <f t="shared" ref="F6:F23" si="5">((C6/1000)/(E6))*60</f>
        <v>0.18461538461538463</v>
      </c>
      <c r="G6" s="67">
        <v>600</v>
      </c>
      <c r="H6" s="67" t="s">
        <v>92</v>
      </c>
      <c r="I6" s="67">
        <v>0.42</v>
      </c>
      <c r="J6" s="67" t="s">
        <v>94</v>
      </c>
      <c r="K6" s="67">
        <f t="shared" si="0"/>
        <v>0.32500000000000001</v>
      </c>
      <c r="L6" s="68">
        <v>1</v>
      </c>
      <c r="M6" s="68" t="s">
        <v>92</v>
      </c>
      <c r="N6" s="68" t="s">
        <v>92</v>
      </c>
      <c r="O6" s="67">
        <f t="shared" si="1"/>
        <v>11.5</v>
      </c>
      <c r="P6" s="67" t="s">
        <v>95</v>
      </c>
      <c r="Q6" s="67">
        <v>0.309</v>
      </c>
      <c r="R6" s="67">
        <v>45.1</v>
      </c>
      <c r="S6" s="67">
        <v>6.8</v>
      </c>
      <c r="T6" s="67">
        <v>0.5</v>
      </c>
      <c r="U6" s="67">
        <v>48.1</v>
      </c>
      <c r="V6" s="67" t="s">
        <v>92</v>
      </c>
      <c r="W6" s="67">
        <v>18.07</v>
      </c>
      <c r="X6" s="68">
        <f t="shared" si="2"/>
        <v>100</v>
      </c>
      <c r="Y6" s="68">
        <f t="shared" si="3"/>
        <v>0</v>
      </c>
      <c r="Z6" s="68">
        <v>37</v>
      </c>
      <c r="AA6" s="68">
        <v>7</v>
      </c>
      <c r="AB6" s="68">
        <v>56</v>
      </c>
      <c r="AC6" s="68" t="s">
        <v>96</v>
      </c>
      <c r="AD6" s="68">
        <f t="shared" si="4"/>
        <v>37</v>
      </c>
      <c r="AE6" s="68"/>
      <c r="AF6" s="69">
        <f>AG6+AH6+AI6</f>
        <v>15.71</v>
      </c>
      <c r="AG6" s="69">
        <v>1.85</v>
      </c>
      <c r="AH6" s="69">
        <v>13.71</v>
      </c>
      <c r="AI6" s="69">
        <v>0.15</v>
      </c>
      <c r="AJ6" s="69" t="s">
        <v>92</v>
      </c>
      <c r="AK6" s="69" t="s">
        <v>92</v>
      </c>
      <c r="AL6" s="69" t="s">
        <v>92</v>
      </c>
      <c r="AM6" s="69" t="s">
        <v>92</v>
      </c>
      <c r="AN6" s="69" t="s">
        <v>92</v>
      </c>
      <c r="AO6" s="69" t="s">
        <v>92</v>
      </c>
      <c r="AP6" s="69" t="s">
        <v>92</v>
      </c>
      <c r="AQ6" s="69">
        <v>2.68</v>
      </c>
      <c r="AR6" s="69">
        <v>28.26</v>
      </c>
      <c r="AS6" s="69">
        <v>1.88</v>
      </c>
      <c r="AT6" s="69">
        <v>3.93</v>
      </c>
      <c r="AU6" s="69" t="s">
        <v>92</v>
      </c>
      <c r="AV6" s="69" t="s">
        <v>92</v>
      </c>
      <c r="AW6" s="69" t="s">
        <v>92</v>
      </c>
      <c r="AX6" s="69" t="s">
        <v>92</v>
      </c>
      <c r="AY6" s="69" t="s">
        <v>92</v>
      </c>
      <c r="AZ6" s="69" t="s">
        <v>92</v>
      </c>
      <c r="BA6" s="69" t="s">
        <v>92</v>
      </c>
      <c r="BB6" s="69" t="s">
        <v>92</v>
      </c>
      <c r="BD6" s="67" t="s">
        <v>97</v>
      </c>
    </row>
    <row r="7" spans="1:58" s="1" customFormat="1" ht="13" x14ac:dyDescent="0.15">
      <c r="A7" s="1" t="s">
        <v>90</v>
      </c>
      <c r="B7" s="1" t="s">
        <v>91</v>
      </c>
      <c r="C7" s="1">
        <v>40</v>
      </c>
      <c r="D7" s="1" t="s">
        <v>93</v>
      </c>
      <c r="E7" s="1">
        <v>13</v>
      </c>
      <c r="F7" s="1">
        <f>((C7/1000)/(E7))*60</f>
        <v>0.18461538461538463</v>
      </c>
      <c r="G7" s="1">
        <v>500</v>
      </c>
      <c r="H7" s="1" t="s">
        <v>92</v>
      </c>
      <c r="I7" s="1">
        <v>0.42</v>
      </c>
      <c r="J7" s="1" t="s">
        <v>94</v>
      </c>
      <c r="K7" s="1">
        <f t="shared" si="0"/>
        <v>0.32500000000000001</v>
      </c>
      <c r="L7" s="5">
        <v>2.5</v>
      </c>
      <c r="M7" s="5" t="s">
        <v>92</v>
      </c>
      <c r="N7" s="5" t="s">
        <v>92</v>
      </c>
      <c r="O7" s="1">
        <f t="shared" si="1"/>
        <v>11.5</v>
      </c>
      <c r="P7" s="1" t="s">
        <v>95</v>
      </c>
      <c r="Q7" s="1">
        <v>0.309</v>
      </c>
      <c r="R7" s="1">
        <v>45.1</v>
      </c>
      <c r="S7" s="1">
        <v>6.8</v>
      </c>
      <c r="T7" s="1">
        <v>0.5</v>
      </c>
      <c r="U7" s="1">
        <v>48.1</v>
      </c>
      <c r="V7" s="1" t="s">
        <v>92</v>
      </c>
      <c r="W7" s="1">
        <v>18.07</v>
      </c>
      <c r="X7" s="5">
        <f t="shared" si="2"/>
        <v>100</v>
      </c>
      <c r="Y7" s="5">
        <f t="shared" si="3"/>
        <v>0</v>
      </c>
      <c r="Z7" s="5">
        <v>66</v>
      </c>
      <c r="AA7" s="5">
        <v>15</v>
      </c>
      <c r="AB7" s="5">
        <v>19</v>
      </c>
      <c r="AC7" s="5" t="s">
        <v>96</v>
      </c>
      <c r="AD7" s="5">
        <f t="shared" si="4"/>
        <v>66</v>
      </c>
      <c r="AE7" s="5"/>
      <c r="AF7" s="3" t="s">
        <v>92</v>
      </c>
      <c r="AG7" s="3">
        <v>0</v>
      </c>
      <c r="AH7" s="3">
        <v>0</v>
      </c>
      <c r="AI7" s="3">
        <v>0</v>
      </c>
      <c r="AJ7" s="3" t="s">
        <v>92</v>
      </c>
      <c r="AK7" s="3" t="s">
        <v>92</v>
      </c>
      <c r="AL7" s="69" t="s">
        <v>92</v>
      </c>
      <c r="AM7" s="3" t="s">
        <v>92</v>
      </c>
      <c r="AN7" s="3" t="s">
        <v>92</v>
      </c>
      <c r="AO7" s="3" t="s">
        <v>92</v>
      </c>
      <c r="AP7" s="3" t="s">
        <v>92</v>
      </c>
      <c r="AQ7" s="3" t="s">
        <v>92</v>
      </c>
      <c r="AR7" s="3" t="s">
        <v>92</v>
      </c>
      <c r="AS7" s="3" t="s">
        <v>92</v>
      </c>
      <c r="AT7" s="3" t="s">
        <v>92</v>
      </c>
      <c r="AU7" s="3" t="s">
        <v>92</v>
      </c>
      <c r="AV7" s="3" t="s">
        <v>92</v>
      </c>
      <c r="AW7" s="3" t="s">
        <v>92</v>
      </c>
      <c r="AX7" s="3" t="s">
        <v>92</v>
      </c>
      <c r="AY7" s="3" t="s">
        <v>92</v>
      </c>
      <c r="AZ7" s="3" t="s">
        <v>92</v>
      </c>
      <c r="BA7" s="3" t="s">
        <v>92</v>
      </c>
      <c r="BB7" s="3" t="s">
        <v>92</v>
      </c>
      <c r="BD7" s="49" t="s">
        <v>97</v>
      </c>
      <c r="BE7" s="1" t="s">
        <v>99</v>
      </c>
    </row>
    <row r="8" spans="1:58" s="1" customFormat="1" ht="13" x14ac:dyDescent="0.15">
      <c r="A8" s="1" t="s">
        <v>90</v>
      </c>
      <c r="B8" s="1" t="s">
        <v>91</v>
      </c>
      <c r="C8" s="1">
        <v>40</v>
      </c>
      <c r="D8" s="1" t="s">
        <v>93</v>
      </c>
      <c r="E8" s="1">
        <v>13</v>
      </c>
      <c r="F8" s="1">
        <f t="shared" si="5"/>
        <v>0.18461538461538463</v>
      </c>
      <c r="G8" s="1">
        <v>500</v>
      </c>
      <c r="H8" s="1" t="s">
        <v>92</v>
      </c>
      <c r="I8" s="1">
        <v>0.42</v>
      </c>
      <c r="J8" s="1" t="s">
        <v>94</v>
      </c>
      <c r="K8" s="1">
        <f t="shared" si="0"/>
        <v>0.32500000000000001</v>
      </c>
      <c r="L8" s="5">
        <v>3</v>
      </c>
      <c r="M8" s="5" t="s">
        <v>92</v>
      </c>
      <c r="N8" s="5" t="s">
        <v>92</v>
      </c>
      <c r="O8" s="1">
        <f t="shared" si="1"/>
        <v>11.5</v>
      </c>
      <c r="P8" s="1" t="s">
        <v>95</v>
      </c>
      <c r="Q8" s="1">
        <v>0.309</v>
      </c>
      <c r="R8" s="1">
        <v>45.1</v>
      </c>
      <c r="S8" s="1">
        <v>6.8</v>
      </c>
      <c r="T8" s="1">
        <v>0.5</v>
      </c>
      <c r="U8" s="1">
        <v>48.1</v>
      </c>
      <c r="V8" s="1" t="s">
        <v>92</v>
      </c>
      <c r="W8" s="1">
        <v>18.07</v>
      </c>
      <c r="X8" s="5">
        <f t="shared" si="2"/>
        <v>100</v>
      </c>
      <c r="Y8" s="5">
        <f t="shared" si="3"/>
        <v>0</v>
      </c>
      <c r="Z8" s="5">
        <v>65</v>
      </c>
      <c r="AA8" s="5">
        <v>16</v>
      </c>
      <c r="AB8" s="5">
        <v>19</v>
      </c>
      <c r="AC8" s="5" t="s">
        <v>96</v>
      </c>
      <c r="AD8" s="5">
        <f t="shared" si="4"/>
        <v>65</v>
      </c>
      <c r="AE8" s="5"/>
      <c r="AF8" s="3" t="s">
        <v>92</v>
      </c>
      <c r="AG8" s="3">
        <v>0</v>
      </c>
      <c r="AH8" s="3">
        <v>0</v>
      </c>
      <c r="AI8" s="3">
        <v>0</v>
      </c>
      <c r="AJ8" s="3" t="s">
        <v>92</v>
      </c>
      <c r="AK8" s="3" t="s">
        <v>92</v>
      </c>
      <c r="AL8" s="69" t="s">
        <v>92</v>
      </c>
      <c r="AM8" s="3" t="s">
        <v>92</v>
      </c>
      <c r="AN8" s="3" t="s">
        <v>92</v>
      </c>
      <c r="AO8" s="3" t="s">
        <v>92</v>
      </c>
      <c r="AP8" s="3" t="s">
        <v>92</v>
      </c>
      <c r="AQ8" s="3" t="s">
        <v>92</v>
      </c>
      <c r="AR8" s="3" t="s">
        <v>92</v>
      </c>
      <c r="AS8" s="3" t="s">
        <v>92</v>
      </c>
      <c r="AT8" s="3" t="s">
        <v>92</v>
      </c>
      <c r="AU8" s="3" t="s">
        <v>92</v>
      </c>
      <c r="AV8" s="3" t="s">
        <v>92</v>
      </c>
      <c r="AW8" s="3" t="s">
        <v>92</v>
      </c>
      <c r="AX8" s="3" t="s">
        <v>92</v>
      </c>
      <c r="AY8" s="3" t="s">
        <v>92</v>
      </c>
      <c r="AZ8" s="3" t="s">
        <v>92</v>
      </c>
      <c r="BA8" s="3" t="s">
        <v>92</v>
      </c>
      <c r="BB8" s="3" t="s">
        <v>92</v>
      </c>
      <c r="BD8" s="49" t="s">
        <v>97</v>
      </c>
    </row>
    <row r="9" spans="1:58" s="1" customFormat="1" ht="13" hidden="1" x14ac:dyDescent="0.15">
      <c r="A9" s="1" t="s">
        <v>90</v>
      </c>
      <c r="B9" s="1" t="s">
        <v>91</v>
      </c>
      <c r="C9" s="1">
        <v>40</v>
      </c>
      <c r="D9" s="1" t="s">
        <v>93</v>
      </c>
      <c r="E9" s="1">
        <v>13</v>
      </c>
      <c r="F9" s="1">
        <f t="shared" si="5"/>
        <v>0.18461538461538463</v>
      </c>
      <c r="G9" s="1">
        <v>500</v>
      </c>
      <c r="H9" s="1" t="s">
        <v>92</v>
      </c>
      <c r="I9" s="1">
        <v>0.42</v>
      </c>
      <c r="J9" s="1" t="s">
        <v>94</v>
      </c>
      <c r="K9" s="1">
        <f t="shared" si="0"/>
        <v>0.32500000000000001</v>
      </c>
      <c r="L9" s="5">
        <v>0.9</v>
      </c>
      <c r="M9" s="5" t="s">
        <v>92</v>
      </c>
      <c r="N9" s="5" t="s">
        <v>92</v>
      </c>
      <c r="O9" s="1">
        <f t="shared" si="1"/>
        <v>11.5</v>
      </c>
      <c r="P9" s="1" t="s">
        <v>95</v>
      </c>
      <c r="Q9" s="1">
        <v>0.309</v>
      </c>
      <c r="R9" s="1">
        <v>45.1</v>
      </c>
      <c r="S9" s="1">
        <v>6.8</v>
      </c>
      <c r="T9" s="1" t="s">
        <v>172</v>
      </c>
      <c r="U9" s="1">
        <v>48.1</v>
      </c>
      <c r="V9" s="1" t="s">
        <v>92</v>
      </c>
      <c r="W9" s="1">
        <v>18.07</v>
      </c>
      <c r="X9" s="5">
        <f t="shared" si="2"/>
        <v>100</v>
      </c>
      <c r="Y9" s="5">
        <f t="shared" si="3"/>
        <v>0</v>
      </c>
      <c r="Z9" s="5">
        <v>64</v>
      </c>
      <c r="AA9" s="5">
        <v>12</v>
      </c>
      <c r="AB9" s="5">
        <v>24</v>
      </c>
      <c r="AC9" s="5" t="s">
        <v>96</v>
      </c>
      <c r="AD9" s="5">
        <f t="shared" si="4"/>
        <v>64</v>
      </c>
      <c r="AE9" s="5"/>
      <c r="AF9" s="3" t="s">
        <v>92</v>
      </c>
      <c r="AG9" s="3">
        <v>0</v>
      </c>
      <c r="AH9" s="3">
        <v>0</v>
      </c>
      <c r="AI9" s="3">
        <v>0</v>
      </c>
      <c r="AJ9" s="3" t="s">
        <v>92</v>
      </c>
      <c r="AK9" s="3" t="s">
        <v>92</v>
      </c>
      <c r="AL9" s="69" t="s">
        <v>92</v>
      </c>
      <c r="AM9" s="3" t="s">
        <v>92</v>
      </c>
      <c r="AN9" s="3" t="s">
        <v>92</v>
      </c>
      <c r="AO9" s="3" t="s">
        <v>92</v>
      </c>
      <c r="AP9" s="3" t="s">
        <v>92</v>
      </c>
      <c r="AQ9" s="3" t="s">
        <v>92</v>
      </c>
      <c r="AR9" s="3" t="s">
        <v>92</v>
      </c>
      <c r="AS9" s="3" t="s">
        <v>92</v>
      </c>
      <c r="AT9" s="3" t="s">
        <v>92</v>
      </c>
      <c r="AU9" s="3" t="s">
        <v>92</v>
      </c>
      <c r="AV9" s="3" t="s">
        <v>92</v>
      </c>
      <c r="AW9" s="3" t="s">
        <v>92</v>
      </c>
      <c r="AX9" s="3" t="s">
        <v>92</v>
      </c>
      <c r="AY9" s="3" t="s">
        <v>92</v>
      </c>
      <c r="AZ9" s="3" t="s">
        <v>92</v>
      </c>
      <c r="BA9" s="3" t="s">
        <v>92</v>
      </c>
      <c r="BB9" s="3" t="s">
        <v>92</v>
      </c>
      <c r="BD9" s="49" t="s">
        <v>97</v>
      </c>
    </row>
    <row r="10" spans="1:58" s="28" customFormat="1" ht="13.5" customHeight="1" x14ac:dyDescent="0.15">
      <c r="A10" s="28" t="s">
        <v>90</v>
      </c>
      <c r="B10" s="28" t="s">
        <v>91</v>
      </c>
      <c r="C10" s="28">
        <v>5500</v>
      </c>
      <c r="D10" s="28" t="s">
        <v>93</v>
      </c>
      <c r="E10" s="28">
        <v>75</v>
      </c>
      <c r="F10" s="75">
        <f>((C10/1000)/(E10))*60</f>
        <v>4.4000000000000004</v>
      </c>
      <c r="G10" s="28">
        <v>500</v>
      </c>
      <c r="H10" s="28" t="s">
        <v>92</v>
      </c>
      <c r="I10" s="28">
        <v>0.3</v>
      </c>
      <c r="J10" s="28" t="s">
        <v>112</v>
      </c>
      <c r="K10" s="28">
        <f>(0.3+0.45)/2</f>
        <v>0.375</v>
      </c>
      <c r="L10" s="28">
        <v>50</v>
      </c>
      <c r="M10" s="31" t="s">
        <v>92</v>
      </c>
      <c r="N10" s="28" t="s">
        <v>92</v>
      </c>
      <c r="O10" s="28">
        <v>7.84</v>
      </c>
      <c r="P10" s="28">
        <v>73.52</v>
      </c>
      <c r="Q10" s="28">
        <v>1.88</v>
      </c>
      <c r="R10" s="28">
        <v>47.21</v>
      </c>
      <c r="S10" s="28">
        <v>6.25</v>
      </c>
      <c r="T10" s="28">
        <v>0.05</v>
      </c>
      <c r="U10" s="28">
        <v>44.4</v>
      </c>
      <c r="V10" s="28">
        <v>0.21</v>
      </c>
      <c r="W10" s="28">
        <v>19.41</v>
      </c>
      <c r="X10" s="31">
        <f t="shared" si="2"/>
        <v>100</v>
      </c>
      <c r="Y10" s="31">
        <f t="shared" si="3"/>
        <v>0</v>
      </c>
      <c r="Z10" s="31">
        <v>62.4</v>
      </c>
      <c r="AA10" s="31">
        <v>19.399999999999999</v>
      </c>
      <c r="AB10" s="31">
        <v>18.2</v>
      </c>
      <c r="AC10" s="31" t="s">
        <v>96</v>
      </c>
      <c r="AD10" s="31">
        <f t="shared" si="4"/>
        <v>62.4</v>
      </c>
      <c r="AE10" s="31"/>
      <c r="AF10" s="29" t="s">
        <v>92</v>
      </c>
      <c r="AG10" s="29" t="s">
        <v>92</v>
      </c>
      <c r="AH10" s="29" t="s">
        <v>92</v>
      </c>
      <c r="AI10" s="29" t="s">
        <v>92</v>
      </c>
      <c r="AJ10" s="29" t="s">
        <v>92</v>
      </c>
      <c r="AK10" s="29" t="s">
        <v>92</v>
      </c>
      <c r="AL10" s="69" t="s">
        <v>92</v>
      </c>
      <c r="AM10" s="29" t="s">
        <v>92</v>
      </c>
      <c r="AN10" s="29" t="s">
        <v>92</v>
      </c>
      <c r="AO10" s="29" t="s">
        <v>92</v>
      </c>
      <c r="AP10" s="29" t="s">
        <v>92</v>
      </c>
      <c r="AQ10" s="29" t="s">
        <v>92</v>
      </c>
      <c r="AR10" s="29" t="s">
        <v>92</v>
      </c>
      <c r="AS10" s="29" t="s">
        <v>92</v>
      </c>
      <c r="AT10" s="29" t="s">
        <v>92</v>
      </c>
      <c r="AU10" s="29" t="s">
        <v>92</v>
      </c>
      <c r="AV10" s="29" t="s">
        <v>92</v>
      </c>
      <c r="AW10" s="29" t="s">
        <v>92</v>
      </c>
      <c r="AX10" s="29" t="s">
        <v>92</v>
      </c>
      <c r="AY10" s="29" t="s">
        <v>92</v>
      </c>
      <c r="AZ10" s="29" t="s">
        <v>92</v>
      </c>
      <c r="BA10" s="29" t="s">
        <v>92</v>
      </c>
      <c r="BB10" s="31" t="s">
        <v>92</v>
      </c>
      <c r="BD10" s="28" t="s">
        <v>113</v>
      </c>
    </row>
    <row r="11" spans="1:58" s="49" customFormat="1" ht="13" x14ac:dyDescent="0.15">
      <c r="A11" s="49" t="s">
        <v>90</v>
      </c>
      <c r="B11" s="49" t="s">
        <v>91</v>
      </c>
      <c r="C11" s="49">
        <v>5500</v>
      </c>
      <c r="D11" s="49" t="s">
        <v>93</v>
      </c>
      <c r="E11" s="49">
        <v>75</v>
      </c>
      <c r="F11" s="75">
        <f t="shared" si="5"/>
        <v>4.4000000000000004</v>
      </c>
      <c r="G11" s="49">
        <v>500</v>
      </c>
      <c r="H11" s="49">
        <v>350</v>
      </c>
      <c r="I11" s="49">
        <v>0.3</v>
      </c>
      <c r="J11" s="49" t="s">
        <v>112</v>
      </c>
      <c r="K11" s="49">
        <f>(0.3+0.45)/2</f>
        <v>0.375</v>
      </c>
      <c r="L11" s="49">
        <v>50</v>
      </c>
      <c r="M11" s="51" t="s">
        <v>92</v>
      </c>
      <c r="N11" s="49" t="s">
        <v>92</v>
      </c>
      <c r="O11" s="49">
        <v>7.84</v>
      </c>
      <c r="P11" s="49">
        <v>73.52</v>
      </c>
      <c r="Q11" s="49">
        <v>1.88</v>
      </c>
      <c r="R11" s="49">
        <v>47.21</v>
      </c>
      <c r="S11" s="49">
        <v>6.25</v>
      </c>
      <c r="T11" s="49">
        <v>0.05</v>
      </c>
      <c r="U11" s="49">
        <v>44.4</v>
      </c>
      <c r="V11" s="49">
        <v>0.21</v>
      </c>
      <c r="W11" s="49">
        <v>19.41</v>
      </c>
      <c r="X11" s="51">
        <f t="shared" si="2"/>
        <v>100</v>
      </c>
      <c r="Y11" s="51">
        <f t="shared" si="3"/>
        <v>0</v>
      </c>
      <c r="Z11" s="51">
        <v>52.8</v>
      </c>
      <c r="AA11" s="51">
        <v>25.3</v>
      </c>
      <c r="AB11" s="51">
        <v>21.9</v>
      </c>
      <c r="AC11" s="51" t="s">
        <v>96</v>
      </c>
      <c r="AD11" s="51">
        <f t="shared" si="4"/>
        <v>52.8</v>
      </c>
      <c r="AE11" s="51"/>
      <c r="AF11" s="50" t="s">
        <v>92</v>
      </c>
      <c r="AG11" s="50" t="s">
        <v>92</v>
      </c>
      <c r="AH11" s="50" t="s">
        <v>92</v>
      </c>
      <c r="AI11" s="50" t="s">
        <v>92</v>
      </c>
      <c r="AJ11" s="50" t="s">
        <v>92</v>
      </c>
      <c r="AK11" s="50" t="s">
        <v>92</v>
      </c>
      <c r="AL11" s="69" t="s">
        <v>92</v>
      </c>
      <c r="AM11" s="50" t="s">
        <v>92</v>
      </c>
      <c r="AN11" s="50" t="s">
        <v>92</v>
      </c>
      <c r="AO11" s="50" t="s">
        <v>92</v>
      </c>
      <c r="AP11" s="50" t="s">
        <v>92</v>
      </c>
      <c r="AQ11" s="50" t="s">
        <v>92</v>
      </c>
      <c r="AR11" s="50" t="s">
        <v>92</v>
      </c>
      <c r="AS11" s="50" t="s">
        <v>92</v>
      </c>
      <c r="AT11" s="50" t="s">
        <v>92</v>
      </c>
      <c r="AU11" s="50" t="s">
        <v>92</v>
      </c>
      <c r="AV11" s="50" t="s">
        <v>92</v>
      </c>
      <c r="AW11" s="50" t="s">
        <v>92</v>
      </c>
      <c r="AX11" s="50" t="s">
        <v>92</v>
      </c>
      <c r="AY11" s="50" t="s">
        <v>92</v>
      </c>
      <c r="AZ11" s="50" t="s">
        <v>92</v>
      </c>
      <c r="BA11" s="50" t="s">
        <v>92</v>
      </c>
      <c r="BB11" s="51" t="s">
        <v>92</v>
      </c>
      <c r="BD11" s="49" t="s">
        <v>113</v>
      </c>
    </row>
    <row r="12" spans="1:58" s="49" customFormat="1" ht="13" x14ac:dyDescent="0.15">
      <c r="A12" s="49" t="s">
        <v>90</v>
      </c>
      <c r="B12" s="49" t="s">
        <v>91</v>
      </c>
      <c r="C12" s="49">
        <v>5500</v>
      </c>
      <c r="D12" s="49" t="s">
        <v>93</v>
      </c>
      <c r="E12" s="49">
        <v>75</v>
      </c>
      <c r="F12" s="75">
        <f t="shared" si="5"/>
        <v>4.4000000000000004</v>
      </c>
      <c r="G12" s="49">
        <v>500</v>
      </c>
      <c r="H12" s="49">
        <v>400</v>
      </c>
      <c r="I12" s="49">
        <v>0.3</v>
      </c>
      <c r="J12" s="49" t="s">
        <v>112</v>
      </c>
      <c r="K12" s="49">
        <f>(0.3+0.45)/2</f>
        <v>0.375</v>
      </c>
      <c r="L12" s="49">
        <v>50</v>
      </c>
      <c r="M12" s="51" t="s">
        <v>92</v>
      </c>
      <c r="N12" s="49" t="s">
        <v>92</v>
      </c>
      <c r="O12" s="49">
        <v>7.84</v>
      </c>
      <c r="P12" s="49">
        <v>73.52</v>
      </c>
      <c r="Q12" s="49">
        <v>1.88</v>
      </c>
      <c r="R12" s="49">
        <v>47.21</v>
      </c>
      <c r="S12" s="49">
        <v>6.25</v>
      </c>
      <c r="T12" s="49">
        <v>0.05</v>
      </c>
      <c r="U12" s="49">
        <v>44.4</v>
      </c>
      <c r="V12" s="49">
        <v>0.21</v>
      </c>
      <c r="W12" s="49">
        <v>19.41</v>
      </c>
      <c r="X12" s="51">
        <f t="shared" si="2"/>
        <v>100.00000000000001</v>
      </c>
      <c r="Y12" s="51">
        <f t="shared" si="3"/>
        <v>0</v>
      </c>
      <c r="Z12" s="51">
        <v>58.7</v>
      </c>
      <c r="AA12" s="51">
        <v>22.1</v>
      </c>
      <c r="AB12" s="51">
        <v>19.2</v>
      </c>
      <c r="AC12" s="51" t="s">
        <v>96</v>
      </c>
      <c r="AD12" s="51">
        <f t="shared" si="4"/>
        <v>58.7</v>
      </c>
      <c r="AE12" s="51"/>
      <c r="AF12" s="50" t="s">
        <v>92</v>
      </c>
      <c r="AG12" s="50" t="s">
        <v>92</v>
      </c>
      <c r="AH12" s="50" t="s">
        <v>92</v>
      </c>
      <c r="AI12" s="50" t="s">
        <v>92</v>
      </c>
      <c r="AJ12" s="50" t="s">
        <v>92</v>
      </c>
      <c r="AK12" s="50" t="s">
        <v>92</v>
      </c>
      <c r="AL12" s="69" t="s">
        <v>92</v>
      </c>
      <c r="AM12" s="50" t="s">
        <v>92</v>
      </c>
      <c r="AN12" s="50" t="s">
        <v>92</v>
      </c>
      <c r="AO12" s="50" t="s">
        <v>92</v>
      </c>
      <c r="AP12" s="50" t="s">
        <v>92</v>
      </c>
      <c r="AQ12" s="50" t="s">
        <v>92</v>
      </c>
      <c r="AR12" s="50" t="s">
        <v>92</v>
      </c>
      <c r="AS12" s="50" t="s">
        <v>92</v>
      </c>
      <c r="AT12" s="50" t="s">
        <v>92</v>
      </c>
      <c r="AU12" s="50" t="s">
        <v>92</v>
      </c>
      <c r="AV12" s="50" t="s">
        <v>92</v>
      </c>
      <c r="AW12" s="50" t="s">
        <v>92</v>
      </c>
      <c r="AX12" s="50" t="s">
        <v>92</v>
      </c>
      <c r="AY12" s="50" t="s">
        <v>92</v>
      </c>
      <c r="AZ12" s="50" t="s">
        <v>92</v>
      </c>
      <c r="BA12" s="50" t="s">
        <v>92</v>
      </c>
      <c r="BB12" s="51" t="s">
        <v>92</v>
      </c>
      <c r="BD12" s="49" t="s">
        <v>113</v>
      </c>
      <c r="BE12" s="49" t="s">
        <v>114</v>
      </c>
    </row>
    <row r="13" spans="1:58" s="49" customFormat="1" ht="13" x14ac:dyDescent="0.15">
      <c r="A13" s="49" t="s">
        <v>90</v>
      </c>
      <c r="B13" s="49" t="s">
        <v>91</v>
      </c>
      <c r="C13" s="49">
        <v>5500</v>
      </c>
      <c r="D13" s="49" t="s">
        <v>93</v>
      </c>
      <c r="E13" s="49">
        <v>75</v>
      </c>
      <c r="F13" s="75">
        <f t="shared" si="5"/>
        <v>4.4000000000000004</v>
      </c>
      <c r="G13" s="49">
        <v>500</v>
      </c>
      <c r="H13" s="49">
        <v>450</v>
      </c>
      <c r="I13" s="49">
        <v>0.3</v>
      </c>
      <c r="J13" s="49" t="s">
        <v>112</v>
      </c>
      <c r="K13" s="49">
        <f>(0.3+0.45)/2</f>
        <v>0.375</v>
      </c>
      <c r="L13" s="49">
        <v>50</v>
      </c>
      <c r="M13" s="51" t="s">
        <v>92</v>
      </c>
      <c r="N13" s="49" t="s">
        <v>92</v>
      </c>
      <c r="O13" s="49">
        <v>7.84</v>
      </c>
      <c r="P13" s="49">
        <v>73.52</v>
      </c>
      <c r="Q13" s="49">
        <v>1.88</v>
      </c>
      <c r="R13" s="49">
        <v>47.21</v>
      </c>
      <c r="S13" s="49">
        <v>6.25</v>
      </c>
      <c r="T13" s="49">
        <v>0.05</v>
      </c>
      <c r="U13" s="49">
        <v>44.4</v>
      </c>
      <c r="V13" s="49">
        <v>0.21</v>
      </c>
      <c r="W13" s="49">
        <v>19.41</v>
      </c>
      <c r="X13" s="51">
        <f t="shared" si="2"/>
        <v>100</v>
      </c>
      <c r="Y13" s="51">
        <f t="shared" si="3"/>
        <v>0</v>
      </c>
      <c r="Z13" s="51">
        <v>53.5</v>
      </c>
      <c r="AA13" s="51">
        <v>20.8</v>
      </c>
      <c r="AB13" s="51">
        <v>25.7</v>
      </c>
      <c r="AC13" s="51" t="s">
        <v>96</v>
      </c>
      <c r="AD13" s="51">
        <f t="shared" si="4"/>
        <v>53.5</v>
      </c>
      <c r="AE13" s="51"/>
      <c r="AF13" s="50" t="s">
        <v>92</v>
      </c>
      <c r="AG13" s="50" t="s">
        <v>92</v>
      </c>
      <c r="AH13" s="50" t="s">
        <v>92</v>
      </c>
      <c r="AI13" s="50" t="s">
        <v>92</v>
      </c>
      <c r="AJ13" s="50" t="s">
        <v>92</v>
      </c>
      <c r="AK13" s="50" t="s">
        <v>92</v>
      </c>
      <c r="AL13" s="69" t="s">
        <v>92</v>
      </c>
      <c r="AM13" s="50" t="s">
        <v>92</v>
      </c>
      <c r="AN13" s="50" t="s">
        <v>92</v>
      </c>
      <c r="AO13" s="50" t="s">
        <v>92</v>
      </c>
      <c r="AP13" s="50" t="s">
        <v>92</v>
      </c>
      <c r="AQ13" s="50" t="s">
        <v>92</v>
      </c>
      <c r="AR13" s="50" t="s">
        <v>92</v>
      </c>
      <c r="AS13" s="50" t="s">
        <v>92</v>
      </c>
      <c r="AT13" s="50" t="s">
        <v>92</v>
      </c>
      <c r="AU13" s="50" t="s">
        <v>92</v>
      </c>
      <c r="AV13" s="50" t="s">
        <v>92</v>
      </c>
      <c r="AW13" s="50" t="s">
        <v>92</v>
      </c>
      <c r="AX13" s="50" t="s">
        <v>92</v>
      </c>
      <c r="AY13" s="50" t="s">
        <v>92</v>
      </c>
      <c r="AZ13" s="50" t="s">
        <v>92</v>
      </c>
      <c r="BA13" s="50" t="s">
        <v>92</v>
      </c>
      <c r="BB13" s="51" t="s">
        <v>92</v>
      </c>
      <c r="BD13" s="49" t="s">
        <v>113</v>
      </c>
    </row>
    <row r="14" spans="1:58" s="49" customFormat="1" ht="13" x14ac:dyDescent="0.15">
      <c r="A14" s="49" t="s">
        <v>90</v>
      </c>
      <c r="B14" s="49" t="s">
        <v>91</v>
      </c>
      <c r="C14" s="49">
        <v>5500</v>
      </c>
      <c r="D14" s="49" t="s">
        <v>93</v>
      </c>
      <c r="E14" s="49">
        <v>75</v>
      </c>
      <c r="F14" s="75">
        <f t="shared" si="5"/>
        <v>4.4000000000000004</v>
      </c>
      <c r="G14" s="49">
        <v>500</v>
      </c>
      <c r="H14" s="49">
        <v>500</v>
      </c>
      <c r="I14" s="49">
        <v>0.3</v>
      </c>
      <c r="J14" s="49" t="s">
        <v>112</v>
      </c>
      <c r="K14" s="49">
        <f>(0.3+0.45)/2</f>
        <v>0.375</v>
      </c>
      <c r="L14" s="49">
        <v>50</v>
      </c>
      <c r="M14" s="51" t="s">
        <v>92</v>
      </c>
      <c r="N14" s="49" t="s">
        <v>92</v>
      </c>
      <c r="O14" s="49">
        <v>7.84</v>
      </c>
      <c r="P14" s="49">
        <v>73.52</v>
      </c>
      <c r="Q14" s="49">
        <v>1.88</v>
      </c>
      <c r="R14" s="49">
        <v>47.21</v>
      </c>
      <c r="S14" s="49">
        <v>6.25</v>
      </c>
      <c r="T14" s="49">
        <v>0.05</v>
      </c>
      <c r="U14" s="49">
        <v>44.4</v>
      </c>
      <c r="V14" s="49">
        <v>0.21</v>
      </c>
      <c r="W14" s="49">
        <v>19.41</v>
      </c>
      <c r="X14" s="51">
        <f t="shared" si="2"/>
        <v>100</v>
      </c>
      <c r="Y14" s="51">
        <f t="shared" si="3"/>
        <v>0</v>
      </c>
      <c r="Z14" s="51">
        <v>52.1</v>
      </c>
      <c r="AA14" s="51">
        <v>21.2</v>
      </c>
      <c r="AB14" s="51">
        <v>26.7</v>
      </c>
      <c r="AC14" s="51" t="s">
        <v>96</v>
      </c>
      <c r="AD14" s="51">
        <f t="shared" si="4"/>
        <v>52.1</v>
      </c>
      <c r="AE14" s="51"/>
      <c r="AF14" s="50" t="s">
        <v>92</v>
      </c>
      <c r="AG14" s="50" t="s">
        <v>92</v>
      </c>
      <c r="AH14" s="50" t="s">
        <v>92</v>
      </c>
      <c r="AI14" s="50" t="s">
        <v>92</v>
      </c>
      <c r="AJ14" s="50" t="s">
        <v>92</v>
      </c>
      <c r="AK14" s="50" t="s">
        <v>92</v>
      </c>
      <c r="AL14" s="69" t="s">
        <v>92</v>
      </c>
      <c r="AM14" s="50" t="s">
        <v>92</v>
      </c>
      <c r="AN14" s="50" t="s">
        <v>92</v>
      </c>
      <c r="AO14" s="50" t="s">
        <v>92</v>
      </c>
      <c r="AP14" s="50" t="s">
        <v>92</v>
      </c>
      <c r="AQ14" s="50" t="s">
        <v>92</v>
      </c>
      <c r="AR14" s="50" t="s">
        <v>92</v>
      </c>
      <c r="AS14" s="50" t="s">
        <v>92</v>
      </c>
      <c r="AT14" s="50" t="s">
        <v>92</v>
      </c>
      <c r="AU14" s="50" t="s">
        <v>92</v>
      </c>
      <c r="AV14" s="50" t="s">
        <v>92</v>
      </c>
      <c r="AW14" s="50" t="s">
        <v>92</v>
      </c>
      <c r="AX14" s="50" t="s">
        <v>92</v>
      </c>
      <c r="AY14" s="50" t="s">
        <v>92</v>
      </c>
      <c r="AZ14" s="50" t="s">
        <v>92</v>
      </c>
      <c r="BA14" s="50" t="s">
        <v>92</v>
      </c>
      <c r="BB14" s="51" t="s">
        <v>92</v>
      </c>
      <c r="BD14" s="49" t="s">
        <v>113</v>
      </c>
    </row>
    <row r="15" spans="1:58" s="28" customFormat="1" ht="13" x14ac:dyDescent="0.15">
      <c r="A15" s="28" t="s">
        <v>117</v>
      </c>
      <c r="B15" s="28" t="s">
        <v>91</v>
      </c>
      <c r="C15" s="74">
        <v>1510</v>
      </c>
      <c r="D15" s="28" t="s">
        <v>93</v>
      </c>
      <c r="E15" s="28">
        <v>3</v>
      </c>
      <c r="F15" s="75">
        <f t="shared" si="5"/>
        <v>30.2</v>
      </c>
      <c r="G15" s="28">
        <f>673-273</f>
        <v>400</v>
      </c>
      <c r="H15" s="28" t="s">
        <v>92</v>
      </c>
      <c r="I15" s="28">
        <v>0.7</v>
      </c>
      <c r="J15" s="28" t="s">
        <v>118</v>
      </c>
      <c r="K15" s="28">
        <v>0.04</v>
      </c>
      <c r="L15" s="28">
        <v>2.5</v>
      </c>
      <c r="M15" s="31" t="s">
        <v>92</v>
      </c>
      <c r="N15" s="28" t="s">
        <v>92</v>
      </c>
      <c r="O15" s="28">
        <v>7.6</v>
      </c>
      <c r="P15" s="28">
        <v>92.2</v>
      </c>
      <c r="Q15" s="28">
        <v>0.2</v>
      </c>
      <c r="R15" s="28">
        <v>44.8</v>
      </c>
      <c r="S15" s="28">
        <v>5.9</v>
      </c>
      <c r="T15" s="28">
        <v>0.1</v>
      </c>
      <c r="U15" s="28">
        <v>46.2</v>
      </c>
      <c r="V15" s="28" t="s">
        <v>92</v>
      </c>
      <c r="W15" s="28" t="s">
        <v>92</v>
      </c>
      <c r="X15" s="31">
        <f t="shared" si="2"/>
        <v>99.600000000000009</v>
      </c>
      <c r="Y15" s="31">
        <f t="shared" si="3"/>
        <v>0.39999999999999147</v>
      </c>
      <c r="Z15" s="28">
        <v>51.1</v>
      </c>
      <c r="AA15" s="28">
        <v>27.8</v>
      </c>
      <c r="AB15" s="28">
        <v>20.7</v>
      </c>
      <c r="AC15" s="31" t="s">
        <v>96</v>
      </c>
      <c r="AD15" s="31">
        <f t="shared" si="4"/>
        <v>51.499999999999993</v>
      </c>
      <c r="AE15" s="31"/>
      <c r="AF15" s="29" t="s">
        <v>92</v>
      </c>
      <c r="AG15" s="29" t="s">
        <v>92</v>
      </c>
      <c r="AH15" s="29" t="s">
        <v>92</v>
      </c>
      <c r="AI15" s="29" t="s">
        <v>92</v>
      </c>
      <c r="AJ15" s="29" t="s">
        <v>92</v>
      </c>
      <c r="AK15" s="29" t="s">
        <v>92</v>
      </c>
      <c r="AL15" s="69" t="s">
        <v>92</v>
      </c>
      <c r="AM15" s="29" t="s">
        <v>92</v>
      </c>
      <c r="AN15" s="29" t="s">
        <v>92</v>
      </c>
      <c r="AO15" s="29" t="s">
        <v>92</v>
      </c>
      <c r="AP15" s="29" t="s">
        <v>92</v>
      </c>
      <c r="AQ15" s="29" t="s">
        <v>92</v>
      </c>
      <c r="AR15" s="29" t="s">
        <v>92</v>
      </c>
      <c r="AS15" s="29" t="s">
        <v>92</v>
      </c>
      <c r="AT15" s="29" t="s">
        <v>92</v>
      </c>
      <c r="AU15" s="29" t="s">
        <v>92</v>
      </c>
      <c r="AV15" s="29" t="s">
        <v>92</v>
      </c>
      <c r="AW15" s="29" t="s">
        <v>92</v>
      </c>
      <c r="AX15" s="29" t="s">
        <v>92</v>
      </c>
      <c r="AY15" s="29" t="s">
        <v>92</v>
      </c>
      <c r="AZ15" s="29" t="s">
        <v>92</v>
      </c>
      <c r="BA15" s="29" t="s">
        <v>92</v>
      </c>
      <c r="BB15" s="28" t="s">
        <v>92</v>
      </c>
      <c r="BD15" s="28" t="s">
        <v>119</v>
      </c>
    </row>
    <row r="16" spans="1:58" s="1" customFormat="1" ht="13" x14ac:dyDescent="0.15">
      <c r="A16" s="1" t="s">
        <v>117</v>
      </c>
      <c r="B16" s="1" t="s">
        <v>91</v>
      </c>
      <c r="C16" s="74">
        <v>1510</v>
      </c>
      <c r="D16" s="1" t="s">
        <v>93</v>
      </c>
      <c r="E16" s="1">
        <v>3</v>
      </c>
      <c r="F16" s="75">
        <f t="shared" si="5"/>
        <v>30.2</v>
      </c>
      <c r="G16" s="1">
        <f>723-273</f>
        <v>450</v>
      </c>
      <c r="H16" s="1" t="s">
        <v>92</v>
      </c>
      <c r="I16" s="1">
        <v>0.7</v>
      </c>
      <c r="J16" s="1" t="s">
        <v>118</v>
      </c>
      <c r="K16" s="1">
        <v>0.04</v>
      </c>
      <c r="L16" s="1">
        <v>2.5</v>
      </c>
      <c r="M16" s="5" t="s">
        <v>92</v>
      </c>
      <c r="N16" s="1" t="s">
        <v>92</v>
      </c>
      <c r="O16" s="1">
        <v>7.6</v>
      </c>
      <c r="P16" s="1">
        <v>92.2</v>
      </c>
      <c r="Q16" s="1">
        <v>0.2</v>
      </c>
      <c r="R16" s="1">
        <v>44.8</v>
      </c>
      <c r="S16" s="1">
        <v>5.9</v>
      </c>
      <c r="T16" s="1">
        <v>0.1</v>
      </c>
      <c r="U16" s="1">
        <v>46.2</v>
      </c>
      <c r="V16" s="1" t="s">
        <v>92</v>
      </c>
      <c r="W16" s="1" t="s">
        <v>92</v>
      </c>
      <c r="X16" s="5">
        <f t="shared" si="2"/>
        <v>99.8</v>
      </c>
      <c r="Y16" s="5">
        <f t="shared" si="3"/>
        <v>0.20000000000000284</v>
      </c>
      <c r="Z16" s="1">
        <v>52.2</v>
      </c>
      <c r="AA16" s="1">
        <v>21.9</v>
      </c>
      <c r="AB16" s="1">
        <v>25.7</v>
      </c>
      <c r="AC16" s="5" t="s">
        <v>96</v>
      </c>
      <c r="AD16" s="5">
        <f t="shared" si="4"/>
        <v>52.400000000000006</v>
      </c>
      <c r="AE16" s="5"/>
      <c r="AF16" s="3" t="s">
        <v>92</v>
      </c>
      <c r="AG16" s="3" t="s">
        <v>92</v>
      </c>
      <c r="AH16" s="3" t="s">
        <v>92</v>
      </c>
      <c r="AI16" s="3" t="s">
        <v>92</v>
      </c>
      <c r="AJ16" s="3" t="s">
        <v>92</v>
      </c>
      <c r="AK16" s="3" t="s">
        <v>92</v>
      </c>
      <c r="AL16" s="69" t="s">
        <v>92</v>
      </c>
      <c r="AM16" s="3" t="s">
        <v>92</v>
      </c>
      <c r="AN16" s="3" t="s">
        <v>92</v>
      </c>
      <c r="AO16" s="3" t="s">
        <v>92</v>
      </c>
      <c r="AP16" s="3" t="s">
        <v>92</v>
      </c>
      <c r="AQ16" s="3" t="s">
        <v>92</v>
      </c>
      <c r="AR16" s="3" t="s">
        <v>92</v>
      </c>
      <c r="AS16" s="3" t="s">
        <v>92</v>
      </c>
      <c r="AT16" s="3" t="s">
        <v>92</v>
      </c>
      <c r="AU16" s="3" t="s">
        <v>92</v>
      </c>
      <c r="AV16" s="3" t="s">
        <v>92</v>
      </c>
      <c r="AW16" s="3" t="s">
        <v>92</v>
      </c>
      <c r="AX16" s="3" t="s">
        <v>92</v>
      </c>
      <c r="AY16" s="3" t="s">
        <v>92</v>
      </c>
      <c r="AZ16" s="3" t="s">
        <v>92</v>
      </c>
      <c r="BA16" s="3" t="s">
        <v>92</v>
      </c>
      <c r="BB16" s="1" t="s">
        <v>92</v>
      </c>
      <c r="BD16" s="49" t="s">
        <v>119</v>
      </c>
    </row>
    <row r="17" spans="1:57" s="1" customFormat="1" ht="13" x14ac:dyDescent="0.15">
      <c r="A17" s="1" t="s">
        <v>117</v>
      </c>
      <c r="B17" s="1" t="s">
        <v>91</v>
      </c>
      <c r="C17" s="74">
        <v>1510</v>
      </c>
      <c r="D17" s="1" t="s">
        <v>93</v>
      </c>
      <c r="E17" s="1">
        <v>3</v>
      </c>
      <c r="F17" s="75">
        <f t="shared" si="5"/>
        <v>30.2</v>
      </c>
      <c r="G17" s="1">
        <f>773-273</f>
        <v>500</v>
      </c>
      <c r="H17" s="1" t="s">
        <v>92</v>
      </c>
      <c r="I17" s="1">
        <v>0.7</v>
      </c>
      <c r="J17" s="1" t="s">
        <v>118</v>
      </c>
      <c r="K17" s="1">
        <v>0.04</v>
      </c>
      <c r="L17" s="1">
        <v>2.5</v>
      </c>
      <c r="M17" s="5" t="s">
        <v>92</v>
      </c>
      <c r="N17" s="1" t="s">
        <v>92</v>
      </c>
      <c r="O17" s="1">
        <v>7.6</v>
      </c>
      <c r="P17" s="1">
        <v>92.2</v>
      </c>
      <c r="Q17" s="1">
        <v>0.2</v>
      </c>
      <c r="R17" s="1">
        <v>44.8</v>
      </c>
      <c r="S17" s="1">
        <v>5.9</v>
      </c>
      <c r="T17" s="1">
        <v>0.1</v>
      </c>
      <c r="U17" s="1">
        <v>46.2</v>
      </c>
      <c r="V17" s="1" t="s">
        <v>92</v>
      </c>
      <c r="W17" s="1" t="s">
        <v>92</v>
      </c>
      <c r="X17" s="5">
        <f t="shared" si="2"/>
        <v>99.9</v>
      </c>
      <c r="Y17" s="5">
        <f t="shared" si="3"/>
        <v>9.9999999999994316E-2</v>
      </c>
      <c r="Z17" s="1">
        <v>45.5</v>
      </c>
      <c r="AA17" s="1">
        <v>17.8</v>
      </c>
      <c r="AB17" s="1">
        <v>36.6</v>
      </c>
      <c r="AC17" s="5" t="s">
        <v>96</v>
      </c>
      <c r="AD17" s="5">
        <f t="shared" si="4"/>
        <v>45.599999999999994</v>
      </c>
      <c r="AE17" s="5"/>
      <c r="AF17" s="3" t="s">
        <v>92</v>
      </c>
      <c r="AG17" s="3" t="s">
        <v>92</v>
      </c>
      <c r="AH17" s="3" t="s">
        <v>92</v>
      </c>
      <c r="AI17" s="3" t="s">
        <v>92</v>
      </c>
      <c r="AJ17" s="3" t="s">
        <v>92</v>
      </c>
      <c r="AK17" s="3" t="s">
        <v>92</v>
      </c>
      <c r="AL17" s="69" t="s">
        <v>92</v>
      </c>
      <c r="AM17" s="3" t="s">
        <v>92</v>
      </c>
      <c r="AN17" s="3" t="s">
        <v>92</v>
      </c>
      <c r="AO17" s="3" t="s">
        <v>92</v>
      </c>
      <c r="AP17" s="3" t="s">
        <v>92</v>
      </c>
      <c r="AQ17" s="3" t="s">
        <v>92</v>
      </c>
      <c r="AR17" s="3" t="s">
        <v>92</v>
      </c>
      <c r="AS17" s="3" t="s">
        <v>92</v>
      </c>
      <c r="AT17" s="3" t="s">
        <v>92</v>
      </c>
      <c r="AU17" s="3" t="s">
        <v>92</v>
      </c>
      <c r="AV17" s="3" t="s">
        <v>92</v>
      </c>
      <c r="AW17" s="3" t="s">
        <v>92</v>
      </c>
      <c r="AX17" s="3" t="s">
        <v>92</v>
      </c>
      <c r="AY17" s="3" t="s">
        <v>92</v>
      </c>
      <c r="AZ17" s="3" t="s">
        <v>92</v>
      </c>
      <c r="BA17" s="3" t="s">
        <v>92</v>
      </c>
      <c r="BB17" s="1" t="s">
        <v>92</v>
      </c>
      <c r="BD17" s="49" t="s">
        <v>119</v>
      </c>
    </row>
    <row r="18" spans="1:57" s="1" customFormat="1" ht="13" x14ac:dyDescent="0.15">
      <c r="A18" s="1" t="s">
        <v>117</v>
      </c>
      <c r="B18" s="1" t="s">
        <v>91</v>
      </c>
      <c r="C18" s="74">
        <v>1510</v>
      </c>
      <c r="D18" s="1" t="s">
        <v>93</v>
      </c>
      <c r="E18" s="1">
        <v>3</v>
      </c>
      <c r="F18" s="75">
        <f t="shared" si="5"/>
        <v>30.2</v>
      </c>
      <c r="G18" s="1">
        <f>823-273</f>
        <v>550</v>
      </c>
      <c r="H18" s="1" t="s">
        <v>92</v>
      </c>
      <c r="I18" s="1">
        <v>0.7</v>
      </c>
      <c r="J18" s="1" t="s">
        <v>118</v>
      </c>
      <c r="K18" s="1">
        <v>0.04</v>
      </c>
      <c r="L18" s="1">
        <v>2.5</v>
      </c>
      <c r="M18" s="5" t="s">
        <v>92</v>
      </c>
      <c r="N18" s="1" t="s">
        <v>92</v>
      </c>
      <c r="O18" s="1">
        <v>7.6</v>
      </c>
      <c r="P18" s="1">
        <v>92.2</v>
      </c>
      <c r="Q18" s="1">
        <v>0.2</v>
      </c>
      <c r="R18" s="1">
        <v>44.8</v>
      </c>
      <c r="S18" s="1">
        <v>5.9</v>
      </c>
      <c r="T18" s="1">
        <v>0.1</v>
      </c>
      <c r="U18" s="1">
        <v>46.2</v>
      </c>
      <c r="V18" s="1" t="s">
        <v>92</v>
      </c>
      <c r="W18" s="1" t="s">
        <v>92</v>
      </c>
      <c r="X18" s="5">
        <f t="shared" si="2"/>
        <v>100.9</v>
      </c>
      <c r="Y18" s="5">
        <f t="shared" si="3"/>
        <v>-0.90000000000000568</v>
      </c>
      <c r="Z18" s="5">
        <v>43</v>
      </c>
      <c r="AA18" s="1">
        <v>14.9</v>
      </c>
      <c r="AB18" s="5">
        <v>43</v>
      </c>
      <c r="AC18" s="5" t="s">
        <v>96</v>
      </c>
      <c r="AD18" s="5">
        <f t="shared" si="4"/>
        <v>42.099999999999994</v>
      </c>
      <c r="AE18" s="5"/>
      <c r="AF18" s="3" t="s">
        <v>92</v>
      </c>
      <c r="AG18" s="3" t="s">
        <v>92</v>
      </c>
      <c r="AH18" s="3" t="s">
        <v>92</v>
      </c>
      <c r="AI18" s="3" t="s">
        <v>92</v>
      </c>
      <c r="AJ18" s="3" t="s">
        <v>92</v>
      </c>
      <c r="AK18" s="3" t="s">
        <v>92</v>
      </c>
      <c r="AL18" s="69" t="s">
        <v>92</v>
      </c>
      <c r="AM18" s="3" t="s">
        <v>92</v>
      </c>
      <c r="AN18" s="3" t="s">
        <v>92</v>
      </c>
      <c r="AO18" s="3" t="s">
        <v>92</v>
      </c>
      <c r="AP18" s="3" t="s">
        <v>92</v>
      </c>
      <c r="AQ18" s="3" t="s">
        <v>92</v>
      </c>
      <c r="AR18" s="3" t="s">
        <v>92</v>
      </c>
      <c r="AS18" s="3" t="s">
        <v>92</v>
      </c>
      <c r="AT18" s="3" t="s">
        <v>92</v>
      </c>
      <c r="AU18" s="3" t="s">
        <v>92</v>
      </c>
      <c r="AV18" s="3" t="s">
        <v>92</v>
      </c>
      <c r="AW18" s="3" t="s">
        <v>92</v>
      </c>
      <c r="AX18" s="3" t="s">
        <v>92</v>
      </c>
      <c r="AY18" s="3" t="s">
        <v>92</v>
      </c>
      <c r="AZ18" s="3" t="s">
        <v>92</v>
      </c>
      <c r="BA18" s="3" t="s">
        <v>92</v>
      </c>
      <c r="BB18" s="1" t="s">
        <v>92</v>
      </c>
      <c r="BD18" s="49" t="s">
        <v>119</v>
      </c>
      <c r="BE18" s="1" t="s">
        <v>120</v>
      </c>
    </row>
    <row r="19" spans="1:57" s="1" customFormat="1" ht="13" x14ac:dyDescent="0.15">
      <c r="A19" s="1" t="s">
        <v>117</v>
      </c>
      <c r="B19" s="1" t="s">
        <v>91</v>
      </c>
      <c r="C19" s="74">
        <v>1510</v>
      </c>
      <c r="D19" s="1" t="s">
        <v>93</v>
      </c>
      <c r="E19" s="1">
        <v>2.5</v>
      </c>
      <c r="F19" s="75">
        <f t="shared" si="5"/>
        <v>36.24</v>
      </c>
      <c r="G19" s="1">
        <v>400</v>
      </c>
      <c r="H19" s="1" t="s">
        <v>92</v>
      </c>
      <c r="I19" s="1">
        <v>0.3</v>
      </c>
      <c r="J19" s="1" t="s">
        <v>118</v>
      </c>
      <c r="K19" s="1">
        <v>0.04</v>
      </c>
      <c r="L19" s="1">
        <v>3</v>
      </c>
      <c r="M19" s="5" t="s">
        <v>92</v>
      </c>
      <c r="N19" s="1" t="s">
        <v>92</v>
      </c>
      <c r="O19" s="1">
        <v>7.6</v>
      </c>
      <c r="P19" s="1">
        <v>92.2</v>
      </c>
      <c r="Q19" s="1">
        <v>0.2</v>
      </c>
      <c r="R19" s="1">
        <v>44.8</v>
      </c>
      <c r="S19" s="1">
        <v>5.9</v>
      </c>
      <c r="T19" s="1">
        <v>0.1</v>
      </c>
      <c r="U19" s="1">
        <v>46.2</v>
      </c>
      <c r="V19" s="1" t="s">
        <v>92</v>
      </c>
      <c r="W19" s="1" t="s">
        <v>92</v>
      </c>
      <c r="X19" s="5">
        <f t="shared" si="2"/>
        <v>100.5</v>
      </c>
      <c r="Y19" s="5">
        <f t="shared" si="3"/>
        <v>-0.5</v>
      </c>
      <c r="Z19" s="1">
        <v>46.5</v>
      </c>
      <c r="AA19" s="1">
        <v>23.3</v>
      </c>
      <c r="AB19" s="1">
        <v>30.7</v>
      </c>
      <c r="AC19" s="5" t="s">
        <v>96</v>
      </c>
      <c r="AD19" s="5">
        <f t="shared" si="4"/>
        <v>46</v>
      </c>
      <c r="AE19" s="5"/>
      <c r="AF19" s="3" t="s">
        <v>92</v>
      </c>
      <c r="AG19" s="3" t="s">
        <v>92</v>
      </c>
      <c r="AH19" s="3" t="s">
        <v>92</v>
      </c>
      <c r="AI19" s="3" t="s">
        <v>92</v>
      </c>
      <c r="AJ19" s="3" t="s">
        <v>92</v>
      </c>
      <c r="AK19" s="3" t="s">
        <v>92</v>
      </c>
      <c r="AL19" s="69" t="s">
        <v>92</v>
      </c>
      <c r="AM19" s="3" t="s">
        <v>92</v>
      </c>
      <c r="AN19" s="3" t="s">
        <v>92</v>
      </c>
      <c r="AO19" s="3" t="s">
        <v>92</v>
      </c>
      <c r="AP19" s="3" t="s">
        <v>92</v>
      </c>
      <c r="AQ19" s="3" t="s">
        <v>92</v>
      </c>
      <c r="AR19" s="3" t="s">
        <v>92</v>
      </c>
      <c r="AS19" s="3" t="s">
        <v>92</v>
      </c>
      <c r="AT19" s="3" t="s">
        <v>92</v>
      </c>
      <c r="AU19" s="3" t="s">
        <v>92</v>
      </c>
      <c r="AV19" s="3" t="s">
        <v>92</v>
      </c>
      <c r="AW19" s="3" t="s">
        <v>92</v>
      </c>
      <c r="AX19" s="3" t="s">
        <v>92</v>
      </c>
      <c r="AY19" s="3" t="s">
        <v>92</v>
      </c>
      <c r="AZ19" s="3" t="s">
        <v>92</v>
      </c>
      <c r="BA19" s="3" t="s">
        <v>92</v>
      </c>
      <c r="BB19" s="1" t="s">
        <v>92</v>
      </c>
      <c r="BD19" s="49" t="s">
        <v>119</v>
      </c>
    </row>
    <row r="20" spans="1:57" s="1" customFormat="1" ht="13" x14ac:dyDescent="0.15">
      <c r="A20" s="1" t="s">
        <v>117</v>
      </c>
      <c r="B20" s="1" t="s">
        <v>91</v>
      </c>
      <c r="C20" s="74">
        <v>1510</v>
      </c>
      <c r="D20" s="1" t="s">
        <v>93</v>
      </c>
      <c r="E20" s="1">
        <v>2.5</v>
      </c>
      <c r="F20" s="75">
        <f t="shared" si="5"/>
        <v>36.24</v>
      </c>
      <c r="G20" s="1">
        <v>400</v>
      </c>
      <c r="H20" s="1" t="s">
        <v>92</v>
      </c>
      <c r="I20" s="1">
        <v>0.7</v>
      </c>
      <c r="J20" s="1" t="s">
        <v>118</v>
      </c>
      <c r="K20" s="1">
        <v>0.04</v>
      </c>
      <c r="L20" s="1">
        <v>3</v>
      </c>
      <c r="M20" s="5" t="s">
        <v>92</v>
      </c>
      <c r="N20" s="1" t="s">
        <v>92</v>
      </c>
      <c r="O20" s="1">
        <v>7.6</v>
      </c>
      <c r="P20" s="1">
        <v>92.2</v>
      </c>
      <c r="Q20" s="1">
        <v>0.2</v>
      </c>
      <c r="R20" s="1">
        <v>44.8</v>
      </c>
      <c r="S20" s="1">
        <v>5.9</v>
      </c>
      <c r="T20" s="1">
        <v>0.1</v>
      </c>
      <c r="U20" s="1">
        <v>46.2</v>
      </c>
      <c r="V20" s="1" t="s">
        <v>92</v>
      </c>
      <c r="W20" s="1" t="s">
        <v>92</v>
      </c>
      <c r="X20" s="5">
        <f t="shared" si="2"/>
        <v>101.2</v>
      </c>
      <c r="Y20" s="5">
        <f t="shared" si="3"/>
        <v>-1.2000000000000028</v>
      </c>
      <c r="Z20" s="1">
        <v>52.5</v>
      </c>
      <c r="AA20" s="1">
        <v>22.4</v>
      </c>
      <c r="AB20" s="1">
        <v>26.3</v>
      </c>
      <c r="AC20" s="5" t="s">
        <v>96</v>
      </c>
      <c r="AD20" s="5">
        <f t="shared" si="4"/>
        <v>51.3</v>
      </c>
      <c r="AE20" s="5"/>
      <c r="AF20" s="3" t="s">
        <v>92</v>
      </c>
      <c r="AG20" s="3" t="s">
        <v>92</v>
      </c>
      <c r="AH20" s="3" t="s">
        <v>92</v>
      </c>
      <c r="AI20" s="3" t="s">
        <v>92</v>
      </c>
      <c r="AJ20" s="3" t="s">
        <v>92</v>
      </c>
      <c r="AK20" s="3" t="s">
        <v>92</v>
      </c>
      <c r="AL20" s="69" t="s">
        <v>92</v>
      </c>
      <c r="AM20" s="3" t="s">
        <v>92</v>
      </c>
      <c r="AN20" s="3" t="s">
        <v>92</v>
      </c>
      <c r="AO20" s="3" t="s">
        <v>92</v>
      </c>
      <c r="AP20" s="3" t="s">
        <v>92</v>
      </c>
      <c r="AQ20" s="3" t="s">
        <v>92</v>
      </c>
      <c r="AR20" s="3" t="s">
        <v>92</v>
      </c>
      <c r="AS20" s="3" t="s">
        <v>92</v>
      </c>
      <c r="AT20" s="3" t="s">
        <v>92</v>
      </c>
      <c r="AU20" s="3" t="s">
        <v>92</v>
      </c>
      <c r="AV20" s="3" t="s">
        <v>92</v>
      </c>
      <c r="AW20" s="3" t="s">
        <v>92</v>
      </c>
      <c r="AX20" s="3" t="s">
        <v>92</v>
      </c>
      <c r="AY20" s="3" t="s">
        <v>92</v>
      </c>
      <c r="AZ20" s="3" t="s">
        <v>92</v>
      </c>
      <c r="BA20" s="3" t="s">
        <v>92</v>
      </c>
      <c r="BB20" s="1" t="s">
        <v>92</v>
      </c>
      <c r="BD20" s="49" t="s">
        <v>119</v>
      </c>
    </row>
    <row r="21" spans="1:57" s="1" customFormat="1" ht="13" x14ac:dyDescent="0.15">
      <c r="A21" s="1" t="s">
        <v>117</v>
      </c>
      <c r="B21" s="1" t="s">
        <v>91</v>
      </c>
      <c r="C21" s="74">
        <v>1510</v>
      </c>
      <c r="D21" s="1" t="s">
        <v>93</v>
      </c>
      <c r="E21" s="1">
        <v>2</v>
      </c>
      <c r="F21" s="75">
        <f t="shared" si="5"/>
        <v>45.3</v>
      </c>
      <c r="G21" s="1">
        <v>400</v>
      </c>
      <c r="H21" s="1" t="s">
        <v>92</v>
      </c>
      <c r="I21" s="1">
        <v>1</v>
      </c>
      <c r="J21" s="1" t="s">
        <v>118</v>
      </c>
      <c r="K21" s="1">
        <v>0.04</v>
      </c>
      <c r="L21" s="1">
        <v>2.5</v>
      </c>
      <c r="M21" s="5" t="s">
        <v>92</v>
      </c>
      <c r="N21" s="1" t="s">
        <v>92</v>
      </c>
      <c r="O21" s="1">
        <v>7.6</v>
      </c>
      <c r="P21" s="1">
        <v>92.2</v>
      </c>
      <c r="Q21" s="1">
        <v>0.2</v>
      </c>
      <c r="R21" s="1">
        <v>44.8</v>
      </c>
      <c r="S21" s="1">
        <v>5.9</v>
      </c>
      <c r="T21" s="1">
        <v>0.1</v>
      </c>
      <c r="U21" s="1">
        <v>46.2</v>
      </c>
      <c r="V21" s="1" t="s">
        <v>92</v>
      </c>
      <c r="W21" s="1" t="s">
        <v>92</v>
      </c>
      <c r="X21" s="5">
        <f t="shared" si="2"/>
        <v>101.60000000000001</v>
      </c>
      <c r="Y21" s="5">
        <f t="shared" si="3"/>
        <v>-1.6000000000000085</v>
      </c>
      <c r="Z21" s="1">
        <v>51.6</v>
      </c>
      <c r="AA21" s="1">
        <v>23.8</v>
      </c>
      <c r="AB21" s="1">
        <v>26.2</v>
      </c>
      <c r="AC21" s="5" t="s">
        <v>96</v>
      </c>
      <c r="AD21" s="5">
        <f t="shared" si="4"/>
        <v>49.999999999999993</v>
      </c>
      <c r="AE21" s="5"/>
      <c r="AF21" s="3" t="s">
        <v>92</v>
      </c>
      <c r="AG21" s="3" t="s">
        <v>92</v>
      </c>
      <c r="AH21" s="3" t="s">
        <v>92</v>
      </c>
      <c r="AI21" s="3" t="s">
        <v>92</v>
      </c>
      <c r="AJ21" s="3" t="s">
        <v>92</v>
      </c>
      <c r="AK21" s="3" t="s">
        <v>92</v>
      </c>
      <c r="AL21" s="69" t="s">
        <v>92</v>
      </c>
      <c r="AM21" s="3" t="s">
        <v>92</v>
      </c>
      <c r="AN21" s="3" t="s">
        <v>92</v>
      </c>
      <c r="AO21" s="3" t="s">
        <v>92</v>
      </c>
      <c r="AP21" s="3" t="s">
        <v>92</v>
      </c>
      <c r="AQ21" s="3" t="s">
        <v>92</v>
      </c>
      <c r="AR21" s="3" t="s">
        <v>92</v>
      </c>
      <c r="AS21" s="3" t="s">
        <v>92</v>
      </c>
      <c r="AT21" s="3" t="s">
        <v>92</v>
      </c>
      <c r="AU21" s="3" t="s">
        <v>92</v>
      </c>
      <c r="AV21" s="3" t="s">
        <v>92</v>
      </c>
      <c r="AW21" s="3" t="s">
        <v>92</v>
      </c>
      <c r="AX21" s="3" t="s">
        <v>92</v>
      </c>
      <c r="AY21" s="3" t="s">
        <v>92</v>
      </c>
      <c r="AZ21" s="3" t="s">
        <v>92</v>
      </c>
      <c r="BA21" s="3" t="s">
        <v>92</v>
      </c>
      <c r="BB21" s="1" t="s">
        <v>92</v>
      </c>
      <c r="BD21" s="49" t="s">
        <v>119</v>
      </c>
      <c r="BE21" s="7" t="s">
        <v>121</v>
      </c>
    </row>
    <row r="22" spans="1:57" s="1" customFormat="1" ht="13" x14ac:dyDescent="0.15">
      <c r="A22" s="1" t="s">
        <v>117</v>
      </c>
      <c r="B22" s="1" t="s">
        <v>91</v>
      </c>
      <c r="C22" s="74">
        <v>1510</v>
      </c>
      <c r="D22" s="1" t="s">
        <v>93</v>
      </c>
      <c r="E22" s="1">
        <v>4</v>
      </c>
      <c r="F22" s="75">
        <f t="shared" si="5"/>
        <v>22.65</v>
      </c>
      <c r="G22" s="1">
        <v>400</v>
      </c>
      <c r="H22" s="1" t="s">
        <v>92</v>
      </c>
      <c r="I22" s="1">
        <v>0.7</v>
      </c>
      <c r="J22" s="1" t="s">
        <v>118</v>
      </c>
      <c r="K22" s="1">
        <v>0.04</v>
      </c>
      <c r="L22" s="1">
        <v>1.7</v>
      </c>
      <c r="M22" s="5" t="s">
        <v>92</v>
      </c>
      <c r="N22" s="1" t="s">
        <v>92</v>
      </c>
      <c r="O22" s="1">
        <v>7.6</v>
      </c>
      <c r="P22" s="1">
        <v>92.2</v>
      </c>
      <c r="Q22" s="1">
        <v>0.2</v>
      </c>
      <c r="R22" s="1">
        <v>44.8</v>
      </c>
      <c r="S22" s="1">
        <v>5.9</v>
      </c>
      <c r="T22" s="1">
        <v>0.1</v>
      </c>
      <c r="U22" s="1">
        <v>46.2</v>
      </c>
      <c r="V22" s="1" t="s">
        <v>92</v>
      </c>
      <c r="W22" s="1" t="s">
        <v>92</v>
      </c>
      <c r="X22" s="5">
        <f t="shared" si="2"/>
        <v>100.3</v>
      </c>
      <c r="Y22" s="5">
        <f t="shared" si="3"/>
        <v>-0.29999999999999716</v>
      </c>
      <c r="Z22" s="1">
        <v>49</v>
      </c>
      <c r="AA22" s="1">
        <v>20.100000000000001</v>
      </c>
      <c r="AB22" s="1">
        <v>31.2</v>
      </c>
      <c r="AC22" s="5" t="s">
        <v>96</v>
      </c>
      <c r="AD22" s="5">
        <f t="shared" si="4"/>
        <v>48.7</v>
      </c>
      <c r="AE22" s="5"/>
      <c r="AF22" s="3" t="s">
        <v>92</v>
      </c>
      <c r="AG22" s="3" t="s">
        <v>92</v>
      </c>
      <c r="AH22" s="3" t="s">
        <v>92</v>
      </c>
      <c r="AI22" s="3" t="s">
        <v>92</v>
      </c>
      <c r="AJ22" s="3" t="s">
        <v>92</v>
      </c>
      <c r="AK22" s="3" t="s">
        <v>92</v>
      </c>
      <c r="AL22" s="69" t="s">
        <v>92</v>
      </c>
      <c r="AM22" s="3" t="s">
        <v>92</v>
      </c>
      <c r="AN22" s="3" t="s">
        <v>92</v>
      </c>
      <c r="AO22" s="3" t="s">
        <v>92</v>
      </c>
      <c r="AP22" s="3" t="s">
        <v>92</v>
      </c>
      <c r="AQ22" s="3" t="s">
        <v>92</v>
      </c>
      <c r="AR22" s="3" t="s">
        <v>92</v>
      </c>
      <c r="AS22" s="3" t="s">
        <v>92</v>
      </c>
      <c r="AT22" s="3" t="s">
        <v>92</v>
      </c>
      <c r="AU22" s="3" t="s">
        <v>92</v>
      </c>
      <c r="AV22" s="3" t="s">
        <v>92</v>
      </c>
      <c r="AW22" s="3" t="s">
        <v>92</v>
      </c>
      <c r="AX22" s="3" t="s">
        <v>92</v>
      </c>
      <c r="AY22" s="3" t="s">
        <v>92</v>
      </c>
      <c r="AZ22" s="3" t="s">
        <v>92</v>
      </c>
      <c r="BA22" s="3" t="s">
        <v>92</v>
      </c>
      <c r="BB22" s="1" t="s">
        <v>92</v>
      </c>
      <c r="BD22" s="49" t="s">
        <v>119</v>
      </c>
    </row>
    <row r="23" spans="1:57" s="1" customFormat="1" ht="13" x14ac:dyDescent="0.15">
      <c r="A23" s="1" t="s">
        <v>117</v>
      </c>
      <c r="B23" s="1" t="s">
        <v>91</v>
      </c>
      <c r="C23" s="74">
        <v>1510</v>
      </c>
      <c r="D23" s="1" t="s">
        <v>93</v>
      </c>
      <c r="E23" s="1">
        <v>3</v>
      </c>
      <c r="F23" s="75">
        <f t="shared" si="5"/>
        <v>30.2</v>
      </c>
      <c r="G23" s="1">
        <v>400</v>
      </c>
      <c r="H23" s="1" t="s">
        <v>92</v>
      </c>
      <c r="I23" s="1">
        <v>0.7</v>
      </c>
      <c r="J23" s="1" t="s">
        <v>118</v>
      </c>
      <c r="K23" s="1">
        <v>0.04</v>
      </c>
      <c r="L23" s="1">
        <v>2.5</v>
      </c>
      <c r="M23" s="5" t="s">
        <v>92</v>
      </c>
      <c r="N23" s="1" t="s">
        <v>92</v>
      </c>
      <c r="O23" s="1">
        <v>7.6</v>
      </c>
      <c r="P23" s="1">
        <v>92.2</v>
      </c>
      <c r="Q23" s="1">
        <v>0.2</v>
      </c>
      <c r="R23" s="1">
        <v>44.8</v>
      </c>
      <c r="S23" s="1">
        <v>5.9</v>
      </c>
      <c r="T23" s="1">
        <v>0.1</v>
      </c>
      <c r="U23" s="1">
        <v>46.2</v>
      </c>
      <c r="V23" s="1" t="s">
        <v>92</v>
      </c>
      <c r="W23" s="1" t="s">
        <v>92</v>
      </c>
      <c r="X23" s="5">
        <f t="shared" si="2"/>
        <v>100.3</v>
      </c>
      <c r="Y23" s="5">
        <f t="shared" si="3"/>
        <v>-0.29999999999999716</v>
      </c>
      <c r="Z23" s="1">
        <v>52.6</v>
      </c>
      <c r="AA23" s="1">
        <v>21.9</v>
      </c>
      <c r="AB23" s="1">
        <v>25.8</v>
      </c>
      <c r="AC23" s="5" t="s">
        <v>96</v>
      </c>
      <c r="AD23" s="5">
        <f t="shared" si="4"/>
        <v>52.300000000000004</v>
      </c>
      <c r="AE23" s="5"/>
      <c r="AF23" s="3" t="s">
        <v>92</v>
      </c>
      <c r="AG23" s="3" t="s">
        <v>92</v>
      </c>
      <c r="AH23" s="3" t="s">
        <v>92</v>
      </c>
      <c r="AI23" s="3" t="s">
        <v>92</v>
      </c>
      <c r="AJ23" s="3" t="s">
        <v>92</v>
      </c>
      <c r="AK23" s="3" t="s">
        <v>92</v>
      </c>
      <c r="AL23" s="69" t="s">
        <v>92</v>
      </c>
      <c r="AM23" s="3" t="s">
        <v>92</v>
      </c>
      <c r="AN23" s="3" t="s">
        <v>92</v>
      </c>
      <c r="AO23" s="3" t="s">
        <v>92</v>
      </c>
      <c r="AP23" s="3" t="s">
        <v>92</v>
      </c>
      <c r="AQ23" s="3" t="s">
        <v>92</v>
      </c>
      <c r="AR23" s="3" t="s">
        <v>92</v>
      </c>
      <c r="AS23" s="3" t="s">
        <v>92</v>
      </c>
      <c r="AT23" s="3" t="s">
        <v>92</v>
      </c>
      <c r="AU23" s="3" t="s">
        <v>92</v>
      </c>
      <c r="AV23" s="3" t="s">
        <v>92</v>
      </c>
      <c r="AW23" s="3" t="s">
        <v>92</v>
      </c>
      <c r="AX23" s="3" t="s">
        <v>92</v>
      </c>
      <c r="AY23" s="3" t="s">
        <v>92</v>
      </c>
      <c r="AZ23" s="3" t="s">
        <v>92</v>
      </c>
      <c r="BA23" s="3" t="s">
        <v>92</v>
      </c>
      <c r="BB23" s="1" t="s">
        <v>92</v>
      </c>
      <c r="BD23" s="49" t="s">
        <v>119</v>
      </c>
    </row>
    <row r="24" spans="1:57" s="67" customFormat="1" ht="13" x14ac:dyDescent="0.15">
      <c r="A24" s="67" t="s">
        <v>117</v>
      </c>
      <c r="B24" s="67" t="s">
        <v>91</v>
      </c>
      <c r="C24" s="103">
        <v>1510</v>
      </c>
      <c r="D24" s="67" t="s">
        <v>93</v>
      </c>
      <c r="E24" s="67">
        <v>3</v>
      </c>
      <c r="F24" s="75">
        <f>((C24/1000)/(E24))*60</f>
        <v>30.2</v>
      </c>
      <c r="G24" s="67">
        <v>400</v>
      </c>
      <c r="H24" s="67" t="s">
        <v>92</v>
      </c>
      <c r="I24" s="67">
        <v>0.7</v>
      </c>
      <c r="J24" s="67" t="s">
        <v>118</v>
      </c>
      <c r="K24" s="67">
        <v>0.04</v>
      </c>
      <c r="L24" s="67">
        <v>3.8</v>
      </c>
      <c r="M24" s="68" t="s">
        <v>92</v>
      </c>
      <c r="N24" s="67" t="s">
        <v>92</v>
      </c>
      <c r="O24" s="67">
        <v>7.6</v>
      </c>
      <c r="P24" s="67">
        <v>92.2</v>
      </c>
      <c r="Q24" s="67">
        <v>0.2</v>
      </c>
      <c r="R24" s="67">
        <v>44.8</v>
      </c>
      <c r="S24" s="67">
        <v>5.9</v>
      </c>
      <c r="T24" s="67">
        <v>0.1</v>
      </c>
      <c r="U24" s="67">
        <v>46.2</v>
      </c>
      <c r="V24" s="67" t="s">
        <v>92</v>
      </c>
      <c r="W24" s="67" t="s">
        <v>92</v>
      </c>
      <c r="X24" s="68">
        <f t="shared" si="2"/>
        <v>100.6</v>
      </c>
      <c r="Y24" s="68">
        <f t="shared" si="3"/>
        <v>-0.59999999999999432</v>
      </c>
      <c r="Z24" s="67">
        <v>55.5</v>
      </c>
      <c r="AA24" s="67">
        <v>20.5</v>
      </c>
      <c r="AB24" s="67">
        <v>24.6</v>
      </c>
      <c r="AC24" s="68" t="s">
        <v>96</v>
      </c>
      <c r="AD24" s="68">
        <f t="shared" si="4"/>
        <v>54.900000000000006</v>
      </c>
      <c r="AE24" s="68"/>
      <c r="AF24" s="69">
        <f>AG24+AH24+AI24</f>
        <v>10.9</v>
      </c>
      <c r="AG24" s="69">
        <v>0</v>
      </c>
      <c r="AH24" s="69">
        <v>0</v>
      </c>
      <c r="AI24" s="69">
        <f>0.4+2+1.9+1+0.8+0.7+1+1.1+1.4+0.6</f>
        <v>10.9</v>
      </c>
      <c r="AJ24" s="69" t="s">
        <v>92</v>
      </c>
      <c r="AK24" s="69" t="s">
        <v>92</v>
      </c>
      <c r="AL24" s="69">
        <f>0.6+1.4+1.1</f>
        <v>3.1</v>
      </c>
      <c r="AM24" s="69">
        <f>1.7+0.4+5.2+4+1.4+0.5+2.4</f>
        <v>15.600000000000001</v>
      </c>
      <c r="AN24" s="69" t="s">
        <v>92</v>
      </c>
      <c r="AO24" s="69" t="s">
        <v>92</v>
      </c>
      <c r="AP24" s="69">
        <f>0.6+2.4+0.5</f>
        <v>3.5</v>
      </c>
      <c r="AQ24" s="69" t="s">
        <v>92</v>
      </c>
      <c r="AR24" s="69">
        <f>0.4+0.6+0.5</f>
        <v>1.5</v>
      </c>
      <c r="AS24" s="69" t="s">
        <v>92</v>
      </c>
      <c r="AT24" s="69" t="s">
        <v>92</v>
      </c>
      <c r="AU24" s="69" t="s">
        <v>92</v>
      </c>
      <c r="AV24" s="69" t="s">
        <v>92</v>
      </c>
      <c r="AW24" s="69" t="s">
        <v>92</v>
      </c>
      <c r="AX24" s="69" t="s">
        <v>92</v>
      </c>
      <c r="AY24" s="69" t="s">
        <v>92</v>
      </c>
      <c r="AZ24" s="69" t="s">
        <v>92</v>
      </c>
      <c r="BA24" s="69" t="s">
        <v>92</v>
      </c>
      <c r="BB24" s="67" t="s">
        <v>92</v>
      </c>
      <c r="BD24" s="67" t="s">
        <v>119</v>
      </c>
      <c r="BE24" s="67" t="s">
        <v>122</v>
      </c>
    </row>
    <row r="25" spans="1:57" s="90" customFormat="1" ht="13" x14ac:dyDescent="0.15">
      <c r="A25" s="90" t="s">
        <v>90</v>
      </c>
      <c r="B25" s="90" t="s">
        <v>133</v>
      </c>
      <c r="C25" s="90">
        <v>40</v>
      </c>
      <c r="D25" s="90" t="s">
        <v>93</v>
      </c>
      <c r="E25" s="92">
        <v>6</v>
      </c>
      <c r="F25" s="90">
        <f>((C25/1000)/(E25))*60</f>
        <v>0.4</v>
      </c>
      <c r="G25" s="90">
        <v>500</v>
      </c>
      <c r="H25" s="90" t="s">
        <v>92</v>
      </c>
      <c r="I25" s="90" t="s">
        <v>134</v>
      </c>
      <c r="J25" s="90" t="s">
        <v>135</v>
      </c>
      <c r="K25" s="90">
        <v>0.32500000000000001</v>
      </c>
      <c r="L25" s="92">
        <v>1</v>
      </c>
      <c r="M25" s="92" t="s">
        <v>92</v>
      </c>
      <c r="N25" s="90" t="s">
        <v>92</v>
      </c>
      <c r="O25" s="90">
        <v>7.5</v>
      </c>
      <c r="P25" s="90" t="s">
        <v>92</v>
      </c>
      <c r="Q25" s="90">
        <v>0.1</v>
      </c>
      <c r="R25" s="90">
        <v>45.1</v>
      </c>
      <c r="S25" s="90">
        <v>6.8</v>
      </c>
      <c r="T25" s="90">
        <f>100-(R25+U25+S25)</f>
        <v>0</v>
      </c>
      <c r="U25" s="90">
        <v>48.1</v>
      </c>
      <c r="V25" s="90" t="s">
        <v>92</v>
      </c>
      <c r="W25" s="90" t="s">
        <v>92</v>
      </c>
      <c r="X25" s="92">
        <f t="shared" si="2"/>
        <v>98</v>
      </c>
      <c r="Y25" s="92">
        <f t="shared" si="3"/>
        <v>2</v>
      </c>
      <c r="Z25" s="90">
        <f>7+21</f>
        <v>28</v>
      </c>
      <c r="AA25" s="90">
        <v>12</v>
      </c>
      <c r="AB25" s="90">
        <v>58</v>
      </c>
      <c r="AC25" s="92" t="s">
        <v>96</v>
      </c>
      <c r="AD25" s="92">
        <f t="shared" si="4"/>
        <v>30</v>
      </c>
      <c r="AE25" s="92"/>
      <c r="AF25" s="93">
        <f>AG25+AH25+AI25</f>
        <v>2.7687520000000001</v>
      </c>
      <c r="AG25" s="93">
        <v>0</v>
      </c>
      <c r="AH25" s="93">
        <f>(23383+7181+23998+38441)/1000000*Z25</f>
        <v>2.6040840000000003</v>
      </c>
      <c r="AI25" s="93">
        <f>(493+2414+2359+615)/10^6*Z25</f>
        <v>0.16466800000000001</v>
      </c>
      <c r="AJ25" s="93">
        <f>(1476+2790)/10^6*Z25</f>
        <v>0.119448</v>
      </c>
      <c r="AK25" s="93">
        <f>2207/10^6*Z25</f>
        <v>6.1796000000000004E-2</v>
      </c>
      <c r="AL25" s="93" t="s">
        <v>92</v>
      </c>
      <c r="AM25" s="93">
        <f>4943/10^6*Z25</f>
        <v>0.138404</v>
      </c>
      <c r="AN25" s="93" t="s">
        <v>92</v>
      </c>
      <c r="AO25" s="93" t="s">
        <v>92</v>
      </c>
      <c r="AP25" s="93">
        <f>(3242+912+891+597+946+33535)/10^6*Z25</f>
        <v>1.1234439999999999</v>
      </c>
      <c r="AQ25" s="93" t="s">
        <v>92</v>
      </c>
      <c r="AR25" s="93" t="s">
        <v>92</v>
      </c>
      <c r="AS25" s="93" t="s">
        <v>92</v>
      </c>
      <c r="AT25" s="93">
        <f>(6489+3242)/10^6*Z25</f>
        <v>0.27246799999999999</v>
      </c>
      <c r="AU25" s="93" t="s">
        <v>92</v>
      </c>
      <c r="AV25" s="93" t="s">
        <v>92</v>
      </c>
      <c r="AW25" s="93" t="s">
        <v>92</v>
      </c>
      <c r="AX25" s="93" t="s">
        <v>92</v>
      </c>
      <c r="AY25" s="93" t="s">
        <v>92</v>
      </c>
      <c r="AZ25" s="93" t="s">
        <v>92</v>
      </c>
      <c r="BA25" s="93" t="s">
        <v>92</v>
      </c>
      <c r="BB25" s="90">
        <f>0.18/10^6*Z25</f>
        <v>5.04E-6</v>
      </c>
      <c r="BD25" s="90" t="s">
        <v>136</v>
      </c>
      <c r="BE25" s="90" t="s">
        <v>137</v>
      </c>
    </row>
    <row r="26" spans="1:57" s="67" customFormat="1" ht="13" x14ac:dyDescent="0.15">
      <c r="A26" s="67" t="s">
        <v>90</v>
      </c>
      <c r="B26" s="67" t="s">
        <v>133</v>
      </c>
      <c r="C26" s="67" t="s">
        <v>92</v>
      </c>
      <c r="D26" s="67" t="s">
        <v>93</v>
      </c>
      <c r="E26" s="67">
        <v>27</v>
      </c>
      <c r="F26" s="75">
        <v>0.87</v>
      </c>
      <c r="G26" s="67">
        <v>525</v>
      </c>
      <c r="H26" s="67" t="s">
        <v>92</v>
      </c>
      <c r="I26" s="67">
        <v>0.75</v>
      </c>
      <c r="J26" s="67" t="s">
        <v>92</v>
      </c>
      <c r="K26" s="67" t="s">
        <v>92</v>
      </c>
      <c r="L26" s="67">
        <v>16.670000000000002</v>
      </c>
      <c r="M26" s="68" t="s">
        <v>92</v>
      </c>
      <c r="N26" s="67" t="s">
        <v>92</v>
      </c>
      <c r="O26" s="67">
        <v>0</v>
      </c>
      <c r="P26" s="67">
        <v>0</v>
      </c>
      <c r="Q26" s="67">
        <v>0</v>
      </c>
      <c r="R26" s="67">
        <v>51.2</v>
      </c>
      <c r="S26" s="67">
        <v>6.3</v>
      </c>
      <c r="T26" s="67">
        <v>0.1</v>
      </c>
      <c r="U26" s="67">
        <v>42.4</v>
      </c>
      <c r="V26" s="67" t="s">
        <v>92</v>
      </c>
      <c r="W26" s="67" t="s">
        <v>92</v>
      </c>
      <c r="X26" s="68">
        <f t="shared" si="2"/>
        <v>100</v>
      </c>
      <c r="Y26" s="68">
        <f t="shared" si="3"/>
        <v>0</v>
      </c>
      <c r="Z26" s="67">
        <v>67</v>
      </c>
      <c r="AA26" s="67">
        <v>12</v>
      </c>
      <c r="AB26" s="67">
        <v>21</v>
      </c>
      <c r="AC26" s="68" t="s">
        <v>96</v>
      </c>
      <c r="AD26" s="68">
        <f t="shared" si="4"/>
        <v>67</v>
      </c>
      <c r="AE26" s="68"/>
      <c r="AF26" s="68" t="s">
        <v>92</v>
      </c>
      <c r="AG26" s="67">
        <v>0</v>
      </c>
      <c r="AH26" s="67">
        <v>0</v>
      </c>
      <c r="AI26" s="67">
        <v>0</v>
      </c>
      <c r="AJ26" s="67" t="s">
        <v>92</v>
      </c>
      <c r="AK26" s="67" t="s">
        <v>92</v>
      </c>
      <c r="AL26" s="67" t="s">
        <v>92</v>
      </c>
      <c r="AM26" s="67" t="s">
        <v>92</v>
      </c>
      <c r="AN26" s="67" t="s">
        <v>92</v>
      </c>
      <c r="AO26" s="67" t="s">
        <v>92</v>
      </c>
      <c r="AP26" s="67" t="s">
        <v>92</v>
      </c>
      <c r="AQ26" s="67" t="s">
        <v>92</v>
      </c>
      <c r="AR26" s="67" t="s">
        <v>92</v>
      </c>
      <c r="AS26" s="67" t="s">
        <v>92</v>
      </c>
      <c r="AT26" s="67">
        <f>(90.5-83.1)*Z26/100</f>
        <v>4.9580000000000037</v>
      </c>
      <c r="AU26" s="69" t="s">
        <v>92</v>
      </c>
      <c r="AV26" s="67" t="s">
        <v>92</v>
      </c>
      <c r="AW26" s="67">
        <f>(100-90.5)*Z26/100</f>
        <v>6.3650000000000002</v>
      </c>
      <c r="AX26" s="67">
        <f>(83.1-69.8)*Z26/100</f>
        <v>8.9109999999999978</v>
      </c>
      <c r="AY26" s="67">
        <f>(69.8-48.7)*Z26/100</f>
        <v>14.136999999999995</v>
      </c>
      <c r="AZ26" s="67">
        <f>(48.7-24.6)*Z26/100</f>
        <v>16.147000000000002</v>
      </c>
      <c r="BA26" s="67">
        <f>24.6*Z26/100</f>
        <v>16.481999999999999</v>
      </c>
      <c r="BB26" s="67" t="s">
        <v>92</v>
      </c>
      <c r="BD26" s="67" t="s">
        <v>138</v>
      </c>
    </row>
    <row r="27" spans="1:57" s="93" customFormat="1" ht="13" x14ac:dyDescent="0.15">
      <c r="A27" s="93" t="s">
        <v>117</v>
      </c>
      <c r="B27" s="93" t="s">
        <v>91</v>
      </c>
      <c r="C27" s="93">
        <v>1910</v>
      </c>
      <c r="D27" s="93" t="s">
        <v>93</v>
      </c>
      <c r="E27" s="93">
        <f>4*5</f>
        <v>20</v>
      </c>
      <c r="F27" s="91">
        <f>((C27/1000)/(E27))*60</f>
        <v>5.73</v>
      </c>
      <c r="G27" s="90">
        <v>475</v>
      </c>
      <c r="H27" s="93" t="s">
        <v>92</v>
      </c>
      <c r="I27" s="93">
        <v>0.72499999999999998</v>
      </c>
      <c r="J27" s="93" t="s">
        <v>92</v>
      </c>
      <c r="K27" s="93" t="s">
        <v>92</v>
      </c>
      <c r="L27" s="93">
        <v>2.5</v>
      </c>
      <c r="M27" s="93" t="s">
        <v>92</v>
      </c>
      <c r="N27" s="93" t="s">
        <v>92</v>
      </c>
      <c r="O27" s="93">
        <v>7.6</v>
      </c>
      <c r="P27" s="93">
        <v>92.2</v>
      </c>
      <c r="Q27" s="93">
        <v>0.2</v>
      </c>
      <c r="R27" s="93">
        <v>47.8</v>
      </c>
      <c r="S27" s="93">
        <v>5.9</v>
      </c>
      <c r="T27" s="93">
        <v>0.1</v>
      </c>
      <c r="U27" s="93">
        <v>46.2</v>
      </c>
      <c r="V27" s="93" t="s">
        <v>92</v>
      </c>
      <c r="W27" s="93" t="s">
        <v>92</v>
      </c>
      <c r="X27" s="93">
        <f t="shared" si="2"/>
        <v>100.1</v>
      </c>
      <c r="Y27" s="93">
        <f t="shared" si="3"/>
        <v>-9.9999999999994316E-2</v>
      </c>
      <c r="Z27" s="93">
        <v>60.3</v>
      </c>
      <c r="AA27" s="93">
        <v>20</v>
      </c>
      <c r="AB27" s="93">
        <v>19.8</v>
      </c>
      <c r="AC27" s="93" t="s">
        <v>96</v>
      </c>
      <c r="AD27" s="93">
        <f t="shared" si="4"/>
        <v>60.2</v>
      </c>
      <c r="AF27" s="93">
        <f>AG27+AH27+AI27</f>
        <v>27.014400000000002</v>
      </c>
      <c r="AG27" s="93">
        <v>0</v>
      </c>
      <c r="AH27" s="93">
        <v>0</v>
      </c>
      <c r="AI27" s="93">
        <f>(5.7+0.4+2.2+3.5+1.9+6+10+0.4+9+3.3+1.2+1.2)*Z27/100</f>
        <v>27.014400000000002</v>
      </c>
      <c r="AJ27" s="93" t="s">
        <v>92</v>
      </c>
      <c r="AK27" s="93">
        <f>(0.2+0.3+1.8+4.4+0.7+1.9)*Z27/100</f>
        <v>5.6078999999999999</v>
      </c>
      <c r="AL27" s="93">
        <f>(0.2+0.4+2.8)*Z27/100</f>
        <v>2.0501999999999998</v>
      </c>
      <c r="AM27" s="93" t="s">
        <v>92</v>
      </c>
      <c r="AN27" s="93" t="s">
        <v>92</v>
      </c>
      <c r="AO27" s="93">
        <f>1.2*Z27/100</f>
        <v>0.72360000000000002</v>
      </c>
      <c r="AP27" s="93">
        <f>2.3*Z27/100</f>
        <v>1.3868999999999998</v>
      </c>
      <c r="AQ27" s="93" t="s">
        <v>92</v>
      </c>
      <c r="AR27" s="93">
        <f>9.6*Z27/100</f>
        <v>5.7888000000000002</v>
      </c>
      <c r="AS27" s="93" t="s">
        <v>92</v>
      </c>
      <c r="AT27" s="93">
        <f>1.9*Z27/100</f>
        <v>1.1456999999999999</v>
      </c>
      <c r="AU27" s="93" t="s">
        <v>92</v>
      </c>
      <c r="AV27" s="93" t="s">
        <v>92</v>
      </c>
      <c r="AW27" s="93" t="s">
        <v>92</v>
      </c>
      <c r="AX27" s="93" t="s">
        <v>92</v>
      </c>
      <c r="AY27" s="93" t="s">
        <v>92</v>
      </c>
      <c r="AZ27" s="93" t="s">
        <v>92</v>
      </c>
      <c r="BA27" s="93" t="s">
        <v>92</v>
      </c>
      <c r="BB27" s="93" t="s">
        <v>92</v>
      </c>
      <c r="BD27" s="93" t="s">
        <v>147</v>
      </c>
      <c r="BE27" s="93" t="s">
        <v>148</v>
      </c>
    </row>
    <row r="28" spans="1:57" s="69" customFormat="1" ht="13" x14ac:dyDescent="0.15">
      <c r="A28" s="69" t="s">
        <v>117</v>
      </c>
      <c r="B28" s="69" t="s">
        <v>91</v>
      </c>
      <c r="C28" s="69">
        <v>1910</v>
      </c>
      <c r="D28" s="69" t="s">
        <v>93</v>
      </c>
      <c r="E28" s="69">
        <f>4*5</f>
        <v>20</v>
      </c>
      <c r="F28" s="75">
        <f>((C28/1000)/(E28))*60</f>
        <v>5.73</v>
      </c>
      <c r="G28" s="67">
        <v>525</v>
      </c>
      <c r="H28" s="69" t="s">
        <v>92</v>
      </c>
      <c r="I28" s="69">
        <v>0.72499999999999998</v>
      </c>
      <c r="J28" s="69" t="s">
        <v>92</v>
      </c>
      <c r="K28" s="69" t="s">
        <v>92</v>
      </c>
      <c r="L28" s="69">
        <v>2.5</v>
      </c>
      <c r="M28" s="69" t="s">
        <v>92</v>
      </c>
      <c r="N28" s="69" t="s">
        <v>92</v>
      </c>
      <c r="O28" s="69">
        <v>7.6</v>
      </c>
      <c r="P28" s="69">
        <v>92.2</v>
      </c>
      <c r="Q28" s="69">
        <v>0.2</v>
      </c>
      <c r="R28" s="69">
        <v>47.8</v>
      </c>
      <c r="S28" s="69">
        <v>5.9</v>
      </c>
      <c r="T28" s="69">
        <v>0.1</v>
      </c>
      <c r="U28" s="69">
        <v>46.2</v>
      </c>
      <c r="V28" s="69" t="s">
        <v>92</v>
      </c>
      <c r="W28" s="69" t="s">
        <v>92</v>
      </c>
      <c r="X28" s="69">
        <f t="shared" si="2"/>
        <v>100</v>
      </c>
      <c r="Y28" s="69">
        <f t="shared" si="3"/>
        <v>0</v>
      </c>
      <c r="Z28" s="69">
        <v>51.5</v>
      </c>
      <c r="AA28" s="69">
        <v>13.2</v>
      </c>
      <c r="AB28" s="69">
        <v>35.299999999999997</v>
      </c>
      <c r="AC28" s="69" t="s">
        <v>96</v>
      </c>
      <c r="AD28" s="69">
        <f t="shared" si="4"/>
        <v>51.5</v>
      </c>
      <c r="AF28" s="69" t="s">
        <v>92</v>
      </c>
      <c r="AG28" s="69">
        <v>0</v>
      </c>
      <c r="AH28" s="69">
        <v>0</v>
      </c>
      <c r="AI28" s="69">
        <v>0</v>
      </c>
      <c r="AJ28" s="69" t="s">
        <v>92</v>
      </c>
      <c r="AK28" s="69" t="s">
        <v>92</v>
      </c>
      <c r="AL28" s="69" t="s">
        <v>92</v>
      </c>
      <c r="AM28" s="69" t="s">
        <v>92</v>
      </c>
      <c r="AN28" s="69" t="s">
        <v>92</v>
      </c>
      <c r="AO28" s="69" t="s">
        <v>92</v>
      </c>
      <c r="AP28" s="69" t="s">
        <v>92</v>
      </c>
      <c r="AQ28" s="69" t="s">
        <v>92</v>
      </c>
      <c r="AR28" s="69" t="s">
        <v>92</v>
      </c>
      <c r="AS28" s="69" t="s">
        <v>92</v>
      </c>
      <c r="AT28" s="69" t="s">
        <v>92</v>
      </c>
      <c r="AU28" s="69" t="s">
        <v>92</v>
      </c>
      <c r="AV28" s="69" t="s">
        <v>92</v>
      </c>
      <c r="AW28" s="69" t="s">
        <v>92</v>
      </c>
      <c r="AX28" s="69" t="s">
        <v>92</v>
      </c>
      <c r="AY28" s="69" t="s">
        <v>92</v>
      </c>
      <c r="AZ28" s="69" t="s">
        <v>92</v>
      </c>
      <c r="BA28" s="69" t="s">
        <v>92</v>
      </c>
      <c r="BB28" s="69" t="s">
        <v>92</v>
      </c>
      <c r="BD28" s="69" t="s">
        <v>147</v>
      </c>
    </row>
    <row r="29" spans="1:57" s="3" customFormat="1" ht="13" x14ac:dyDescent="0.15">
      <c r="A29" s="3" t="s">
        <v>117</v>
      </c>
      <c r="B29" s="3" t="s">
        <v>91</v>
      </c>
      <c r="C29" s="3">
        <v>1910</v>
      </c>
      <c r="D29" s="3" t="s">
        <v>93</v>
      </c>
      <c r="E29" s="64">
        <f>4*5</f>
        <v>20</v>
      </c>
      <c r="F29" s="80">
        <f>((C29/1000)/(E29))*60</f>
        <v>5.73</v>
      </c>
      <c r="G29" s="1">
        <v>575</v>
      </c>
      <c r="H29" s="3" t="s">
        <v>92</v>
      </c>
      <c r="I29" s="3">
        <v>0.72499999999999998</v>
      </c>
      <c r="J29" s="3" t="s">
        <v>92</v>
      </c>
      <c r="K29" s="3" t="s">
        <v>92</v>
      </c>
      <c r="L29" s="3">
        <v>2.5</v>
      </c>
      <c r="M29" s="3" t="s">
        <v>92</v>
      </c>
      <c r="N29" s="3" t="s">
        <v>92</v>
      </c>
      <c r="O29" s="3">
        <v>7.6</v>
      </c>
      <c r="P29" s="3">
        <v>92.2</v>
      </c>
      <c r="Q29" s="3">
        <v>0.2</v>
      </c>
      <c r="R29" s="3">
        <v>47.8</v>
      </c>
      <c r="S29" s="3">
        <v>5.9</v>
      </c>
      <c r="T29" s="3">
        <v>0.1</v>
      </c>
      <c r="U29" s="3">
        <v>46.2</v>
      </c>
      <c r="V29" s="3" t="s">
        <v>92</v>
      </c>
      <c r="W29" s="3" t="s">
        <v>92</v>
      </c>
      <c r="X29" s="3">
        <f t="shared" si="2"/>
        <v>100</v>
      </c>
      <c r="Y29" s="3">
        <f t="shared" si="3"/>
        <v>0</v>
      </c>
      <c r="Z29" s="3">
        <v>34.799999999999997</v>
      </c>
      <c r="AA29" s="3">
        <v>11</v>
      </c>
      <c r="AB29" s="3">
        <v>54.2</v>
      </c>
      <c r="AC29" s="3" t="s">
        <v>96</v>
      </c>
      <c r="AD29" s="3">
        <f t="shared" si="4"/>
        <v>34.799999999999997</v>
      </c>
      <c r="AF29" s="3" t="s">
        <v>92</v>
      </c>
      <c r="AG29" s="3">
        <v>0</v>
      </c>
      <c r="AH29" s="3">
        <v>0</v>
      </c>
      <c r="AI29" s="3">
        <v>0</v>
      </c>
      <c r="AJ29" s="3" t="s">
        <v>92</v>
      </c>
      <c r="AK29" s="3" t="s">
        <v>92</v>
      </c>
      <c r="AL29" s="69" t="s">
        <v>92</v>
      </c>
      <c r="AM29" s="3" t="s">
        <v>92</v>
      </c>
      <c r="AN29" s="3" t="s">
        <v>92</v>
      </c>
      <c r="AO29" s="3" t="s">
        <v>92</v>
      </c>
      <c r="AP29" s="3" t="s">
        <v>92</v>
      </c>
      <c r="AQ29" s="3" t="s">
        <v>92</v>
      </c>
      <c r="AR29" s="3" t="s">
        <v>92</v>
      </c>
      <c r="AS29" s="3" t="s">
        <v>92</v>
      </c>
      <c r="AT29" s="3" t="s">
        <v>92</v>
      </c>
      <c r="AU29" s="3" t="s">
        <v>92</v>
      </c>
      <c r="AV29" s="3" t="s">
        <v>92</v>
      </c>
      <c r="AW29" s="3" t="s">
        <v>92</v>
      </c>
      <c r="AX29" s="3" t="s">
        <v>92</v>
      </c>
      <c r="AY29" s="3" t="s">
        <v>92</v>
      </c>
      <c r="AZ29" s="3" t="s">
        <v>92</v>
      </c>
      <c r="BA29" s="3" t="s">
        <v>92</v>
      </c>
      <c r="BB29" s="3" t="s">
        <v>92</v>
      </c>
      <c r="BD29" s="50" t="s">
        <v>147</v>
      </c>
    </row>
    <row r="30" spans="1:57" s="3" customFormat="1" ht="13" x14ac:dyDescent="0.15">
      <c r="A30" s="3" t="s">
        <v>117</v>
      </c>
      <c r="B30" s="3" t="s">
        <v>91</v>
      </c>
      <c r="C30" s="3">
        <v>1910</v>
      </c>
      <c r="D30" s="3" t="s">
        <v>93</v>
      </c>
      <c r="E30" s="64">
        <f>4*5</f>
        <v>20</v>
      </c>
      <c r="F30" s="80">
        <f>((C30/1000)/(E30))*60</f>
        <v>5.73</v>
      </c>
      <c r="G30" s="1">
        <v>625</v>
      </c>
      <c r="H30" s="3" t="s">
        <v>92</v>
      </c>
      <c r="I30" s="3">
        <v>0.72499999999999998</v>
      </c>
      <c r="J30" s="3" t="s">
        <v>92</v>
      </c>
      <c r="K30" s="3" t="s">
        <v>92</v>
      </c>
      <c r="L30" s="3">
        <v>2.5</v>
      </c>
      <c r="M30" s="3" t="s">
        <v>92</v>
      </c>
      <c r="N30" s="3" t="s">
        <v>92</v>
      </c>
      <c r="O30" s="3">
        <v>7.6</v>
      </c>
      <c r="P30" s="3">
        <v>92.2</v>
      </c>
      <c r="Q30" s="3">
        <v>0.2</v>
      </c>
      <c r="R30" s="3">
        <v>47.8</v>
      </c>
      <c r="S30" s="3">
        <v>5.9</v>
      </c>
      <c r="T30" s="3">
        <v>0.1</v>
      </c>
      <c r="U30" s="3">
        <v>46.2</v>
      </c>
      <c r="V30" s="3" t="s">
        <v>92</v>
      </c>
      <c r="W30" s="3" t="s">
        <v>92</v>
      </c>
      <c r="X30" s="3">
        <f t="shared" si="2"/>
        <v>99.9</v>
      </c>
      <c r="Y30" s="3">
        <f t="shared" si="3"/>
        <v>9.9999999999994316E-2</v>
      </c>
      <c r="Z30" s="3">
        <v>27.2</v>
      </c>
      <c r="AA30" s="3">
        <v>9</v>
      </c>
      <c r="AB30" s="3">
        <v>63.7</v>
      </c>
      <c r="AC30" s="3" t="s">
        <v>96</v>
      </c>
      <c r="AD30" s="3">
        <f t="shared" si="4"/>
        <v>27.299999999999994</v>
      </c>
      <c r="AF30" s="3" t="s">
        <v>92</v>
      </c>
      <c r="AG30" s="3">
        <v>0</v>
      </c>
      <c r="AH30" s="3">
        <v>0</v>
      </c>
      <c r="AI30" s="3">
        <v>0</v>
      </c>
      <c r="AJ30" s="3" t="s">
        <v>92</v>
      </c>
      <c r="AK30" s="3" t="s">
        <v>92</v>
      </c>
      <c r="AL30" s="69" t="s">
        <v>92</v>
      </c>
      <c r="AM30" s="3" t="s">
        <v>92</v>
      </c>
      <c r="AN30" s="3" t="s">
        <v>92</v>
      </c>
      <c r="AO30" s="3" t="s">
        <v>92</v>
      </c>
      <c r="AP30" s="3" t="s">
        <v>92</v>
      </c>
      <c r="AQ30" s="3" t="s">
        <v>92</v>
      </c>
      <c r="AR30" s="3" t="s">
        <v>92</v>
      </c>
      <c r="AS30" s="3" t="s">
        <v>92</v>
      </c>
      <c r="AT30" s="3" t="s">
        <v>92</v>
      </c>
      <c r="AU30" s="3" t="s">
        <v>92</v>
      </c>
      <c r="AV30" s="3" t="s">
        <v>92</v>
      </c>
      <c r="AW30" s="3" t="s">
        <v>92</v>
      </c>
      <c r="AX30" s="3" t="s">
        <v>92</v>
      </c>
      <c r="AY30" s="3" t="s">
        <v>92</v>
      </c>
      <c r="AZ30" s="3" t="s">
        <v>92</v>
      </c>
      <c r="BA30" s="3" t="s">
        <v>92</v>
      </c>
      <c r="BB30" s="3" t="s">
        <v>92</v>
      </c>
      <c r="BD30" s="50" t="s">
        <v>147</v>
      </c>
    </row>
    <row r="31" spans="1:57" s="93" customFormat="1" ht="13" x14ac:dyDescent="0.15">
      <c r="A31" s="94" t="s">
        <v>90</v>
      </c>
      <c r="B31" s="94" t="s">
        <v>91</v>
      </c>
      <c r="C31" s="94">
        <v>416.2</v>
      </c>
      <c r="D31" s="94" t="s">
        <v>93</v>
      </c>
      <c r="E31" s="94">
        <f>(383*2.2)*0.001*60</f>
        <v>50.555999999999997</v>
      </c>
      <c r="F31" s="95">
        <f>(1+2.2)/2</f>
        <v>1.6</v>
      </c>
      <c r="G31" s="90">
        <v>640</v>
      </c>
      <c r="H31" s="93" t="s">
        <v>92</v>
      </c>
      <c r="I31" s="93">
        <v>0.25</v>
      </c>
      <c r="J31" s="93" t="s">
        <v>112</v>
      </c>
      <c r="K31" s="93">
        <f>(0.25+0.27)/2</f>
        <v>0.26</v>
      </c>
      <c r="L31" s="93">
        <v>1.6</v>
      </c>
      <c r="M31" s="93" t="s">
        <v>92</v>
      </c>
      <c r="N31" s="93" t="s">
        <v>92</v>
      </c>
      <c r="O31" s="93">
        <v>5.47</v>
      </c>
      <c r="P31" s="93">
        <v>82.94</v>
      </c>
      <c r="Q31" s="93">
        <v>1.08</v>
      </c>
      <c r="R31" s="93">
        <v>51.87</v>
      </c>
      <c r="S31" s="93">
        <v>6.49</v>
      </c>
      <c r="T31" s="93">
        <v>7.0000000000000007E-2</v>
      </c>
      <c r="U31" s="93">
        <v>40.479999999999997</v>
      </c>
      <c r="W31" s="93">
        <v>18.2</v>
      </c>
      <c r="X31" s="93">
        <f t="shared" si="2"/>
        <v>100</v>
      </c>
      <c r="Y31" s="93">
        <f t="shared" si="3"/>
        <v>0</v>
      </c>
      <c r="Z31" s="93">
        <f>46.5+6.6</f>
        <v>53.1</v>
      </c>
      <c r="AA31" s="93">
        <f>100-(AB31+Z31)</f>
        <v>7.7999999999999972</v>
      </c>
      <c r="AB31" s="93">
        <v>39.1</v>
      </c>
      <c r="AC31" s="93" t="s">
        <v>96</v>
      </c>
      <c r="AD31" s="93">
        <f t="shared" si="4"/>
        <v>53.1</v>
      </c>
      <c r="AF31" s="93">
        <f>AG31+AH31+AI31</f>
        <v>11.600000000000001</v>
      </c>
      <c r="AG31" s="93">
        <v>0</v>
      </c>
      <c r="AH31" s="93">
        <v>4.4000000000000004</v>
      </c>
      <c r="AI31" s="93">
        <f>3.2+4</f>
        <v>7.2</v>
      </c>
      <c r="AJ31" s="93">
        <v>0</v>
      </c>
      <c r="AK31" s="93">
        <f>1.8+0.4</f>
        <v>2.2000000000000002</v>
      </c>
      <c r="AL31" s="93">
        <v>0.1</v>
      </c>
      <c r="AM31" s="93">
        <v>6.4</v>
      </c>
      <c r="AN31" s="93">
        <v>0</v>
      </c>
      <c r="AO31" s="93" t="s">
        <v>92</v>
      </c>
      <c r="AP31" s="93">
        <v>5.6</v>
      </c>
      <c r="AQ31" s="93" t="s">
        <v>92</v>
      </c>
      <c r="AR31" s="93" t="s">
        <v>92</v>
      </c>
      <c r="AS31" s="93" t="s">
        <v>92</v>
      </c>
      <c r="AT31" s="93">
        <v>12.1</v>
      </c>
      <c r="AU31" s="93" t="s">
        <v>92</v>
      </c>
      <c r="AV31" s="93" t="s">
        <v>92</v>
      </c>
      <c r="AW31" s="93" t="s">
        <v>92</v>
      </c>
      <c r="AX31" s="93" t="s">
        <v>92</v>
      </c>
      <c r="AY31" s="93" t="s">
        <v>92</v>
      </c>
      <c r="AZ31" s="93" t="s">
        <v>92</v>
      </c>
      <c r="BA31" s="93" t="s">
        <v>92</v>
      </c>
      <c r="BB31" s="93">
        <f>3.8+1.6</f>
        <v>5.4</v>
      </c>
      <c r="BD31" s="93" t="s">
        <v>155</v>
      </c>
    </row>
    <row r="32" spans="1:57" s="93" customFormat="1" ht="13" x14ac:dyDescent="0.15">
      <c r="A32" s="94" t="s">
        <v>90</v>
      </c>
      <c r="B32" s="94" t="s">
        <v>91</v>
      </c>
      <c r="C32" s="94">
        <v>416.2</v>
      </c>
      <c r="D32" s="94" t="s">
        <v>93</v>
      </c>
      <c r="E32" s="94">
        <f>(383*2.2)*0.001*60</f>
        <v>50.555999999999997</v>
      </c>
      <c r="F32" s="95">
        <f>(1+2.2)/2</f>
        <v>1.6</v>
      </c>
      <c r="G32" s="90">
        <v>685</v>
      </c>
      <c r="H32" s="93" t="s">
        <v>92</v>
      </c>
      <c r="I32" s="93">
        <v>0.25</v>
      </c>
      <c r="J32" s="93" t="s">
        <v>112</v>
      </c>
      <c r="K32" s="93">
        <v>0.26</v>
      </c>
      <c r="L32" s="93">
        <v>1.6</v>
      </c>
      <c r="M32" s="93" t="s">
        <v>92</v>
      </c>
      <c r="N32" s="93" t="s">
        <v>92</v>
      </c>
      <c r="O32" s="93">
        <v>5.47</v>
      </c>
      <c r="P32" s="93">
        <v>82.94</v>
      </c>
      <c r="Q32" s="93">
        <v>1.08</v>
      </c>
      <c r="R32" s="93">
        <v>51.87</v>
      </c>
      <c r="S32" s="93">
        <v>6.49</v>
      </c>
      <c r="T32" s="93">
        <v>7.0000000000000007E-2</v>
      </c>
      <c r="U32" s="93">
        <v>40.479999999999997</v>
      </c>
      <c r="W32" s="93">
        <v>18.2</v>
      </c>
      <c r="X32" s="93">
        <f t="shared" si="2"/>
        <v>100</v>
      </c>
      <c r="Y32" s="93">
        <f t="shared" si="3"/>
        <v>0</v>
      </c>
      <c r="Z32" s="93">
        <f>25.2+5.9</f>
        <v>31.1</v>
      </c>
      <c r="AA32" s="93">
        <f>100-(Z32+AB32)</f>
        <v>13</v>
      </c>
      <c r="AB32" s="93">
        <v>55.9</v>
      </c>
      <c r="AC32" s="93" t="s">
        <v>96</v>
      </c>
      <c r="AD32" s="93">
        <f t="shared" si="4"/>
        <v>31.1</v>
      </c>
      <c r="AF32" s="93">
        <f t="shared" ref="AF32:AF41" si="6">AG32+AH32+AI32</f>
        <v>7.4</v>
      </c>
      <c r="AG32" s="93">
        <v>0</v>
      </c>
      <c r="AH32" s="93">
        <v>2</v>
      </c>
      <c r="AI32" s="93">
        <f>3.3+2.1</f>
        <v>5.4</v>
      </c>
      <c r="AJ32" s="93">
        <v>0</v>
      </c>
      <c r="AK32" s="93">
        <f>0.5+0.3</f>
        <v>0.8</v>
      </c>
      <c r="AL32" s="93">
        <v>0.1</v>
      </c>
      <c r="AM32" s="93">
        <f>0.4+4.1</f>
        <v>4.5</v>
      </c>
      <c r="AN32" s="93">
        <v>0</v>
      </c>
      <c r="AO32" s="93" t="s">
        <v>92</v>
      </c>
      <c r="AP32" s="93">
        <v>5.4</v>
      </c>
      <c r="AQ32" s="93" t="s">
        <v>92</v>
      </c>
      <c r="AR32" s="93" t="s">
        <v>92</v>
      </c>
      <c r="AS32" s="93" t="s">
        <v>92</v>
      </c>
      <c r="AT32" s="93">
        <v>4.5</v>
      </c>
      <c r="AU32" s="93" t="s">
        <v>92</v>
      </c>
      <c r="AV32" s="93" t="s">
        <v>92</v>
      </c>
      <c r="AW32" s="93" t="s">
        <v>92</v>
      </c>
      <c r="AX32" s="93" t="s">
        <v>92</v>
      </c>
      <c r="AY32" s="93" t="s">
        <v>92</v>
      </c>
      <c r="AZ32" s="93" t="s">
        <v>92</v>
      </c>
      <c r="BA32" s="93" t="s">
        <v>92</v>
      </c>
      <c r="BB32" s="93">
        <f>0.1+2.2</f>
        <v>2.3000000000000003</v>
      </c>
      <c r="BD32" s="93" t="s">
        <v>155</v>
      </c>
    </row>
    <row r="33" spans="1:57" s="93" customFormat="1" ht="13" x14ac:dyDescent="0.15">
      <c r="A33" s="94" t="s">
        <v>90</v>
      </c>
      <c r="B33" s="94" t="s">
        <v>91</v>
      </c>
      <c r="C33" s="94">
        <v>416.2</v>
      </c>
      <c r="D33" s="94" t="s">
        <v>93</v>
      </c>
      <c r="E33" s="94">
        <f>(383*2.2)*0.001*60</f>
        <v>50.555999999999997</v>
      </c>
      <c r="F33" s="95">
        <f>(1+2.2)/2</f>
        <v>1.6</v>
      </c>
      <c r="G33" s="90">
        <v>730</v>
      </c>
      <c r="H33" s="93" t="s">
        <v>92</v>
      </c>
      <c r="I33" s="93">
        <v>0.25</v>
      </c>
      <c r="J33" s="93" t="s">
        <v>112</v>
      </c>
      <c r="K33" s="93">
        <v>0.26</v>
      </c>
      <c r="L33" s="93">
        <v>1.6</v>
      </c>
      <c r="M33" s="93" t="s">
        <v>92</v>
      </c>
      <c r="N33" s="93" t="s">
        <v>92</v>
      </c>
      <c r="O33" s="93">
        <v>5.47</v>
      </c>
      <c r="P33" s="93">
        <v>82.94</v>
      </c>
      <c r="Q33" s="93">
        <v>1.08</v>
      </c>
      <c r="R33" s="93">
        <v>51.87</v>
      </c>
      <c r="S33" s="93">
        <v>6.49</v>
      </c>
      <c r="T33" s="93">
        <v>7.0000000000000007E-2</v>
      </c>
      <c r="U33" s="93">
        <v>40.479999999999997</v>
      </c>
      <c r="W33" s="93">
        <v>18.2</v>
      </c>
      <c r="X33" s="93">
        <f t="shared" si="2"/>
        <v>100</v>
      </c>
      <c r="Y33" s="93">
        <f t="shared" si="3"/>
        <v>0</v>
      </c>
      <c r="Z33" s="93">
        <f>22+5.6</f>
        <v>27.6</v>
      </c>
      <c r="AA33" s="93">
        <f>100-(Z33+AB33)</f>
        <v>5.0999999999999943</v>
      </c>
      <c r="AB33" s="93">
        <v>67.3</v>
      </c>
      <c r="AC33" s="93" t="s">
        <v>96</v>
      </c>
      <c r="AD33" s="93">
        <f t="shared" si="4"/>
        <v>27.6</v>
      </c>
      <c r="AF33" s="93">
        <f t="shared" si="6"/>
        <v>6.6</v>
      </c>
      <c r="AG33" s="93">
        <v>0</v>
      </c>
      <c r="AH33" s="93">
        <v>1</v>
      </c>
      <c r="AI33" s="93">
        <f>2.5+3.1</f>
        <v>5.6</v>
      </c>
      <c r="AJ33" s="93">
        <v>0.4</v>
      </c>
      <c r="AK33" s="93">
        <f>0.1+0.6</f>
        <v>0.7</v>
      </c>
      <c r="AL33" s="93">
        <v>0.1</v>
      </c>
      <c r="AM33" s="93">
        <f>0.1+1.5</f>
        <v>1.6</v>
      </c>
      <c r="AN33" s="93">
        <v>0.1</v>
      </c>
      <c r="AO33" s="93" t="s">
        <v>92</v>
      </c>
      <c r="AP33" s="93">
        <v>6.7</v>
      </c>
      <c r="AQ33" s="93" t="s">
        <v>92</v>
      </c>
      <c r="AR33" s="93" t="s">
        <v>92</v>
      </c>
      <c r="AS33" s="93" t="s">
        <v>92</v>
      </c>
      <c r="AT33" s="93">
        <v>2</v>
      </c>
      <c r="AU33" s="93" t="s">
        <v>92</v>
      </c>
      <c r="AV33" s="93" t="s">
        <v>92</v>
      </c>
      <c r="AW33" s="93" t="s">
        <v>92</v>
      </c>
      <c r="AX33" s="93" t="s">
        <v>92</v>
      </c>
      <c r="AY33" s="93" t="s">
        <v>92</v>
      </c>
      <c r="AZ33" s="93" t="s">
        <v>92</v>
      </c>
      <c r="BA33" s="93" t="s">
        <v>92</v>
      </c>
      <c r="BB33" s="93">
        <f>1.3+3.2</f>
        <v>4.5</v>
      </c>
      <c r="BD33" s="93" t="s">
        <v>155</v>
      </c>
    </row>
    <row r="34" spans="1:57" s="93" customFormat="1" ht="13" x14ac:dyDescent="0.15">
      <c r="A34" s="94" t="s">
        <v>90</v>
      </c>
      <c r="B34" s="94" t="s">
        <v>91</v>
      </c>
      <c r="C34" s="94">
        <v>416.2</v>
      </c>
      <c r="D34" s="94" t="s">
        <v>93</v>
      </c>
      <c r="E34" s="94">
        <f>(383*2.2)*0.001*60</f>
        <v>50.555999999999997</v>
      </c>
      <c r="F34" s="95">
        <f>(1+2.2)/2</f>
        <v>1.6</v>
      </c>
      <c r="G34" s="90">
        <v>780</v>
      </c>
      <c r="H34" s="93" t="s">
        <v>92</v>
      </c>
      <c r="I34" s="93">
        <v>0.25</v>
      </c>
      <c r="J34" s="93" t="s">
        <v>112</v>
      </c>
      <c r="K34" s="93">
        <f>(0.25+0.27)/2</f>
        <v>0.26</v>
      </c>
      <c r="L34" s="93">
        <v>1.6</v>
      </c>
      <c r="M34" s="93" t="s">
        <v>92</v>
      </c>
      <c r="N34" s="93" t="s">
        <v>92</v>
      </c>
      <c r="O34" s="93">
        <v>5.47</v>
      </c>
      <c r="P34" s="93">
        <v>82.94</v>
      </c>
      <c r="Q34" s="93">
        <v>1.08</v>
      </c>
      <c r="R34" s="93">
        <v>51.87</v>
      </c>
      <c r="S34" s="93">
        <v>6.49</v>
      </c>
      <c r="T34" s="93">
        <v>7.0000000000000007E-2</v>
      </c>
      <c r="U34" s="93">
        <v>40.479999999999997</v>
      </c>
      <c r="W34" s="93">
        <v>18.2</v>
      </c>
      <c r="X34" s="93">
        <f t="shared" si="2"/>
        <v>100</v>
      </c>
      <c r="Y34" s="93">
        <f t="shared" si="3"/>
        <v>0</v>
      </c>
      <c r="Z34" s="93">
        <f>16.9+4.3</f>
        <v>21.2</v>
      </c>
      <c r="AA34" s="93">
        <f>100-(Z34+AB34)</f>
        <v>8.8999999999999915</v>
      </c>
      <c r="AB34" s="93">
        <v>69.900000000000006</v>
      </c>
      <c r="AC34" s="93" t="s">
        <v>96</v>
      </c>
      <c r="AD34" s="93">
        <f t="shared" si="4"/>
        <v>21.2</v>
      </c>
      <c r="AF34" s="93">
        <f t="shared" si="6"/>
        <v>4.7</v>
      </c>
      <c r="AG34" s="93">
        <v>0</v>
      </c>
      <c r="AH34" s="93">
        <v>0.4</v>
      </c>
      <c r="AI34" s="93">
        <f>3.3+1</f>
        <v>4.3</v>
      </c>
      <c r="AJ34" s="93">
        <v>0.1</v>
      </c>
      <c r="AK34" s="93">
        <f>0.1+0.3</f>
        <v>0.4</v>
      </c>
      <c r="AL34" s="93">
        <v>0</v>
      </c>
      <c r="AM34" s="93">
        <v>0.2</v>
      </c>
      <c r="AN34" s="93">
        <v>0</v>
      </c>
      <c r="AO34" s="93" t="s">
        <v>92</v>
      </c>
      <c r="AP34" s="93">
        <v>8.8000000000000007</v>
      </c>
      <c r="AQ34" s="93" t="s">
        <v>92</v>
      </c>
      <c r="AR34" s="93" t="s">
        <v>92</v>
      </c>
      <c r="AS34" s="93" t="s">
        <v>92</v>
      </c>
      <c r="AT34" s="93">
        <v>1</v>
      </c>
      <c r="AU34" s="93" t="s">
        <v>92</v>
      </c>
      <c r="AV34" s="93" t="s">
        <v>92</v>
      </c>
      <c r="AW34" s="93" t="s">
        <v>92</v>
      </c>
      <c r="AX34" s="93" t="s">
        <v>92</v>
      </c>
      <c r="AY34" s="93" t="s">
        <v>92</v>
      </c>
      <c r="AZ34" s="93" t="s">
        <v>92</v>
      </c>
      <c r="BA34" s="93" t="s">
        <v>92</v>
      </c>
      <c r="BB34" s="93">
        <f>0.3+1.6</f>
        <v>1.9000000000000001</v>
      </c>
      <c r="BD34" s="93" t="s">
        <v>155</v>
      </c>
    </row>
    <row r="35" spans="1:57" s="93" customFormat="1" ht="13" x14ac:dyDescent="0.15">
      <c r="A35" s="94" t="s">
        <v>90</v>
      </c>
      <c r="B35" s="94" t="s">
        <v>91</v>
      </c>
      <c r="C35" s="94">
        <v>416.2</v>
      </c>
      <c r="D35" s="94" t="s">
        <v>93</v>
      </c>
      <c r="E35" s="94">
        <f>(383*2.2)*0.001*60</f>
        <v>50.555999999999997</v>
      </c>
      <c r="F35" s="95">
        <f>(1+2.2)/2</f>
        <v>1.6</v>
      </c>
      <c r="G35" s="90">
        <v>850</v>
      </c>
      <c r="H35" s="93" t="s">
        <v>92</v>
      </c>
      <c r="I35" s="93">
        <v>0.25</v>
      </c>
      <c r="J35" s="93" t="s">
        <v>112</v>
      </c>
      <c r="K35" s="93">
        <v>0.26</v>
      </c>
      <c r="L35" s="93">
        <v>1.6</v>
      </c>
      <c r="M35" s="93" t="s">
        <v>92</v>
      </c>
      <c r="N35" s="93" t="s">
        <v>92</v>
      </c>
      <c r="O35" s="93">
        <v>5.47</v>
      </c>
      <c r="P35" s="93">
        <v>82.94</v>
      </c>
      <c r="Q35" s="93">
        <v>1.08</v>
      </c>
      <c r="R35" s="93">
        <v>51.87</v>
      </c>
      <c r="S35" s="93">
        <v>6.49</v>
      </c>
      <c r="T35" s="93">
        <v>7.0000000000000007E-2</v>
      </c>
      <c r="U35" s="93">
        <v>40.479999999999997</v>
      </c>
      <c r="W35" s="93">
        <v>18.2</v>
      </c>
      <c r="X35" s="93">
        <f t="shared" si="2"/>
        <v>100</v>
      </c>
      <c r="Y35" s="93">
        <f t="shared" si="3"/>
        <v>0</v>
      </c>
      <c r="Z35" s="93">
        <f>12.5+2.7</f>
        <v>15.2</v>
      </c>
      <c r="AA35" s="93">
        <f>100-(Z35+AB35)</f>
        <v>6.5</v>
      </c>
      <c r="AB35" s="93">
        <v>78.3</v>
      </c>
      <c r="AC35" s="93" t="s">
        <v>96</v>
      </c>
      <c r="AD35" s="93">
        <f t="shared" si="4"/>
        <v>15.2</v>
      </c>
      <c r="AF35" s="93">
        <f t="shared" si="6"/>
        <v>1.6</v>
      </c>
      <c r="AG35" s="93">
        <v>0</v>
      </c>
      <c r="AH35" s="93">
        <v>0</v>
      </c>
      <c r="AI35" s="93">
        <f>1.5+0.1</f>
        <v>1.6</v>
      </c>
      <c r="AJ35" s="93">
        <v>0.2</v>
      </c>
      <c r="AK35" s="93">
        <v>0.2</v>
      </c>
      <c r="AL35" s="93">
        <v>0</v>
      </c>
      <c r="AM35" s="93">
        <v>0</v>
      </c>
      <c r="AN35" s="93">
        <v>0</v>
      </c>
      <c r="AO35" s="93" t="s">
        <v>92</v>
      </c>
      <c r="AP35" s="93">
        <v>7.8</v>
      </c>
      <c r="AQ35" s="93" t="s">
        <v>92</v>
      </c>
      <c r="AR35" s="93" t="s">
        <v>92</v>
      </c>
      <c r="AS35" s="93" t="s">
        <v>92</v>
      </c>
      <c r="AT35" s="93">
        <v>0.3</v>
      </c>
      <c r="AU35" s="93" t="s">
        <v>92</v>
      </c>
      <c r="AV35" s="93" t="s">
        <v>92</v>
      </c>
      <c r="AW35" s="93" t="s">
        <v>92</v>
      </c>
      <c r="AX35" s="93" t="s">
        <v>92</v>
      </c>
      <c r="AY35" s="93" t="s">
        <v>92</v>
      </c>
      <c r="AZ35" s="93" t="s">
        <v>92</v>
      </c>
      <c r="BA35" s="93" t="s">
        <v>92</v>
      </c>
      <c r="BB35" s="93">
        <f>0.4+1.2</f>
        <v>1.6</v>
      </c>
      <c r="BD35" s="93" t="s">
        <v>155</v>
      </c>
    </row>
    <row r="36" spans="1:57" s="93" customFormat="1" ht="13" x14ac:dyDescent="0.15">
      <c r="A36" s="93" t="s">
        <v>90</v>
      </c>
      <c r="B36" s="93" t="s">
        <v>91</v>
      </c>
      <c r="C36" s="93">
        <v>7700</v>
      </c>
      <c r="D36" s="93" t="s">
        <v>93</v>
      </c>
      <c r="E36" s="93">
        <v>60</v>
      </c>
      <c r="F36" s="96">
        <f t="shared" ref="F36:F42" si="7">((C36/1000)/E36)*60</f>
        <v>7.6999999999999993</v>
      </c>
      <c r="G36" s="90">
        <v>500</v>
      </c>
      <c r="H36" s="93" t="s">
        <v>92</v>
      </c>
      <c r="I36" s="93">
        <v>0.35</v>
      </c>
      <c r="J36" s="93" t="s">
        <v>92</v>
      </c>
      <c r="K36" s="93" t="s">
        <v>92</v>
      </c>
      <c r="L36" s="93">
        <v>50</v>
      </c>
      <c r="M36" s="93" t="s">
        <v>92</v>
      </c>
      <c r="N36" s="93" t="s">
        <v>92</v>
      </c>
      <c r="O36" s="93">
        <v>7.84</v>
      </c>
      <c r="P36" s="93">
        <v>73.52</v>
      </c>
      <c r="Q36" s="93">
        <v>1.88</v>
      </c>
      <c r="R36" s="93">
        <v>47.21</v>
      </c>
      <c r="S36" s="93">
        <v>6.25</v>
      </c>
      <c r="T36" s="93">
        <v>0.05</v>
      </c>
      <c r="U36" s="93">
        <v>44.4</v>
      </c>
      <c r="V36" s="93">
        <v>0.21</v>
      </c>
      <c r="W36" s="93">
        <v>19.41</v>
      </c>
      <c r="X36" s="93">
        <f>Z36+AA36+AB36</f>
        <v>100</v>
      </c>
      <c r="Y36" s="93">
        <f t="shared" si="3"/>
        <v>0</v>
      </c>
      <c r="Z36" s="93">
        <v>59</v>
      </c>
      <c r="AA36" s="93">
        <v>18</v>
      </c>
      <c r="AB36" s="93">
        <v>23</v>
      </c>
      <c r="AD36" s="93">
        <f t="shared" si="4"/>
        <v>59</v>
      </c>
      <c r="AE36" s="93">
        <f>SUM(AF36:AT36)</f>
        <v>70.91</v>
      </c>
      <c r="AF36" s="93">
        <f>AG36+AH36+AI36</f>
        <v>20.100000000000001</v>
      </c>
      <c r="AG36" s="93">
        <v>0</v>
      </c>
      <c r="AH36" s="93">
        <v>0</v>
      </c>
      <c r="AI36" s="93">
        <v>20.100000000000001</v>
      </c>
      <c r="AJ36" s="93">
        <v>9.5</v>
      </c>
      <c r="AK36" s="93">
        <v>5.18</v>
      </c>
      <c r="AL36" s="93">
        <v>3.7</v>
      </c>
      <c r="AM36" s="93">
        <v>2.67</v>
      </c>
      <c r="AN36" s="93">
        <v>2.19</v>
      </c>
      <c r="AO36" s="93" t="s">
        <v>92</v>
      </c>
      <c r="AP36" s="93">
        <v>2.37</v>
      </c>
      <c r="AQ36" s="93" t="s">
        <v>92</v>
      </c>
      <c r="AR36" s="93">
        <v>0.94</v>
      </c>
      <c r="AS36" s="93" t="s">
        <v>92</v>
      </c>
      <c r="AT36" s="93">
        <v>4.16</v>
      </c>
      <c r="AU36" s="93" t="s">
        <v>92</v>
      </c>
      <c r="AV36" s="93" t="s">
        <v>92</v>
      </c>
      <c r="AW36" s="93" t="s">
        <v>92</v>
      </c>
      <c r="AX36" s="93" t="s">
        <v>92</v>
      </c>
      <c r="AY36" s="93" t="s">
        <v>92</v>
      </c>
      <c r="AZ36" s="93" t="s">
        <v>92</v>
      </c>
      <c r="BA36" s="93" t="s">
        <v>92</v>
      </c>
      <c r="BB36" s="93" t="s">
        <v>92</v>
      </c>
      <c r="BD36" s="93" t="s">
        <v>160</v>
      </c>
      <c r="BE36" s="93" t="s">
        <v>122</v>
      </c>
    </row>
    <row r="37" spans="1:57" s="69" customFormat="1" ht="13" x14ac:dyDescent="0.15">
      <c r="A37" s="69" t="s">
        <v>90</v>
      </c>
      <c r="B37" s="69" t="s">
        <v>91</v>
      </c>
      <c r="C37" s="69">
        <v>14815.75</v>
      </c>
      <c r="D37" s="69" t="s">
        <v>93</v>
      </c>
      <c r="E37" s="82">
        <v>60</v>
      </c>
      <c r="F37" s="99">
        <f t="shared" si="7"/>
        <v>14.81575</v>
      </c>
      <c r="G37" s="67">
        <v>490</v>
      </c>
      <c r="H37" s="69" t="s">
        <v>92</v>
      </c>
      <c r="I37" s="69">
        <v>0.33500000000000002</v>
      </c>
      <c r="J37" s="69" t="s">
        <v>92</v>
      </c>
      <c r="K37" s="69" t="s">
        <v>92</v>
      </c>
      <c r="L37" s="69" t="s">
        <v>92</v>
      </c>
      <c r="M37" s="69" t="s">
        <v>92</v>
      </c>
      <c r="N37" s="69" t="s">
        <v>92</v>
      </c>
      <c r="O37" s="69">
        <v>9.1</v>
      </c>
      <c r="P37" s="69">
        <v>84.1</v>
      </c>
      <c r="Q37" s="69">
        <v>0.7</v>
      </c>
      <c r="R37" s="69">
        <v>48.28</v>
      </c>
      <c r="S37" s="69">
        <v>7.31</v>
      </c>
      <c r="T37" s="69">
        <v>0.25</v>
      </c>
      <c r="U37" s="69">
        <v>43.41</v>
      </c>
      <c r="V37" s="69">
        <v>0.23</v>
      </c>
      <c r="W37" s="69">
        <v>19.48</v>
      </c>
      <c r="X37" s="69">
        <f t="shared" si="2"/>
        <v>100</v>
      </c>
      <c r="Y37" s="69">
        <f t="shared" si="3"/>
        <v>0</v>
      </c>
      <c r="Z37" s="69">
        <v>61</v>
      </c>
      <c r="AA37" s="69">
        <v>21</v>
      </c>
      <c r="AB37" s="69">
        <v>18</v>
      </c>
      <c r="AD37" s="69">
        <f>Z37+Y37</f>
        <v>61</v>
      </c>
      <c r="AF37" s="69" t="s">
        <v>92</v>
      </c>
      <c r="AG37" s="69">
        <v>0</v>
      </c>
      <c r="AH37" s="69">
        <v>0</v>
      </c>
      <c r="AI37" s="69">
        <v>0</v>
      </c>
      <c r="AJ37" s="69" t="s">
        <v>92</v>
      </c>
      <c r="AK37" s="69" t="s">
        <v>92</v>
      </c>
      <c r="AL37" s="69" t="s">
        <v>92</v>
      </c>
      <c r="AM37" s="69" t="s">
        <v>92</v>
      </c>
      <c r="AN37" s="69">
        <v>9.09</v>
      </c>
      <c r="AO37" s="69" t="s">
        <v>92</v>
      </c>
      <c r="AP37" s="69" t="s">
        <v>92</v>
      </c>
      <c r="AQ37" s="69" t="s">
        <v>92</v>
      </c>
      <c r="AR37" s="69" t="s">
        <v>92</v>
      </c>
      <c r="AS37" s="69" t="s">
        <v>92</v>
      </c>
      <c r="AT37" s="69">
        <v>10.44</v>
      </c>
      <c r="AU37" s="69" t="s">
        <v>92</v>
      </c>
      <c r="AV37" s="69" t="s">
        <v>92</v>
      </c>
      <c r="AW37" s="69" t="s">
        <v>92</v>
      </c>
      <c r="AX37" s="69" t="s">
        <v>92</v>
      </c>
      <c r="AY37" s="69" t="s">
        <v>92</v>
      </c>
      <c r="AZ37" s="69" t="s">
        <v>92</v>
      </c>
      <c r="BA37" s="69" t="s">
        <v>92</v>
      </c>
      <c r="BB37" s="69" t="s">
        <v>92</v>
      </c>
      <c r="BD37" s="69" t="s">
        <v>161</v>
      </c>
    </row>
    <row r="38" spans="1:57" s="18" customFormat="1" ht="13" x14ac:dyDescent="0.15">
      <c r="A38" s="18" t="s">
        <v>90</v>
      </c>
      <c r="B38" s="18" t="s">
        <v>91</v>
      </c>
      <c r="C38" s="18">
        <v>7700</v>
      </c>
      <c r="D38" s="18" t="s">
        <v>93</v>
      </c>
      <c r="E38" s="77">
        <v>60</v>
      </c>
      <c r="F38" s="76">
        <f t="shared" si="7"/>
        <v>7.6999999999999993</v>
      </c>
      <c r="G38" s="38">
        <v>420</v>
      </c>
      <c r="H38" s="18" t="s">
        <v>92</v>
      </c>
      <c r="I38" s="18">
        <v>0.34399999999999997</v>
      </c>
      <c r="J38" s="18" t="s">
        <v>92</v>
      </c>
      <c r="K38" s="18" t="s">
        <v>92</v>
      </c>
      <c r="L38" s="18">
        <v>115</v>
      </c>
      <c r="M38" s="18" t="s">
        <v>92</v>
      </c>
      <c r="N38" s="18" t="s">
        <v>92</v>
      </c>
      <c r="O38" s="18">
        <v>9.06</v>
      </c>
      <c r="P38" s="18">
        <v>71.900000000000006</v>
      </c>
      <c r="Q38" s="18">
        <v>7.36</v>
      </c>
      <c r="R38" s="89">
        <v>53.5</v>
      </c>
      <c r="S38" s="89">
        <v>6.4</v>
      </c>
      <c r="T38" s="89">
        <v>0.2</v>
      </c>
      <c r="U38" s="89">
        <v>40.200000000000003</v>
      </c>
      <c r="V38" s="18" t="s">
        <v>92</v>
      </c>
      <c r="W38" s="18">
        <v>15.21</v>
      </c>
      <c r="X38" s="18">
        <f t="shared" si="2"/>
        <v>100</v>
      </c>
      <c r="Y38" s="18">
        <f t="shared" si="3"/>
        <v>0</v>
      </c>
      <c r="Z38" s="18">
        <v>58</v>
      </c>
      <c r="AA38" s="18">
        <v>30</v>
      </c>
      <c r="AB38" s="18">
        <v>12</v>
      </c>
      <c r="AC38" s="18" t="s">
        <v>96</v>
      </c>
      <c r="AD38" s="18">
        <f t="shared" si="4"/>
        <v>58</v>
      </c>
      <c r="AF38" s="18" t="s">
        <v>92</v>
      </c>
      <c r="AG38" s="18">
        <v>0</v>
      </c>
      <c r="AH38" s="18">
        <v>0</v>
      </c>
      <c r="AI38" s="18">
        <v>0</v>
      </c>
      <c r="AJ38" s="18" t="s">
        <v>92</v>
      </c>
      <c r="AK38" s="18" t="s">
        <v>92</v>
      </c>
      <c r="AL38" s="69" t="s">
        <v>92</v>
      </c>
      <c r="AM38" s="18" t="s">
        <v>92</v>
      </c>
      <c r="AN38" s="18" t="s">
        <v>92</v>
      </c>
      <c r="AO38" s="18" t="s">
        <v>92</v>
      </c>
      <c r="AP38" s="18" t="s">
        <v>92</v>
      </c>
      <c r="AQ38" s="18" t="s">
        <v>92</v>
      </c>
      <c r="AR38" s="18" t="s">
        <v>92</v>
      </c>
      <c r="AS38" s="18" t="s">
        <v>92</v>
      </c>
      <c r="AT38" s="18" t="s">
        <v>92</v>
      </c>
      <c r="AU38" s="18" t="s">
        <v>92</v>
      </c>
      <c r="AV38" s="18" t="s">
        <v>92</v>
      </c>
      <c r="AW38" s="18" t="s">
        <v>92</v>
      </c>
      <c r="AX38" s="18" t="s">
        <v>92</v>
      </c>
      <c r="AY38" s="18" t="s">
        <v>92</v>
      </c>
      <c r="AZ38" s="18" t="s">
        <v>92</v>
      </c>
      <c r="BA38" s="18" t="s">
        <v>92</v>
      </c>
      <c r="BB38" s="18" t="s">
        <v>92</v>
      </c>
      <c r="BD38" s="18" t="s">
        <v>163</v>
      </c>
    </row>
    <row r="39" spans="1:57" s="3" customFormat="1" ht="13" x14ac:dyDescent="0.15">
      <c r="A39" s="3" t="s">
        <v>90</v>
      </c>
      <c r="B39" s="3" t="s">
        <v>91</v>
      </c>
      <c r="C39" s="3">
        <v>7700</v>
      </c>
      <c r="D39" s="3" t="s">
        <v>93</v>
      </c>
      <c r="E39" s="77">
        <v>60</v>
      </c>
      <c r="F39" s="76">
        <f t="shared" si="7"/>
        <v>7.6999999999999993</v>
      </c>
      <c r="G39" s="1">
        <v>450</v>
      </c>
      <c r="H39" s="3" t="s">
        <v>92</v>
      </c>
      <c r="I39" s="3">
        <v>0.34399999999999997</v>
      </c>
      <c r="J39" s="3" t="s">
        <v>92</v>
      </c>
      <c r="K39" s="3" t="s">
        <v>92</v>
      </c>
      <c r="L39" s="3">
        <v>115</v>
      </c>
      <c r="M39" s="3" t="s">
        <v>92</v>
      </c>
      <c r="N39" s="3" t="s">
        <v>92</v>
      </c>
      <c r="O39" s="3">
        <v>9.06</v>
      </c>
      <c r="P39" s="3">
        <v>71.900000000000006</v>
      </c>
      <c r="Q39" s="3">
        <v>7.36</v>
      </c>
      <c r="R39" s="3">
        <v>53.5</v>
      </c>
      <c r="S39" s="3">
        <v>6.4</v>
      </c>
      <c r="T39" s="3">
        <v>0.2</v>
      </c>
      <c r="U39" s="3">
        <v>40.200000000000003</v>
      </c>
      <c r="V39" s="3" t="s">
        <v>92</v>
      </c>
      <c r="W39" s="3">
        <v>15.21</v>
      </c>
      <c r="X39" s="3">
        <f t="shared" si="2"/>
        <v>100</v>
      </c>
      <c r="Y39" s="3">
        <f t="shared" si="3"/>
        <v>0</v>
      </c>
      <c r="Z39" s="3">
        <v>61</v>
      </c>
      <c r="AA39" s="3">
        <v>25</v>
      </c>
      <c r="AB39" s="3">
        <v>14</v>
      </c>
      <c r="AC39" s="3" t="s">
        <v>96</v>
      </c>
      <c r="AD39" s="3">
        <f t="shared" si="4"/>
        <v>61</v>
      </c>
      <c r="AF39" s="3" t="s">
        <v>92</v>
      </c>
      <c r="AG39" s="3">
        <v>0</v>
      </c>
      <c r="AH39" s="3">
        <v>0</v>
      </c>
      <c r="AI39" s="3">
        <v>0</v>
      </c>
      <c r="AJ39" s="3" t="s">
        <v>92</v>
      </c>
      <c r="AK39" s="3" t="s">
        <v>92</v>
      </c>
      <c r="AL39" s="69" t="s">
        <v>92</v>
      </c>
      <c r="AM39" s="3" t="s">
        <v>92</v>
      </c>
      <c r="AN39" s="3" t="s">
        <v>92</v>
      </c>
      <c r="AO39" s="3" t="s">
        <v>92</v>
      </c>
      <c r="AP39" s="3" t="s">
        <v>92</v>
      </c>
      <c r="AQ39" s="3" t="s">
        <v>92</v>
      </c>
      <c r="AR39" s="3" t="s">
        <v>92</v>
      </c>
      <c r="AS39" s="3" t="s">
        <v>92</v>
      </c>
      <c r="AT39" s="3" t="s">
        <v>92</v>
      </c>
      <c r="AU39" s="3" t="s">
        <v>92</v>
      </c>
      <c r="AV39" s="3" t="s">
        <v>92</v>
      </c>
      <c r="AW39" s="3" t="s">
        <v>92</v>
      </c>
      <c r="AX39" s="3" t="s">
        <v>92</v>
      </c>
      <c r="AY39" s="3" t="s">
        <v>92</v>
      </c>
      <c r="AZ39" s="3" t="s">
        <v>92</v>
      </c>
      <c r="BA39" s="3" t="s">
        <v>92</v>
      </c>
      <c r="BB39" s="3" t="s">
        <v>92</v>
      </c>
      <c r="BD39" s="3" t="s">
        <v>163</v>
      </c>
    </row>
    <row r="40" spans="1:57" s="3" customFormat="1" ht="13" x14ac:dyDescent="0.15">
      <c r="A40" s="3" t="s">
        <v>90</v>
      </c>
      <c r="B40" s="3" t="s">
        <v>91</v>
      </c>
      <c r="C40" s="3">
        <v>7700</v>
      </c>
      <c r="D40" s="3" t="s">
        <v>93</v>
      </c>
      <c r="E40" s="77">
        <v>60</v>
      </c>
      <c r="F40" s="76">
        <f t="shared" si="7"/>
        <v>7.6999999999999993</v>
      </c>
      <c r="G40" s="1">
        <v>480</v>
      </c>
      <c r="H40" s="3" t="s">
        <v>92</v>
      </c>
      <c r="I40" s="3">
        <v>0.34399999999999997</v>
      </c>
      <c r="J40" s="3" t="s">
        <v>92</v>
      </c>
      <c r="K40" s="3" t="s">
        <v>92</v>
      </c>
      <c r="L40" s="3">
        <v>115</v>
      </c>
      <c r="M40" s="3" t="s">
        <v>92</v>
      </c>
      <c r="N40" s="3" t="s">
        <v>92</v>
      </c>
      <c r="O40" s="3">
        <v>9.06</v>
      </c>
      <c r="P40" s="3">
        <v>71.900000000000006</v>
      </c>
      <c r="Q40" s="3">
        <v>7.36</v>
      </c>
      <c r="R40" s="89">
        <v>53.5</v>
      </c>
      <c r="S40" s="89">
        <v>6.4</v>
      </c>
      <c r="T40" s="89">
        <v>0.2</v>
      </c>
      <c r="U40" s="89">
        <v>40.200000000000003</v>
      </c>
      <c r="V40" s="3" t="s">
        <v>92</v>
      </c>
      <c r="W40" s="3">
        <v>15.21</v>
      </c>
      <c r="X40" s="3">
        <f t="shared" si="2"/>
        <v>45</v>
      </c>
      <c r="Y40" s="3">
        <f t="shared" si="3"/>
        <v>55</v>
      </c>
      <c r="Z40" s="3">
        <v>6</v>
      </c>
      <c r="AA40" s="3">
        <v>21</v>
      </c>
      <c r="AB40" s="3">
        <v>18</v>
      </c>
      <c r="AC40" s="3" t="s">
        <v>101</v>
      </c>
      <c r="AD40" s="3">
        <f t="shared" si="4"/>
        <v>61</v>
      </c>
      <c r="AF40" s="3" t="s">
        <v>92</v>
      </c>
      <c r="AG40" s="3">
        <v>0</v>
      </c>
      <c r="AH40" s="3">
        <v>0</v>
      </c>
      <c r="AI40" s="3">
        <v>0</v>
      </c>
      <c r="AJ40" s="3" t="s">
        <v>92</v>
      </c>
      <c r="AK40" s="3" t="s">
        <v>92</v>
      </c>
      <c r="AL40" s="69" t="s">
        <v>92</v>
      </c>
      <c r="AM40" s="3" t="s">
        <v>92</v>
      </c>
      <c r="AN40" s="3" t="s">
        <v>92</v>
      </c>
      <c r="AO40" s="3" t="s">
        <v>92</v>
      </c>
      <c r="AP40" s="3" t="s">
        <v>92</v>
      </c>
      <c r="AQ40" s="3" t="s">
        <v>92</v>
      </c>
      <c r="AR40" s="3" t="s">
        <v>92</v>
      </c>
      <c r="AS40" s="3" t="s">
        <v>92</v>
      </c>
      <c r="AT40" s="3" t="s">
        <v>92</v>
      </c>
      <c r="AU40" s="3" t="s">
        <v>92</v>
      </c>
      <c r="AV40" s="3" t="s">
        <v>92</v>
      </c>
      <c r="AW40" s="3" t="s">
        <v>92</v>
      </c>
      <c r="AX40" s="3" t="s">
        <v>92</v>
      </c>
      <c r="AY40" s="3" t="s">
        <v>92</v>
      </c>
      <c r="AZ40" s="3" t="s">
        <v>92</v>
      </c>
      <c r="BA40" s="3" t="s">
        <v>92</v>
      </c>
      <c r="BB40" s="3" t="s">
        <v>92</v>
      </c>
      <c r="BD40" s="50" t="s">
        <v>163</v>
      </c>
    </row>
    <row r="41" spans="1:57" s="69" customFormat="1" ht="13" x14ac:dyDescent="0.15">
      <c r="A41" s="69" t="s">
        <v>90</v>
      </c>
      <c r="B41" s="69" t="s">
        <v>91</v>
      </c>
      <c r="C41" s="69">
        <v>7700</v>
      </c>
      <c r="D41" s="69" t="s">
        <v>93</v>
      </c>
      <c r="E41" s="82">
        <v>60</v>
      </c>
      <c r="F41" s="99">
        <f t="shared" si="7"/>
        <v>7.6999999999999993</v>
      </c>
      <c r="G41" s="67">
        <v>510</v>
      </c>
      <c r="H41" s="69" t="s">
        <v>92</v>
      </c>
      <c r="I41" s="69">
        <v>0.34399999999999997</v>
      </c>
      <c r="J41" s="69" t="s">
        <v>92</v>
      </c>
      <c r="K41" s="69" t="s">
        <v>92</v>
      </c>
      <c r="L41" s="69">
        <v>115</v>
      </c>
      <c r="M41" s="69" t="s">
        <v>92</v>
      </c>
      <c r="N41" s="69" t="s">
        <v>92</v>
      </c>
      <c r="O41" s="69">
        <v>9.06</v>
      </c>
      <c r="P41" s="69">
        <v>71.900000000000006</v>
      </c>
      <c r="Q41" s="69">
        <v>7.36</v>
      </c>
      <c r="R41" s="69">
        <v>53.5</v>
      </c>
      <c r="S41" s="69">
        <v>6.4</v>
      </c>
      <c r="T41" s="69">
        <v>0.2</v>
      </c>
      <c r="U41" s="69">
        <v>40.200000000000003</v>
      </c>
      <c r="V41" s="69" t="s">
        <v>92</v>
      </c>
      <c r="W41" s="69">
        <v>15.21</v>
      </c>
      <c r="X41" s="69">
        <f t="shared" si="2"/>
        <v>100</v>
      </c>
      <c r="Y41" s="69">
        <f t="shared" si="3"/>
        <v>0</v>
      </c>
      <c r="Z41" s="69">
        <v>59</v>
      </c>
      <c r="AA41" s="69">
        <v>18</v>
      </c>
      <c r="AB41" s="69">
        <v>23</v>
      </c>
      <c r="AC41" s="69" t="s">
        <v>96</v>
      </c>
      <c r="AD41" s="69">
        <f t="shared" si="4"/>
        <v>59</v>
      </c>
      <c r="AF41" s="69">
        <f t="shared" si="6"/>
        <v>7.41</v>
      </c>
      <c r="AG41" s="69">
        <v>0</v>
      </c>
      <c r="AH41" s="69">
        <v>0</v>
      </c>
      <c r="AI41" s="69">
        <f>4.2+1.73+1.48</f>
        <v>7.41</v>
      </c>
      <c r="AJ41" s="69">
        <f>1.9+1.73</f>
        <v>3.63</v>
      </c>
      <c r="AK41" s="69" t="s">
        <v>92</v>
      </c>
      <c r="AL41" s="69">
        <f>1.03</f>
        <v>1.03</v>
      </c>
      <c r="AM41" s="69" t="s">
        <v>92</v>
      </c>
      <c r="AN41" s="69" t="s">
        <v>92</v>
      </c>
      <c r="AO41" s="69" t="s">
        <v>92</v>
      </c>
      <c r="AP41" s="69" t="s">
        <v>92</v>
      </c>
      <c r="AQ41" s="69" t="s">
        <v>92</v>
      </c>
      <c r="AR41" s="69" t="s">
        <v>92</v>
      </c>
      <c r="AS41" s="69" t="s">
        <v>92</v>
      </c>
      <c r="AT41" s="69">
        <f>6.9+1.2</f>
        <v>8.1</v>
      </c>
      <c r="AU41" s="69" t="s">
        <v>92</v>
      </c>
      <c r="AV41" s="69" t="s">
        <v>92</v>
      </c>
      <c r="AW41" s="69" t="s">
        <v>92</v>
      </c>
      <c r="AX41" s="69" t="s">
        <v>92</v>
      </c>
      <c r="AY41" s="69" t="s">
        <v>92</v>
      </c>
      <c r="AZ41" s="69" t="s">
        <v>92</v>
      </c>
      <c r="BA41" s="69" t="s">
        <v>92</v>
      </c>
      <c r="BD41" s="69" t="s">
        <v>163</v>
      </c>
    </row>
    <row r="42" spans="1:57" s="3" customFormat="1" ht="12" customHeight="1" x14ac:dyDescent="0.15">
      <c r="A42" s="3" t="s">
        <v>90</v>
      </c>
      <c r="B42" s="3" t="s">
        <v>91</v>
      </c>
      <c r="C42" s="3">
        <v>7700</v>
      </c>
      <c r="D42" s="3" t="s">
        <v>93</v>
      </c>
      <c r="E42" s="77">
        <v>60</v>
      </c>
      <c r="F42" s="76">
        <f t="shared" si="7"/>
        <v>7.6999999999999993</v>
      </c>
      <c r="G42" s="1">
        <v>540</v>
      </c>
      <c r="H42" s="3" t="s">
        <v>92</v>
      </c>
      <c r="I42" s="3">
        <v>0.34399999999999997</v>
      </c>
      <c r="J42" s="3" t="s">
        <v>92</v>
      </c>
      <c r="K42" s="3" t="s">
        <v>92</v>
      </c>
      <c r="L42" s="3">
        <v>115</v>
      </c>
      <c r="M42" s="3" t="s">
        <v>92</v>
      </c>
      <c r="N42" s="3" t="s">
        <v>92</v>
      </c>
      <c r="O42" s="3">
        <v>9.06</v>
      </c>
      <c r="P42" s="3">
        <v>71.900000000000006</v>
      </c>
      <c r="Q42" s="3">
        <v>7.36</v>
      </c>
      <c r="R42" s="89">
        <v>53.5</v>
      </c>
      <c r="S42" s="89">
        <v>6.4</v>
      </c>
      <c r="T42" s="89">
        <v>0.2</v>
      </c>
      <c r="U42" s="89">
        <v>40.200000000000003</v>
      </c>
      <c r="V42" s="3" t="s">
        <v>92</v>
      </c>
      <c r="W42" s="3">
        <v>15.21</v>
      </c>
      <c r="X42" s="3">
        <f t="shared" si="2"/>
        <v>100</v>
      </c>
      <c r="Y42" s="3">
        <f t="shared" si="3"/>
        <v>0</v>
      </c>
      <c r="Z42" s="3">
        <v>54</v>
      </c>
      <c r="AA42" s="3">
        <v>16</v>
      </c>
      <c r="AB42" s="3">
        <v>30</v>
      </c>
      <c r="AC42" s="3" t="s">
        <v>96</v>
      </c>
      <c r="AD42" s="3">
        <f t="shared" si="4"/>
        <v>54</v>
      </c>
      <c r="AF42" s="3" t="s">
        <v>92</v>
      </c>
      <c r="AG42" s="3">
        <v>0</v>
      </c>
      <c r="AH42" s="3">
        <v>0</v>
      </c>
      <c r="AI42" s="3" t="s">
        <v>92</v>
      </c>
      <c r="AJ42" s="3" t="s">
        <v>92</v>
      </c>
      <c r="AK42" s="3" t="s">
        <v>92</v>
      </c>
      <c r="AL42" s="69" t="s">
        <v>92</v>
      </c>
      <c r="AM42" s="3" t="s">
        <v>92</v>
      </c>
      <c r="AN42" s="3" t="s">
        <v>92</v>
      </c>
      <c r="AO42" s="3" t="s">
        <v>92</v>
      </c>
      <c r="AP42" s="3" t="s">
        <v>92</v>
      </c>
      <c r="AQ42" s="3" t="s">
        <v>92</v>
      </c>
      <c r="AR42" s="3" t="s">
        <v>92</v>
      </c>
      <c r="AS42" s="3" t="s">
        <v>92</v>
      </c>
      <c r="AT42" s="3" t="s">
        <v>92</v>
      </c>
      <c r="AU42" s="3" t="s">
        <v>92</v>
      </c>
      <c r="AV42" s="3" t="s">
        <v>92</v>
      </c>
      <c r="AW42" s="3" t="s">
        <v>92</v>
      </c>
      <c r="AX42" s="3" t="s">
        <v>92</v>
      </c>
      <c r="AY42" s="3" t="s">
        <v>92</v>
      </c>
      <c r="AZ42" s="3" t="s">
        <v>92</v>
      </c>
      <c r="BA42" s="3" t="s">
        <v>92</v>
      </c>
      <c r="BB42" s="3" t="s">
        <v>92</v>
      </c>
      <c r="BD42" s="11" t="s">
        <v>163</v>
      </c>
    </row>
    <row r="43" spans="1:57" s="93" customFormat="1" ht="13" x14ac:dyDescent="0.15">
      <c r="A43" s="93" t="s">
        <v>117</v>
      </c>
      <c r="B43" s="93" t="s">
        <v>91</v>
      </c>
      <c r="C43" s="93" t="s">
        <v>92</v>
      </c>
      <c r="D43" s="93" t="s">
        <v>93</v>
      </c>
      <c r="E43" s="93">
        <v>9</v>
      </c>
      <c r="F43" s="93" t="s">
        <v>92</v>
      </c>
      <c r="G43" s="90">
        <v>540</v>
      </c>
      <c r="H43" s="93" t="s">
        <v>92</v>
      </c>
      <c r="I43" s="93">
        <v>1</v>
      </c>
      <c r="J43" s="93" t="s">
        <v>92</v>
      </c>
      <c r="K43" s="93" t="s">
        <v>92</v>
      </c>
      <c r="L43" s="93">
        <v>1.67</v>
      </c>
      <c r="M43" s="93" t="s">
        <v>92</v>
      </c>
      <c r="N43" s="93" t="s">
        <v>92</v>
      </c>
      <c r="O43" s="93">
        <v>5.24</v>
      </c>
      <c r="P43" s="93">
        <v>94.7</v>
      </c>
      <c r="Q43" s="93">
        <v>0.89</v>
      </c>
      <c r="R43" s="93">
        <v>48.18</v>
      </c>
      <c r="S43" s="93">
        <v>5.61</v>
      </c>
      <c r="T43" s="93">
        <v>7.0000000000000007E-2</v>
      </c>
      <c r="U43" s="93">
        <v>49.74</v>
      </c>
      <c r="V43" s="93">
        <v>0</v>
      </c>
      <c r="W43" s="93" t="s">
        <v>92</v>
      </c>
      <c r="X43" s="93">
        <f t="shared" si="2"/>
        <v>103.00999999999999</v>
      </c>
      <c r="Y43" s="93">
        <f t="shared" si="3"/>
        <v>-3.0099999999999909</v>
      </c>
      <c r="Z43" s="93">
        <v>47.78</v>
      </c>
      <c r="AA43" s="93">
        <v>9.68</v>
      </c>
      <c r="AB43" s="93">
        <v>45.55</v>
      </c>
      <c r="AC43" s="93" t="s">
        <v>96</v>
      </c>
      <c r="AD43" s="93">
        <f t="shared" si="4"/>
        <v>44.77000000000001</v>
      </c>
      <c r="AF43" s="93">
        <f>AG43+AH43+AI43</f>
        <v>12.967492</v>
      </c>
      <c r="AG43" s="93">
        <f>21.63*Z43/100</f>
        <v>10.334814</v>
      </c>
      <c r="AH43" s="93">
        <v>0</v>
      </c>
      <c r="AI43" s="93">
        <f>5.51*Z43/100</f>
        <v>2.6326780000000003</v>
      </c>
      <c r="AJ43" s="93">
        <f>10.17*Z43/100</f>
        <v>4.8592259999999996</v>
      </c>
      <c r="AK43" s="93">
        <f>6.56*Z43/100</f>
        <v>3.1343680000000003</v>
      </c>
      <c r="AL43" s="93">
        <f>(13.5+0.77)*Z43/100</f>
        <v>6.818206</v>
      </c>
      <c r="AM43" s="93">
        <f>1.43*Z43/100</f>
        <v>0.68325400000000003</v>
      </c>
      <c r="AN43" s="93">
        <f>10.3*Z43/100</f>
        <v>4.9213400000000007</v>
      </c>
      <c r="AO43" s="93" t="s">
        <v>92</v>
      </c>
      <c r="AP43" s="93" t="s">
        <v>92</v>
      </c>
      <c r="AQ43" s="93" t="s">
        <v>92</v>
      </c>
      <c r="AR43" s="93">
        <f>(5.08+1.05)*Z43/100</f>
        <v>2.9289139999999998</v>
      </c>
      <c r="AS43" s="93" t="s">
        <v>92</v>
      </c>
      <c r="AT43" s="93">
        <f>4.16*Z43/100</f>
        <v>1.9876480000000001</v>
      </c>
      <c r="AU43" s="93" t="s">
        <v>92</v>
      </c>
      <c r="AV43" s="93" t="s">
        <v>92</v>
      </c>
      <c r="AW43" s="93" t="s">
        <v>92</v>
      </c>
      <c r="AX43" s="93" t="s">
        <v>92</v>
      </c>
      <c r="AY43" s="93" t="s">
        <v>92</v>
      </c>
      <c r="AZ43" s="93" t="s">
        <v>92</v>
      </c>
      <c r="BA43" s="93" t="s">
        <v>92</v>
      </c>
      <c r="BB43" s="93">
        <f>(15.5+5.5)*Z43/100</f>
        <v>10.033799999999999</v>
      </c>
      <c r="BD43" s="93" t="s">
        <v>164</v>
      </c>
      <c r="BE43" s="93" t="s">
        <v>165</v>
      </c>
    </row>
    <row r="44" spans="1:57" s="93" customFormat="1" ht="13" x14ac:dyDescent="0.15">
      <c r="A44" s="93" t="s">
        <v>90</v>
      </c>
      <c r="B44" s="93" t="s">
        <v>91</v>
      </c>
      <c r="C44" s="93">
        <v>5500</v>
      </c>
      <c r="D44" s="93" t="s">
        <v>93</v>
      </c>
      <c r="E44" s="93">
        <v>75</v>
      </c>
      <c r="F44" s="93">
        <f>((C44/1000)/(E44))*60</f>
        <v>4.4000000000000004</v>
      </c>
      <c r="G44" s="90">
        <v>550</v>
      </c>
      <c r="H44" s="93" t="s">
        <v>92</v>
      </c>
      <c r="I44" s="93">
        <f>(0.25+0.85)/2</f>
        <v>0.55000000000000004</v>
      </c>
      <c r="J44" s="93" t="s">
        <v>112</v>
      </c>
      <c r="K44" s="93">
        <f>(0.3+0.45)/2</f>
        <v>0.375</v>
      </c>
      <c r="L44" s="93">
        <v>33.299999999999997</v>
      </c>
      <c r="M44" s="93" t="s">
        <v>92</v>
      </c>
      <c r="N44" s="93" t="s">
        <v>92</v>
      </c>
      <c r="O44" s="93">
        <v>6.59</v>
      </c>
      <c r="P44" s="93">
        <v>72.83</v>
      </c>
      <c r="Q44" s="93">
        <v>5.92</v>
      </c>
      <c r="R44" s="93">
        <v>46.35</v>
      </c>
      <c r="S44" s="93">
        <v>6.96</v>
      </c>
      <c r="T44" s="93">
        <v>0.06</v>
      </c>
      <c r="U44" s="93">
        <v>45.84</v>
      </c>
      <c r="V44" s="93">
        <v>0.79</v>
      </c>
      <c r="W44" s="93">
        <v>16.04</v>
      </c>
      <c r="X44" s="93">
        <f t="shared" si="2"/>
        <v>100</v>
      </c>
      <c r="Y44" s="93">
        <f t="shared" si="3"/>
        <v>0</v>
      </c>
      <c r="Z44" s="93">
        <v>45.3</v>
      </c>
      <c r="AA44" s="93">
        <v>22.8</v>
      </c>
      <c r="AB44" s="93">
        <v>31.9</v>
      </c>
      <c r="AC44" s="93" t="s">
        <v>96</v>
      </c>
      <c r="AD44" s="93">
        <f t="shared" si="4"/>
        <v>45.3</v>
      </c>
      <c r="AF44" s="93">
        <f t="shared" ref="AF44:AF49" si="8">AG44+AH44+AI44</f>
        <v>16.434839999999998</v>
      </c>
      <c r="AG44" s="93">
        <v>0</v>
      </c>
      <c r="AH44" s="93">
        <v>0</v>
      </c>
      <c r="AI44" s="93">
        <f>36.28*Z44/100</f>
        <v>16.434839999999998</v>
      </c>
      <c r="AJ44" s="93">
        <f>10.73*Z44/100</f>
        <v>4.86069</v>
      </c>
      <c r="AK44" s="93">
        <f>13.32*Z44/100</f>
        <v>6.0339599999999995</v>
      </c>
      <c r="AL44" s="93">
        <f>6.42*Z44/100</f>
        <v>2.9082599999999998</v>
      </c>
      <c r="AM44" s="93">
        <f>4.9*Z44/100</f>
        <v>2.2197</v>
      </c>
      <c r="AN44" s="93">
        <f>1.81*Z44/100</f>
        <v>0.81992999999999994</v>
      </c>
      <c r="AO44" s="93">
        <f>2.02*Z44/100</f>
        <v>0.91505999999999998</v>
      </c>
      <c r="AP44" s="93">
        <f>0.4*Z44/100</f>
        <v>0.1812</v>
      </c>
      <c r="AQ44" s="93" t="s">
        <v>92</v>
      </c>
      <c r="AR44" s="93" t="s">
        <v>92</v>
      </c>
      <c r="AS44" s="93" t="s">
        <v>92</v>
      </c>
      <c r="AT44" s="93">
        <f>11.3*Z44/100</f>
        <v>5.1189</v>
      </c>
      <c r="AU44" s="93" t="s">
        <v>92</v>
      </c>
      <c r="AV44" s="93">
        <f>3.35*Z44/100</f>
        <v>1.51755</v>
      </c>
      <c r="AW44" s="93" t="s">
        <v>92</v>
      </c>
      <c r="AX44" s="93" t="s">
        <v>92</v>
      </c>
      <c r="AY44" s="93" t="s">
        <v>92</v>
      </c>
      <c r="AZ44" s="93" t="s">
        <v>92</v>
      </c>
      <c r="BA44" s="93" t="s">
        <v>92</v>
      </c>
      <c r="BB44" s="93">
        <v>5.74</v>
      </c>
      <c r="BD44" s="93" t="s">
        <v>169</v>
      </c>
    </row>
    <row r="45" spans="1:57" s="18" customFormat="1" ht="13" x14ac:dyDescent="0.15">
      <c r="A45" s="18" t="s">
        <v>90</v>
      </c>
      <c r="B45" s="18" t="s">
        <v>91</v>
      </c>
      <c r="C45" s="18">
        <v>34.39</v>
      </c>
      <c r="D45" s="18" t="s">
        <v>93</v>
      </c>
      <c r="E45" s="18">
        <v>1.2150000000000001</v>
      </c>
      <c r="F45" s="78">
        <f>((C45/1000)/(E45))*60</f>
        <v>1.6982716049382716</v>
      </c>
      <c r="G45" s="38">
        <v>650</v>
      </c>
      <c r="H45" s="18" t="s">
        <v>92</v>
      </c>
      <c r="I45" s="18">
        <v>0.35</v>
      </c>
      <c r="J45" s="18" t="s">
        <v>135</v>
      </c>
      <c r="K45" s="18" t="s">
        <v>92</v>
      </c>
      <c r="L45" s="18">
        <v>0.24</v>
      </c>
      <c r="M45" s="18" t="s">
        <v>92</v>
      </c>
      <c r="N45" s="18" t="s">
        <v>92</v>
      </c>
      <c r="O45" s="18">
        <v>10</v>
      </c>
      <c r="P45" s="18" t="s">
        <v>92</v>
      </c>
      <c r="Q45" s="18">
        <v>0</v>
      </c>
      <c r="R45" s="18">
        <v>48.27</v>
      </c>
      <c r="S45" s="18">
        <v>6.45</v>
      </c>
      <c r="T45" s="18">
        <v>0.09</v>
      </c>
      <c r="U45" s="18">
        <v>45.19</v>
      </c>
      <c r="V45" s="18" t="s">
        <v>92</v>
      </c>
      <c r="W45" s="18" t="s">
        <v>92</v>
      </c>
      <c r="X45" s="18">
        <f t="shared" si="2"/>
        <v>88.199999999999989</v>
      </c>
      <c r="Y45" s="18">
        <f t="shared" si="3"/>
        <v>11.800000000000011</v>
      </c>
      <c r="Z45" s="18">
        <v>50.6</v>
      </c>
      <c r="AA45" s="18">
        <v>3.8</v>
      </c>
      <c r="AB45" s="18">
        <v>33.799999999999997</v>
      </c>
      <c r="AC45" s="18" t="s">
        <v>101</v>
      </c>
      <c r="AD45" s="18">
        <f t="shared" si="4"/>
        <v>62.400000000000013</v>
      </c>
      <c r="AF45" s="18" t="s">
        <v>92</v>
      </c>
      <c r="AG45" s="18">
        <v>0</v>
      </c>
      <c r="AH45" s="18">
        <v>0</v>
      </c>
      <c r="AI45" s="18">
        <v>0</v>
      </c>
      <c r="AJ45" s="18" t="s">
        <v>92</v>
      </c>
      <c r="AK45" s="18" t="s">
        <v>92</v>
      </c>
      <c r="AL45" s="69" t="s">
        <v>92</v>
      </c>
      <c r="AM45" s="18" t="s">
        <v>92</v>
      </c>
      <c r="AN45" s="18" t="s">
        <v>92</v>
      </c>
      <c r="AO45" s="18" t="s">
        <v>92</v>
      </c>
      <c r="AP45" s="18" t="s">
        <v>92</v>
      </c>
      <c r="AQ45" s="18" t="s">
        <v>92</v>
      </c>
      <c r="AR45" s="18" t="s">
        <v>92</v>
      </c>
      <c r="AS45" s="18" t="s">
        <v>92</v>
      </c>
      <c r="AT45" s="18" t="s">
        <v>92</v>
      </c>
      <c r="AU45" s="18" t="s">
        <v>92</v>
      </c>
      <c r="AV45" s="18" t="s">
        <v>92</v>
      </c>
      <c r="AW45" s="18" t="s">
        <v>92</v>
      </c>
      <c r="AX45" s="18" t="s">
        <v>92</v>
      </c>
      <c r="AY45" s="18" t="s">
        <v>92</v>
      </c>
      <c r="AZ45" s="18" t="s">
        <v>92</v>
      </c>
      <c r="BA45" s="18" t="s">
        <v>92</v>
      </c>
      <c r="BB45" s="18" t="s">
        <v>92</v>
      </c>
      <c r="BD45" s="18" t="s">
        <v>170</v>
      </c>
    </row>
    <row r="46" spans="1:57" s="3" customFormat="1" ht="13" x14ac:dyDescent="0.15">
      <c r="A46" s="3" t="s">
        <v>90</v>
      </c>
      <c r="B46" s="3" t="s">
        <v>91</v>
      </c>
      <c r="C46" s="3">
        <v>34.39</v>
      </c>
      <c r="D46" s="3" t="s">
        <v>93</v>
      </c>
      <c r="E46" s="3">
        <v>1.2150000000000001</v>
      </c>
      <c r="F46" s="79">
        <f>((C46/1000)/(E46))*60</f>
        <v>1.6982716049382716</v>
      </c>
      <c r="G46" s="1">
        <v>700</v>
      </c>
      <c r="H46" s="3" t="s">
        <v>92</v>
      </c>
      <c r="I46" s="3">
        <v>0.35</v>
      </c>
      <c r="J46" s="3" t="s">
        <v>135</v>
      </c>
      <c r="K46" s="3" t="s">
        <v>92</v>
      </c>
      <c r="L46" s="3">
        <v>0.39150000000000001</v>
      </c>
      <c r="M46" s="3" t="s">
        <v>92</v>
      </c>
      <c r="N46" s="3" t="s">
        <v>92</v>
      </c>
      <c r="O46" s="3">
        <v>10</v>
      </c>
      <c r="P46" s="3" t="s">
        <v>92</v>
      </c>
      <c r="Q46" s="3">
        <v>0</v>
      </c>
      <c r="R46" s="3">
        <v>48.27</v>
      </c>
      <c r="S46" s="3">
        <v>6.45</v>
      </c>
      <c r="T46" s="3">
        <v>0.09</v>
      </c>
      <c r="U46" s="3">
        <v>45.19</v>
      </c>
      <c r="V46" s="3" t="s">
        <v>92</v>
      </c>
      <c r="W46" s="3" t="s">
        <v>92</v>
      </c>
      <c r="X46" s="3">
        <f t="shared" si="2"/>
        <v>92</v>
      </c>
      <c r="Y46" s="3">
        <f t="shared" si="3"/>
        <v>8</v>
      </c>
      <c r="Z46" s="3">
        <v>38.799999999999997</v>
      </c>
      <c r="AA46" s="3">
        <v>3.6</v>
      </c>
      <c r="AB46" s="3">
        <v>49.6</v>
      </c>
      <c r="AC46" s="3" t="s">
        <v>101</v>
      </c>
      <c r="AD46" s="3">
        <f t="shared" si="4"/>
        <v>46.8</v>
      </c>
      <c r="AF46" s="3">
        <f t="shared" si="8"/>
        <v>0</v>
      </c>
      <c r="AG46" s="3">
        <v>0</v>
      </c>
      <c r="AH46" s="3">
        <v>0</v>
      </c>
      <c r="AI46" s="3">
        <v>0</v>
      </c>
      <c r="AJ46" s="3" t="s">
        <v>92</v>
      </c>
      <c r="AK46" s="3" t="s">
        <v>92</v>
      </c>
      <c r="AL46" s="69" t="s">
        <v>92</v>
      </c>
      <c r="AM46" s="3" t="s">
        <v>92</v>
      </c>
      <c r="AN46" s="3" t="s">
        <v>92</v>
      </c>
      <c r="AO46" s="3" t="s">
        <v>92</v>
      </c>
      <c r="AP46" s="3" t="s">
        <v>92</v>
      </c>
      <c r="AQ46" s="3" t="s">
        <v>92</v>
      </c>
      <c r="AR46" s="3" t="s">
        <v>92</v>
      </c>
      <c r="AS46" s="3" t="s">
        <v>92</v>
      </c>
      <c r="AT46" s="3" t="s">
        <v>92</v>
      </c>
      <c r="AU46" s="3" t="s">
        <v>92</v>
      </c>
      <c r="AV46" s="3" t="s">
        <v>92</v>
      </c>
      <c r="AW46" s="3" t="s">
        <v>92</v>
      </c>
      <c r="AX46" s="3" t="s">
        <v>92</v>
      </c>
      <c r="AY46" s="3" t="s">
        <v>92</v>
      </c>
      <c r="AZ46" s="3" t="s">
        <v>92</v>
      </c>
      <c r="BA46" s="3" t="s">
        <v>92</v>
      </c>
      <c r="BB46" s="3" t="s">
        <v>92</v>
      </c>
      <c r="BD46" s="50" t="s">
        <v>170</v>
      </c>
    </row>
    <row r="47" spans="1:57" s="18" customFormat="1" ht="13" x14ac:dyDescent="0.15">
      <c r="A47" s="18" t="s">
        <v>90</v>
      </c>
      <c r="B47" s="18" t="s">
        <v>91</v>
      </c>
      <c r="C47" s="18">
        <v>11500</v>
      </c>
      <c r="D47" s="18" t="s">
        <v>92</v>
      </c>
      <c r="E47" s="18">
        <f>(4500/60)</f>
        <v>75</v>
      </c>
      <c r="F47" s="79">
        <v>3</v>
      </c>
      <c r="G47" s="38">
        <v>474</v>
      </c>
      <c r="H47" s="18" t="s">
        <v>92</v>
      </c>
      <c r="I47" s="18">
        <v>1.5</v>
      </c>
      <c r="J47" s="18" t="s">
        <v>135</v>
      </c>
      <c r="K47" s="18" t="s">
        <v>92</v>
      </c>
      <c r="L47" s="18">
        <v>40</v>
      </c>
      <c r="M47" s="18" t="s">
        <v>92</v>
      </c>
      <c r="N47" s="18" t="s">
        <v>92</v>
      </c>
      <c r="O47" s="18">
        <v>7.61</v>
      </c>
      <c r="P47" s="18">
        <v>92.2</v>
      </c>
      <c r="Q47" s="18">
        <v>0.19</v>
      </c>
      <c r="R47" s="18">
        <v>44.8</v>
      </c>
      <c r="S47" s="18">
        <v>5.9</v>
      </c>
      <c r="T47" s="18">
        <v>0.1</v>
      </c>
      <c r="U47" s="18">
        <v>46.2</v>
      </c>
      <c r="V47" s="18">
        <v>0</v>
      </c>
      <c r="W47" s="18">
        <v>18</v>
      </c>
      <c r="X47" s="18">
        <f t="shared" si="2"/>
        <v>100</v>
      </c>
      <c r="Y47" s="18">
        <f t="shared" si="3"/>
        <v>0</v>
      </c>
      <c r="Z47" s="18">
        <v>67.099999999999994</v>
      </c>
      <c r="AA47" s="18">
        <v>9.6999999999999993</v>
      </c>
      <c r="AB47" s="18">
        <v>23.2</v>
      </c>
      <c r="AC47" s="18" t="s">
        <v>96</v>
      </c>
      <c r="AD47" s="18">
        <f t="shared" si="4"/>
        <v>67.099999999999994</v>
      </c>
      <c r="AF47" s="18">
        <f t="shared" si="8"/>
        <v>0</v>
      </c>
      <c r="AG47" s="18">
        <v>0</v>
      </c>
      <c r="AH47" s="18">
        <v>0</v>
      </c>
      <c r="AI47" s="18">
        <v>0</v>
      </c>
      <c r="AJ47" s="18" t="s">
        <v>92</v>
      </c>
      <c r="AK47" s="18" t="s">
        <v>92</v>
      </c>
      <c r="AL47" s="69" t="s">
        <v>92</v>
      </c>
      <c r="AM47" s="18" t="s">
        <v>92</v>
      </c>
      <c r="AN47" s="18" t="s">
        <v>92</v>
      </c>
      <c r="AO47" s="18" t="s">
        <v>92</v>
      </c>
      <c r="AP47" s="18" t="s">
        <v>92</v>
      </c>
      <c r="AQ47" s="18" t="s">
        <v>92</v>
      </c>
      <c r="AR47" s="18" t="s">
        <v>92</v>
      </c>
      <c r="AS47" s="18" t="s">
        <v>92</v>
      </c>
      <c r="AT47" s="18" t="s">
        <v>92</v>
      </c>
      <c r="AU47" s="18" t="s">
        <v>92</v>
      </c>
      <c r="AV47" s="18" t="s">
        <v>92</v>
      </c>
      <c r="AW47" s="18" t="s">
        <v>92</v>
      </c>
      <c r="AX47" s="18" t="s">
        <v>92</v>
      </c>
      <c r="AY47" s="18" t="s">
        <v>92</v>
      </c>
      <c r="AZ47" s="18" t="s">
        <v>92</v>
      </c>
      <c r="BA47" s="18" t="s">
        <v>92</v>
      </c>
      <c r="BB47" s="18" t="s">
        <v>92</v>
      </c>
      <c r="BD47" s="18" t="s">
        <v>184</v>
      </c>
    </row>
    <row r="48" spans="1:57" s="3" customFormat="1" ht="13" x14ac:dyDescent="0.15">
      <c r="A48" s="3" t="s">
        <v>90</v>
      </c>
      <c r="B48" s="3" t="s">
        <v>91</v>
      </c>
      <c r="C48" s="3">
        <v>11500</v>
      </c>
      <c r="D48" s="3" t="s">
        <v>92</v>
      </c>
      <c r="E48" s="18">
        <f>(4500/60)</f>
        <v>75</v>
      </c>
      <c r="F48" s="79">
        <v>3</v>
      </c>
      <c r="G48" s="1">
        <v>502</v>
      </c>
      <c r="H48" s="3" t="s">
        <v>92</v>
      </c>
      <c r="I48" s="3">
        <v>1.5</v>
      </c>
      <c r="J48" s="3" t="s">
        <v>135</v>
      </c>
      <c r="K48" s="3" t="s">
        <v>92</v>
      </c>
      <c r="L48" s="3">
        <v>40</v>
      </c>
      <c r="M48" s="3" t="s">
        <v>92</v>
      </c>
      <c r="N48" s="3" t="s">
        <v>92</v>
      </c>
      <c r="O48" s="3">
        <v>7.61</v>
      </c>
      <c r="P48" s="3">
        <v>92.2</v>
      </c>
      <c r="Q48" s="3">
        <v>0.19</v>
      </c>
      <c r="R48" s="3">
        <v>44.8</v>
      </c>
      <c r="S48" s="3">
        <v>5.9</v>
      </c>
      <c r="T48" s="3">
        <v>0.1</v>
      </c>
      <c r="U48" s="3">
        <v>46.2</v>
      </c>
      <c r="V48" s="3">
        <v>0</v>
      </c>
      <c r="W48" s="3">
        <v>18</v>
      </c>
      <c r="X48" s="3">
        <f t="shared" si="2"/>
        <v>100</v>
      </c>
      <c r="Y48" s="3">
        <f t="shared" si="3"/>
        <v>0</v>
      </c>
      <c r="Z48" s="3">
        <v>47.4</v>
      </c>
      <c r="AA48" s="3">
        <v>11.9</v>
      </c>
      <c r="AB48" s="3">
        <v>40.700000000000003</v>
      </c>
      <c r="AC48" s="3" t="s">
        <v>96</v>
      </c>
      <c r="AD48" s="3">
        <f t="shared" si="4"/>
        <v>47.4</v>
      </c>
      <c r="AF48" s="3">
        <f t="shared" si="8"/>
        <v>0</v>
      </c>
      <c r="AG48" s="3">
        <v>0</v>
      </c>
      <c r="AH48" s="3">
        <v>0</v>
      </c>
      <c r="AI48" s="3">
        <v>0</v>
      </c>
      <c r="AJ48" s="3" t="s">
        <v>92</v>
      </c>
      <c r="AK48" s="3" t="s">
        <v>92</v>
      </c>
      <c r="AL48" s="69" t="s">
        <v>92</v>
      </c>
      <c r="AM48" s="3" t="s">
        <v>92</v>
      </c>
      <c r="AN48" s="3" t="s">
        <v>92</v>
      </c>
      <c r="AO48" s="3" t="s">
        <v>92</v>
      </c>
      <c r="AP48" s="3" t="s">
        <v>92</v>
      </c>
      <c r="AQ48" s="3" t="s">
        <v>92</v>
      </c>
      <c r="AR48" s="3" t="s">
        <v>92</v>
      </c>
      <c r="AS48" s="3" t="s">
        <v>92</v>
      </c>
      <c r="AT48" s="3" t="s">
        <v>92</v>
      </c>
      <c r="AU48" s="3" t="s">
        <v>92</v>
      </c>
      <c r="AV48" s="3" t="s">
        <v>92</v>
      </c>
      <c r="AW48" s="3" t="s">
        <v>92</v>
      </c>
      <c r="AX48" s="3" t="s">
        <v>92</v>
      </c>
      <c r="AY48" s="3" t="s">
        <v>92</v>
      </c>
      <c r="AZ48" s="3" t="s">
        <v>92</v>
      </c>
      <c r="BA48" s="3" t="s">
        <v>92</v>
      </c>
      <c r="BB48" s="3" t="s">
        <v>92</v>
      </c>
      <c r="BD48" s="3" t="s">
        <v>184</v>
      </c>
    </row>
    <row r="49" spans="1:57" s="3" customFormat="1" ht="13" x14ac:dyDescent="0.15">
      <c r="A49" s="3" t="s">
        <v>90</v>
      </c>
      <c r="B49" s="3" t="s">
        <v>91</v>
      </c>
      <c r="C49" s="3">
        <v>11500</v>
      </c>
      <c r="D49" s="3" t="s">
        <v>92</v>
      </c>
      <c r="E49" s="18">
        <f>(4500/60)</f>
        <v>75</v>
      </c>
      <c r="F49" s="79">
        <v>3</v>
      </c>
      <c r="G49" s="1">
        <v>502</v>
      </c>
      <c r="H49" s="3" t="s">
        <v>92</v>
      </c>
      <c r="I49" s="3" t="s">
        <v>128</v>
      </c>
      <c r="J49" s="3" t="s">
        <v>135</v>
      </c>
      <c r="K49" s="3" t="s">
        <v>92</v>
      </c>
      <c r="L49" s="3">
        <v>40</v>
      </c>
      <c r="M49" s="3" t="s">
        <v>92</v>
      </c>
      <c r="N49" s="3" t="s">
        <v>92</v>
      </c>
      <c r="O49" s="3">
        <v>7.61</v>
      </c>
      <c r="P49" s="3">
        <v>92.2</v>
      </c>
      <c r="Q49" s="3">
        <v>0.19</v>
      </c>
      <c r="R49" s="3">
        <v>44.8</v>
      </c>
      <c r="S49" s="3">
        <v>5.9</v>
      </c>
      <c r="T49" s="3">
        <v>0.1</v>
      </c>
      <c r="U49" s="3">
        <v>46.2</v>
      </c>
      <c r="V49" s="3">
        <v>0</v>
      </c>
      <c r="W49" s="3">
        <v>18</v>
      </c>
      <c r="X49" s="3">
        <f t="shared" si="2"/>
        <v>100.1</v>
      </c>
      <c r="Y49" s="3">
        <f t="shared" si="3"/>
        <v>-9.9999999999994316E-2</v>
      </c>
      <c r="Z49" s="3">
        <v>54</v>
      </c>
      <c r="AA49" s="3">
        <v>8.6999999999999993</v>
      </c>
      <c r="AB49" s="3">
        <v>37.4</v>
      </c>
      <c r="AC49" s="3" t="s">
        <v>96</v>
      </c>
      <c r="AD49" s="3">
        <f t="shared" si="4"/>
        <v>53.900000000000006</v>
      </c>
      <c r="AF49" s="3">
        <f t="shared" si="8"/>
        <v>0</v>
      </c>
      <c r="AG49" s="3">
        <v>0</v>
      </c>
      <c r="AH49" s="3">
        <v>0</v>
      </c>
      <c r="AI49" s="3">
        <v>0</v>
      </c>
      <c r="AJ49" s="3" t="s">
        <v>92</v>
      </c>
      <c r="AK49" s="3" t="s">
        <v>92</v>
      </c>
      <c r="AL49" s="69" t="s">
        <v>92</v>
      </c>
      <c r="AM49" s="3" t="s">
        <v>92</v>
      </c>
      <c r="AN49" s="3" t="s">
        <v>92</v>
      </c>
      <c r="AO49" s="3" t="s">
        <v>92</v>
      </c>
      <c r="AP49" s="3" t="s">
        <v>92</v>
      </c>
      <c r="AQ49" s="3" t="s">
        <v>92</v>
      </c>
      <c r="AR49" s="3" t="s">
        <v>92</v>
      </c>
      <c r="AS49" s="3" t="s">
        <v>92</v>
      </c>
      <c r="AT49" s="3" t="s">
        <v>92</v>
      </c>
      <c r="AU49" s="3" t="s">
        <v>92</v>
      </c>
      <c r="AV49" s="3" t="s">
        <v>92</v>
      </c>
      <c r="AW49" s="3" t="s">
        <v>92</v>
      </c>
      <c r="AX49" s="3" t="s">
        <v>92</v>
      </c>
      <c r="AY49" s="3" t="s">
        <v>92</v>
      </c>
      <c r="AZ49" s="3" t="s">
        <v>92</v>
      </c>
      <c r="BA49" s="3" t="s">
        <v>92</v>
      </c>
      <c r="BB49" s="3" t="s">
        <v>92</v>
      </c>
      <c r="BD49" s="3" t="s">
        <v>184</v>
      </c>
    </row>
    <row r="50" spans="1:57" s="3" customFormat="1" ht="13" x14ac:dyDescent="0.15">
      <c r="A50" s="3" t="s">
        <v>90</v>
      </c>
      <c r="B50" s="3" t="s">
        <v>91</v>
      </c>
      <c r="C50" s="3">
        <v>11500</v>
      </c>
      <c r="D50" s="3" t="s">
        <v>92</v>
      </c>
      <c r="E50" s="18">
        <f>(4500/60)</f>
        <v>75</v>
      </c>
      <c r="F50" s="79">
        <v>3</v>
      </c>
      <c r="G50" s="1">
        <v>562</v>
      </c>
      <c r="H50" s="3" t="s">
        <v>92</v>
      </c>
      <c r="I50" s="3">
        <v>1.5</v>
      </c>
      <c r="J50" s="3" t="s">
        <v>135</v>
      </c>
      <c r="K50" s="3" t="s">
        <v>92</v>
      </c>
      <c r="L50" s="3">
        <v>40</v>
      </c>
      <c r="M50" s="3" t="s">
        <v>92</v>
      </c>
      <c r="N50" s="3" t="s">
        <v>92</v>
      </c>
      <c r="O50" s="3">
        <v>7.61</v>
      </c>
      <c r="P50" s="3">
        <v>92.2</v>
      </c>
      <c r="Q50" s="3">
        <v>0.19</v>
      </c>
      <c r="R50" s="3">
        <v>44.8</v>
      </c>
      <c r="S50" s="3">
        <v>5.9</v>
      </c>
      <c r="T50" s="3">
        <v>0.1</v>
      </c>
      <c r="U50" s="3">
        <v>46.2</v>
      </c>
      <c r="V50" s="3">
        <v>0</v>
      </c>
      <c r="W50" s="3">
        <v>18</v>
      </c>
      <c r="X50" s="3">
        <f t="shared" si="2"/>
        <v>99.9</v>
      </c>
      <c r="Y50" s="3">
        <f t="shared" si="3"/>
        <v>9.9999999999994316E-2</v>
      </c>
      <c r="Z50" s="3">
        <v>44.7</v>
      </c>
      <c r="AA50" s="3">
        <v>10</v>
      </c>
      <c r="AB50" s="3">
        <v>45.2</v>
      </c>
      <c r="AC50" s="3" t="s">
        <v>96</v>
      </c>
      <c r="AD50" s="3">
        <f t="shared" si="4"/>
        <v>44.8</v>
      </c>
      <c r="AF50" s="3">
        <f>AG50+AH50+AI50</f>
        <v>0</v>
      </c>
      <c r="AG50" s="3">
        <v>0</v>
      </c>
      <c r="AH50" s="3">
        <v>0</v>
      </c>
      <c r="AI50" s="3">
        <v>0</v>
      </c>
      <c r="AJ50" s="3" t="s">
        <v>92</v>
      </c>
      <c r="AK50" s="3" t="s">
        <v>92</v>
      </c>
      <c r="AL50" s="69" t="s">
        <v>92</v>
      </c>
      <c r="AM50" s="3" t="s">
        <v>92</v>
      </c>
      <c r="AN50" s="3" t="s">
        <v>92</v>
      </c>
      <c r="AO50" s="3" t="s">
        <v>92</v>
      </c>
      <c r="AP50" s="3" t="s">
        <v>92</v>
      </c>
      <c r="AQ50" s="3" t="s">
        <v>92</v>
      </c>
      <c r="AR50" s="3" t="s">
        <v>92</v>
      </c>
      <c r="AS50" s="3" t="s">
        <v>92</v>
      </c>
      <c r="AT50" s="3" t="s">
        <v>92</v>
      </c>
      <c r="AU50" s="3" t="s">
        <v>92</v>
      </c>
      <c r="AV50" s="3" t="s">
        <v>92</v>
      </c>
      <c r="AW50" s="3" t="s">
        <v>92</v>
      </c>
      <c r="AX50" s="3" t="s">
        <v>92</v>
      </c>
      <c r="AY50" s="3" t="s">
        <v>92</v>
      </c>
      <c r="AZ50" s="3" t="s">
        <v>92</v>
      </c>
      <c r="BA50" s="3" t="s">
        <v>92</v>
      </c>
      <c r="BB50" s="3" t="s">
        <v>92</v>
      </c>
      <c r="BD50" s="11" t="s">
        <v>184</v>
      </c>
    </row>
    <row r="51" spans="1:57" s="3" customFormat="1" ht="13" x14ac:dyDescent="0.15">
      <c r="A51" s="3" t="s">
        <v>90</v>
      </c>
      <c r="B51" s="3" t="s">
        <v>91</v>
      </c>
      <c r="C51" s="3">
        <v>11500</v>
      </c>
      <c r="D51" s="3" t="s">
        <v>92</v>
      </c>
      <c r="E51" s="18">
        <f>(4500/60)</f>
        <v>75</v>
      </c>
      <c r="F51" s="79">
        <v>3</v>
      </c>
      <c r="G51" s="1">
        <v>661</v>
      </c>
      <c r="H51" s="3" t="s">
        <v>92</v>
      </c>
      <c r="I51" s="3">
        <v>1.5</v>
      </c>
      <c r="J51" s="3" t="s">
        <v>135</v>
      </c>
      <c r="K51" s="3" t="s">
        <v>92</v>
      </c>
      <c r="L51" s="3">
        <v>40</v>
      </c>
      <c r="M51" s="3" t="s">
        <v>92</v>
      </c>
      <c r="N51" s="3" t="s">
        <v>92</v>
      </c>
      <c r="O51" s="3">
        <v>7.61</v>
      </c>
      <c r="P51" s="3">
        <v>92.2</v>
      </c>
      <c r="Q51" s="3">
        <v>0.19</v>
      </c>
      <c r="R51" s="3">
        <v>44.8</v>
      </c>
      <c r="S51" s="3">
        <v>5.9</v>
      </c>
      <c r="T51" s="3">
        <v>0.1</v>
      </c>
      <c r="U51" s="3">
        <v>46.2</v>
      </c>
      <c r="V51" s="3">
        <v>0</v>
      </c>
      <c r="W51" s="3">
        <v>18</v>
      </c>
      <c r="X51" s="3">
        <f t="shared" si="2"/>
        <v>99.9</v>
      </c>
      <c r="Y51" s="3">
        <f t="shared" si="3"/>
        <v>9.9999999999994316E-2</v>
      </c>
      <c r="Z51" s="3">
        <v>24.2</v>
      </c>
      <c r="AA51" s="3">
        <v>9</v>
      </c>
      <c r="AB51" s="3">
        <v>66.7</v>
      </c>
      <c r="AC51" s="3" t="s">
        <v>96</v>
      </c>
      <c r="AD51" s="3">
        <f t="shared" si="4"/>
        <v>24.299999999999994</v>
      </c>
      <c r="AF51" s="3">
        <f t="shared" ref="AF51:AF57" si="9">AG51+AH51+AI51</f>
        <v>0</v>
      </c>
      <c r="AG51" s="3">
        <v>0</v>
      </c>
      <c r="AH51" s="3">
        <v>0</v>
      </c>
      <c r="AI51" s="3">
        <v>0</v>
      </c>
      <c r="AJ51" s="3" t="s">
        <v>92</v>
      </c>
      <c r="AK51" s="3" t="s">
        <v>92</v>
      </c>
      <c r="AL51" s="69" t="s">
        <v>92</v>
      </c>
      <c r="AM51" s="3" t="s">
        <v>92</v>
      </c>
      <c r="AN51" s="3" t="s">
        <v>92</v>
      </c>
      <c r="AO51" s="3" t="s">
        <v>92</v>
      </c>
      <c r="AP51" s="3" t="s">
        <v>92</v>
      </c>
      <c r="AQ51" s="3" t="s">
        <v>92</v>
      </c>
      <c r="AR51" s="3" t="s">
        <v>92</v>
      </c>
      <c r="AS51" s="3" t="s">
        <v>92</v>
      </c>
      <c r="AT51" s="3" t="s">
        <v>92</v>
      </c>
      <c r="AU51" s="3" t="s">
        <v>92</v>
      </c>
      <c r="AV51" s="3" t="s">
        <v>92</v>
      </c>
      <c r="AW51" s="3" t="s">
        <v>92</v>
      </c>
      <c r="AX51" s="3" t="s">
        <v>92</v>
      </c>
      <c r="AY51" s="3" t="s">
        <v>92</v>
      </c>
      <c r="AZ51" s="3" t="s">
        <v>92</v>
      </c>
      <c r="BA51" s="3" t="s">
        <v>92</v>
      </c>
      <c r="BB51" s="3" t="s">
        <v>92</v>
      </c>
      <c r="BD51" s="3" t="s">
        <v>184</v>
      </c>
    </row>
    <row r="52" spans="1:57" s="71" customFormat="1" ht="13" x14ac:dyDescent="0.15">
      <c r="A52" s="71" t="s">
        <v>197</v>
      </c>
      <c r="B52" s="71" t="s">
        <v>91</v>
      </c>
      <c r="C52" s="71" t="s">
        <v>92</v>
      </c>
      <c r="D52" s="71" t="s">
        <v>93</v>
      </c>
      <c r="E52" s="71" t="s">
        <v>92</v>
      </c>
      <c r="F52" s="69">
        <f t="shared" ref="F52:F57" si="10">(1.6+1.9)/2</f>
        <v>1.75</v>
      </c>
      <c r="G52" s="70">
        <v>260</v>
      </c>
      <c r="H52" s="71" t="s">
        <v>92</v>
      </c>
      <c r="I52" s="71">
        <v>1</v>
      </c>
      <c r="J52" s="71" t="s">
        <v>135</v>
      </c>
      <c r="K52" s="71">
        <v>0.22</v>
      </c>
      <c r="L52" s="71">
        <v>16.670000000000002</v>
      </c>
      <c r="M52" s="71" t="s">
        <v>92</v>
      </c>
      <c r="N52" s="71" t="s">
        <v>92</v>
      </c>
      <c r="O52" s="71">
        <v>8</v>
      </c>
      <c r="P52" s="71" t="s">
        <v>92</v>
      </c>
      <c r="Q52" s="102">
        <v>8</v>
      </c>
      <c r="R52" s="71">
        <v>46.58</v>
      </c>
      <c r="S52" s="71">
        <v>6.34</v>
      </c>
      <c r="T52" s="71">
        <v>0.04</v>
      </c>
      <c r="U52" s="71">
        <v>46.98</v>
      </c>
      <c r="V52" s="71">
        <v>0.06</v>
      </c>
      <c r="W52" s="71" t="s">
        <v>92</v>
      </c>
      <c r="X52" s="71">
        <f t="shared" ref="X52:X57" si="11">Y52+Z52+AA52+AB52</f>
        <v>96</v>
      </c>
      <c r="Y52" s="71">
        <v>1</v>
      </c>
      <c r="Z52" s="71">
        <v>4</v>
      </c>
      <c r="AA52" s="71">
        <v>88</v>
      </c>
      <c r="AB52" s="71">
        <v>3</v>
      </c>
      <c r="AC52" s="71" t="s">
        <v>101</v>
      </c>
      <c r="AD52" s="71">
        <f t="shared" ref="AD52:AD57" si="12">Y52+Z52</f>
        <v>5</v>
      </c>
      <c r="AE52" s="69"/>
      <c r="AF52" s="69">
        <f t="shared" si="9"/>
        <v>1</v>
      </c>
      <c r="AG52" s="71">
        <v>1</v>
      </c>
      <c r="AH52" s="71">
        <v>0</v>
      </c>
      <c r="AI52" s="71">
        <v>0</v>
      </c>
      <c r="AJ52" s="71">
        <v>0.1</v>
      </c>
      <c r="AK52" s="71" t="s">
        <v>92</v>
      </c>
      <c r="AL52" s="71" t="s">
        <v>92</v>
      </c>
      <c r="AM52" s="71" t="s">
        <v>92</v>
      </c>
      <c r="AN52" s="71" t="s">
        <v>92</v>
      </c>
      <c r="AO52" s="71" t="s">
        <v>92</v>
      </c>
      <c r="AP52" s="71" t="s">
        <v>92</v>
      </c>
      <c r="AQ52" s="71" t="s">
        <v>92</v>
      </c>
      <c r="AR52" s="71">
        <v>0.4</v>
      </c>
      <c r="AS52" s="71" t="s">
        <v>92</v>
      </c>
      <c r="AT52" s="71" t="s">
        <v>92</v>
      </c>
      <c r="AU52" s="71" t="s">
        <v>92</v>
      </c>
      <c r="AV52" s="71" t="s">
        <v>92</v>
      </c>
      <c r="AW52" s="71" t="s">
        <v>92</v>
      </c>
      <c r="AX52" s="71" t="s">
        <v>92</v>
      </c>
      <c r="AY52" s="71" t="s">
        <v>92</v>
      </c>
      <c r="AZ52" s="71" t="s">
        <v>92</v>
      </c>
      <c r="BA52" s="71" t="s">
        <v>92</v>
      </c>
      <c r="BB52" s="71" t="s">
        <v>92</v>
      </c>
      <c r="BD52" s="71" t="s">
        <v>199</v>
      </c>
    </row>
    <row r="53" spans="1:57" s="71" customFormat="1" ht="13" x14ac:dyDescent="0.15">
      <c r="A53" s="71" t="s">
        <v>197</v>
      </c>
      <c r="B53" s="71" t="s">
        <v>91</v>
      </c>
      <c r="C53" s="71" t="s">
        <v>92</v>
      </c>
      <c r="D53" s="71" t="s">
        <v>93</v>
      </c>
      <c r="E53" s="71" t="s">
        <v>92</v>
      </c>
      <c r="F53" s="69">
        <f t="shared" si="10"/>
        <v>1.75</v>
      </c>
      <c r="G53" s="70">
        <v>290</v>
      </c>
      <c r="H53" s="71" t="s">
        <v>92</v>
      </c>
      <c r="I53" s="71">
        <v>1</v>
      </c>
      <c r="J53" s="71" t="s">
        <v>135</v>
      </c>
      <c r="K53" s="71">
        <v>0.22</v>
      </c>
      <c r="L53" s="71">
        <v>16.670000000000002</v>
      </c>
      <c r="M53" s="71" t="s">
        <v>92</v>
      </c>
      <c r="N53" s="71" t="s">
        <v>92</v>
      </c>
      <c r="O53" s="71">
        <v>8</v>
      </c>
      <c r="P53" s="71" t="s">
        <v>92</v>
      </c>
      <c r="Q53" s="102">
        <v>8</v>
      </c>
      <c r="R53" s="71">
        <v>46.58</v>
      </c>
      <c r="S53" s="71">
        <v>6.34</v>
      </c>
      <c r="T53" s="71">
        <v>0.04</v>
      </c>
      <c r="U53" s="71">
        <v>46.98</v>
      </c>
      <c r="V53" s="71">
        <v>0.06</v>
      </c>
      <c r="W53" s="71" t="s">
        <v>92</v>
      </c>
      <c r="X53" s="71">
        <f t="shared" si="11"/>
        <v>103</v>
      </c>
      <c r="Y53" s="71">
        <v>2</v>
      </c>
      <c r="Z53" s="71">
        <v>17</v>
      </c>
      <c r="AA53" s="71">
        <v>78</v>
      </c>
      <c r="AB53" s="71">
        <v>6</v>
      </c>
      <c r="AC53" s="71" t="s">
        <v>101</v>
      </c>
      <c r="AD53" s="71">
        <f t="shared" si="12"/>
        <v>19</v>
      </c>
      <c r="AE53" s="69"/>
      <c r="AF53" s="69">
        <f t="shared" si="9"/>
        <v>0.8</v>
      </c>
      <c r="AG53" s="71">
        <v>0.8</v>
      </c>
      <c r="AH53" s="71">
        <v>0</v>
      </c>
      <c r="AI53" s="71">
        <v>0</v>
      </c>
      <c r="AJ53" s="71">
        <v>0.2</v>
      </c>
      <c r="AK53" s="71" t="s">
        <v>92</v>
      </c>
      <c r="AL53" s="71" t="s">
        <v>92</v>
      </c>
      <c r="AM53" s="71" t="s">
        <v>92</v>
      </c>
      <c r="AN53" s="71" t="s">
        <v>92</v>
      </c>
      <c r="AO53" s="71" t="s">
        <v>92</v>
      </c>
      <c r="AP53" s="71" t="s">
        <v>92</v>
      </c>
      <c r="AQ53" s="71" t="s">
        <v>92</v>
      </c>
      <c r="AR53" s="71">
        <v>0.9</v>
      </c>
      <c r="AS53" s="71" t="s">
        <v>92</v>
      </c>
      <c r="AT53" s="71" t="s">
        <v>92</v>
      </c>
      <c r="AU53" s="71" t="s">
        <v>92</v>
      </c>
      <c r="AV53" s="71" t="s">
        <v>92</v>
      </c>
      <c r="AW53" s="71" t="s">
        <v>92</v>
      </c>
      <c r="AX53" s="71" t="s">
        <v>92</v>
      </c>
      <c r="AY53" s="71" t="s">
        <v>92</v>
      </c>
      <c r="AZ53" s="71" t="s">
        <v>92</v>
      </c>
      <c r="BA53" s="71" t="s">
        <v>92</v>
      </c>
      <c r="BB53" s="71" t="s">
        <v>92</v>
      </c>
      <c r="BD53" s="71" t="s">
        <v>199</v>
      </c>
    </row>
    <row r="54" spans="1:57" s="71" customFormat="1" ht="13" x14ac:dyDescent="0.15">
      <c r="A54" s="71" t="s">
        <v>197</v>
      </c>
      <c r="B54" s="71" t="s">
        <v>91</v>
      </c>
      <c r="C54" s="71" t="s">
        <v>92</v>
      </c>
      <c r="D54" s="71" t="s">
        <v>93</v>
      </c>
      <c r="E54" s="71" t="s">
        <v>92</v>
      </c>
      <c r="F54" s="69">
        <f t="shared" si="10"/>
        <v>1.75</v>
      </c>
      <c r="G54" s="70">
        <v>310</v>
      </c>
      <c r="H54" s="71" t="s">
        <v>92</v>
      </c>
      <c r="I54" s="71">
        <v>1</v>
      </c>
      <c r="J54" s="71" t="s">
        <v>135</v>
      </c>
      <c r="K54" s="71">
        <v>0.22</v>
      </c>
      <c r="L54" s="71">
        <v>16.670000000000002</v>
      </c>
      <c r="M54" s="71" t="s">
        <v>92</v>
      </c>
      <c r="N54" s="71" t="s">
        <v>92</v>
      </c>
      <c r="O54" s="71">
        <v>8</v>
      </c>
      <c r="P54" s="71" t="s">
        <v>92</v>
      </c>
      <c r="Q54" s="102">
        <v>8</v>
      </c>
      <c r="R54" s="71">
        <v>46.58</v>
      </c>
      <c r="S54" s="71">
        <v>6.34</v>
      </c>
      <c r="T54" s="71">
        <v>0.04</v>
      </c>
      <c r="U54" s="71">
        <v>46.98</v>
      </c>
      <c r="V54" s="71">
        <v>0.06</v>
      </c>
      <c r="W54" s="71" t="s">
        <v>92</v>
      </c>
      <c r="X54" s="71">
        <f t="shared" si="11"/>
        <v>102</v>
      </c>
      <c r="Y54" s="71">
        <v>5</v>
      </c>
      <c r="Z54" s="71">
        <v>33</v>
      </c>
      <c r="AA54" s="71">
        <v>56</v>
      </c>
      <c r="AB54" s="71">
        <v>8</v>
      </c>
      <c r="AC54" s="71" t="s">
        <v>101</v>
      </c>
      <c r="AD54" s="71">
        <f t="shared" si="12"/>
        <v>38</v>
      </c>
      <c r="AE54" s="69"/>
      <c r="AF54" s="69">
        <f t="shared" si="9"/>
        <v>1.7</v>
      </c>
      <c r="AG54" s="71">
        <v>1.7</v>
      </c>
      <c r="AH54" s="71">
        <v>0</v>
      </c>
      <c r="AI54" s="71">
        <v>0</v>
      </c>
      <c r="AJ54" s="71">
        <v>0.9</v>
      </c>
      <c r="AK54" s="71" t="s">
        <v>92</v>
      </c>
      <c r="AL54" s="71" t="s">
        <v>92</v>
      </c>
      <c r="AM54" s="71" t="s">
        <v>92</v>
      </c>
      <c r="AN54" s="71" t="s">
        <v>92</v>
      </c>
      <c r="AO54" s="71" t="s">
        <v>92</v>
      </c>
      <c r="AP54" s="71" t="s">
        <v>92</v>
      </c>
      <c r="AQ54" s="71" t="s">
        <v>92</v>
      </c>
      <c r="AR54" s="71">
        <v>2.9</v>
      </c>
      <c r="AS54" s="71" t="s">
        <v>92</v>
      </c>
      <c r="AT54" s="71" t="s">
        <v>92</v>
      </c>
      <c r="AU54" s="71" t="s">
        <v>92</v>
      </c>
      <c r="AV54" s="71" t="s">
        <v>92</v>
      </c>
      <c r="AW54" s="71" t="s">
        <v>92</v>
      </c>
      <c r="AX54" s="71" t="s">
        <v>92</v>
      </c>
      <c r="AY54" s="71" t="s">
        <v>92</v>
      </c>
      <c r="AZ54" s="71" t="s">
        <v>92</v>
      </c>
      <c r="BA54" s="71" t="s">
        <v>92</v>
      </c>
      <c r="BB54" s="71" t="s">
        <v>92</v>
      </c>
      <c r="BD54" s="71" t="s">
        <v>199</v>
      </c>
    </row>
    <row r="55" spans="1:57" s="71" customFormat="1" ht="13" x14ac:dyDescent="0.15">
      <c r="A55" s="71" t="s">
        <v>197</v>
      </c>
      <c r="B55" s="71" t="s">
        <v>91</v>
      </c>
      <c r="C55" s="71" t="s">
        <v>92</v>
      </c>
      <c r="D55" s="71" t="s">
        <v>93</v>
      </c>
      <c r="E55" s="71" t="s">
        <v>92</v>
      </c>
      <c r="F55" s="69">
        <f t="shared" si="10"/>
        <v>1.75</v>
      </c>
      <c r="G55" s="70">
        <v>330</v>
      </c>
      <c r="H55" s="71" t="s">
        <v>92</v>
      </c>
      <c r="I55" s="71">
        <v>1</v>
      </c>
      <c r="J55" s="71" t="s">
        <v>135</v>
      </c>
      <c r="K55" s="71">
        <v>0.22</v>
      </c>
      <c r="L55" s="71">
        <v>16.670000000000002</v>
      </c>
      <c r="M55" s="71" t="s">
        <v>92</v>
      </c>
      <c r="N55" s="71" t="s">
        <v>92</v>
      </c>
      <c r="O55" s="71">
        <v>8</v>
      </c>
      <c r="P55" s="71" t="s">
        <v>92</v>
      </c>
      <c r="Q55" s="102">
        <v>8</v>
      </c>
      <c r="R55" s="71">
        <v>46.58</v>
      </c>
      <c r="S55" s="71">
        <v>6.34</v>
      </c>
      <c r="T55" s="71">
        <v>0.04</v>
      </c>
      <c r="U55" s="71">
        <v>46.98</v>
      </c>
      <c r="V55" s="71">
        <v>0.06</v>
      </c>
      <c r="W55" s="71" t="s">
        <v>92</v>
      </c>
      <c r="X55" s="71">
        <f t="shared" si="11"/>
        <v>109</v>
      </c>
      <c r="Y55" s="71">
        <v>9</v>
      </c>
      <c r="Z55" s="71">
        <v>46</v>
      </c>
      <c r="AA55" s="71">
        <v>43</v>
      </c>
      <c r="AB55" s="71">
        <v>11</v>
      </c>
      <c r="AC55" s="71" t="s">
        <v>101</v>
      </c>
      <c r="AD55" s="71">
        <f t="shared" si="12"/>
        <v>55</v>
      </c>
      <c r="AE55" s="69"/>
      <c r="AF55" s="69">
        <f t="shared" si="9"/>
        <v>3.1</v>
      </c>
      <c r="AG55" s="71">
        <v>3.1</v>
      </c>
      <c r="AH55" s="71">
        <v>0</v>
      </c>
      <c r="AI55" s="71">
        <v>0</v>
      </c>
      <c r="AJ55" s="71">
        <v>1.8</v>
      </c>
      <c r="AK55" s="71" t="s">
        <v>92</v>
      </c>
      <c r="AL55" s="71" t="s">
        <v>92</v>
      </c>
      <c r="AM55" s="71" t="s">
        <v>92</v>
      </c>
      <c r="AN55" s="71" t="s">
        <v>92</v>
      </c>
      <c r="AO55" s="71" t="s">
        <v>92</v>
      </c>
      <c r="AP55" s="71" t="s">
        <v>92</v>
      </c>
      <c r="AQ55" s="71" t="s">
        <v>92</v>
      </c>
      <c r="AR55" s="71">
        <v>4.4000000000000004</v>
      </c>
      <c r="AS55" s="71" t="s">
        <v>92</v>
      </c>
      <c r="AT55" s="71" t="s">
        <v>92</v>
      </c>
      <c r="AU55" s="71" t="s">
        <v>92</v>
      </c>
      <c r="AV55" s="71" t="s">
        <v>92</v>
      </c>
      <c r="AW55" s="71" t="s">
        <v>92</v>
      </c>
      <c r="AX55" s="71" t="s">
        <v>92</v>
      </c>
      <c r="AY55" s="71" t="s">
        <v>92</v>
      </c>
      <c r="AZ55" s="71" t="s">
        <v>92</v>
      </c>
      <c r="BA55" s="71" t="s">
        <v>92</v>
      </c>
      <c r="BB55" s="71" t="s">
        <v>92</v>
      </c>
      <c r="BD55" s="71" t="s">
        <v>199</v>
      </c>
    </row>
    <row r="56" spans="1:57" s="71" customFormat="1" ht="13" x14ac:dyDescent="0.15">
      <c r="A56" s="71" t="s">
        <v>197</v>
      </c>
      <c r="B56" s="71" t="s">
        <v>91</v>
      </c>
      <c r="C56" s="71" t="s">
        <v>92</v>
      </c>
      <c r="D56" s="71" t="s">
        <v>93</v>
      </c>
      <c r="E56" s="71" t="s">
        <v>92</v>
      </c>
      <c r="F56" s="69">
        <f t="shared" si="10"/>
        <v>1.75</v>
      </c>
      <c r="G56" s="70">
        <v>360</v>
      </c>
      <c r="H56" s="71" t="s">
        <v>92</v>
      </c>
      <c r="I56" s="71">
        <v>1</v>
      </c>
      <c r="J56" s="71" t="s">
        <v>135</v>
      </c>
      <c r="K56" s="71">
        <v>0.22</v>
      </c>
      <c r="L56" s="71">
        <v>16.670000000000002</v>
      </c>
      <c r="M56" s="71" t="s">
        <v>92</v>
      </c>
      <c r="N56" s="71" t="s">
        <v>92</v>
      </c>
      <c r="O56" s="71">
        <v>8</v>
      </c>
      <c r="P56" s="71" t="s">
        <v>92</v>
      </c>
      <c r="Q56" s="102">
        <v>8</v>
      </c>
      <c r="R56" s="71">
        <v>46.58</v>
      </c>
      <c r="S56" s="71">
        <v>6.34</v>
      </c>
      <c r="T56" s="71">
        <v>0.04</v>
      </c>
      <c r="U56" s="71">
        <v>46.98</v>
      </c>
      <c r="V56" s="71">
        <v>0.06</v>
      </c>
      <c r="W56" s="71" t="s">
        <v>92</v>
      </c>
      <c r="X56" s="71">
        <f t="shared" si="11"/>
        <v>106</v>
      </c>
      <c r="Y56" s="71">
        <v>10</v>
      </c>
      <c r="Z56" s="71">
        <v>53</v>
      </c>
      <c r="AA56" s="71">
        <v>30</v>
      </c>
      <c r="AB56" s="71">
        <v>13</v>
      </c>
      <c r="AC56" s="71" t="s">
        <v>101</v>
      </c>
      <c r="AD56" s="71">
        <f t="shared" si="12"/>
        <v>63</v>
      </c>
      <c r="AE56" s="69"/>
      <c r="AF56" s="69">
        <f t="shared" si="9"/>
        <v>3.5</v>
      </c>
      <c r="AG56" s="71">
        <v>3.5</v>
      </c>
      <c r="AH56" s="71">
        <v>0</v>
      </c>
      <c r="AI56" s="71">
        <v>0</v>
      </c>
      <c r="AJ56" s="71">
        <v>1.6</v>
      </c>
      <c r="AK56" s="71" t="s">
        <v>92</v>
      </c>
      <c r="AL56" s="71" t="s">
        <v>92</v>
      </c>
      <c r="AM56" s="71" t="s">
        <v>92</v>
      </c>
      <c r="AN56" s="71" t="s">
        <v>92</v>
      </c>
      <c r="AO56" s="71" t="s">
        <v>92</v>
      </c>
      <c r="AP56" s="71" t="s">
        <v>92</v>
      </c>
      <c r="AQ56" s="71" t="s">
        <v>92</v>
      </c>
      <c r="AR56" s="71">
        <v>5.6</v>
      </c>
      <c r="AS56" s="71" t="s">
        <v>92</v>
      </c>
      <c r="AT56" s="71" t="s">
        <v>92</v>
      </c>
      <c r="AU56" s="71" t="s">
        <v>92</v>
      </c>
      <c r="AV56" s="71" t="s">
        <v>92</v>
      </c>
      <c r="AW56" s="71" t="s">
        <v>92</v>
      </c>
      <c r="AX56" s="71" t="s">
        <v>92</v>
      </c>
      <c r="AY56" s="71" t="s">
        <v>92</v>
      </c>
      <c r="AZ56" s="71" t="s">
        <v>92</v>
      </c>
      <c r="BA56" s="71" t="s">
        <v>92</v>
      </c>
      <c r="BB56" s="71" t="s">
        <v>92</v>
      </c>
      <c r="BD56" s="71" t="s">
        <v>199</v>
      </c>
    </row>
    <row r="57" spans="1:57" s="71" customFormat="1" ht="13" x14ac:dyDescent="0.15">
      <c r="A57" s="71" t="s">
        <v>197</v>
      </c>
      <c r="B57" s="71" t="s">
        <v>91</v>
      </c>
      <c r="C57" s="71" t="s">
        <v>92</v>
      </c>
      <c r="D57" s="71" t="s">
        <v>93</v>
      </c>
      <c r="E57" s="71" t="s">
        <v>92</v>
      </c>
      <c r="F57" s="69">
        <f t="shared" si="10"/>
        <v>1.75</v>
      </c>
      <c r="G57" s="70">
        <v>530</v>
      </c>
      <c r="H57" s="71" t="s">
        <v>92</v>
      </c>
      <c r="I57" s="71">
        <v>1</v>
      </c>
      <c r="J57" s="71" t="s">
        <v>135</v>
      </c>
      <c r="K57" s="71">
        <v>0.22</v>
      </c>
      <c r="L57" s="71">
        <v>16.670000000000002</v>
      </c>
      <c r="M57" s="71" t="s">
        <v>92</v>
      </c>
      <c r="N57" s="71" t="s">
        <v>92</v>
      </c>
      <c r="O57" s="71">
        <v>8</v>
      </c>
      <c r="P57" s="71" t="s">
        <v>92</v>
      </c>
      <c r="Q57" s="102">
        <v>8</v>
      </c>
      <c r="R57" s="71">
        <v>46.58</v>
      </c>
      <c r="S57" s="71">
        <v>6.34</v>
      </c>
      <c r="T57" s="71">
        <v>0.04</v>
      </c>
      <c r="U57" s="71">
        <v>46.98</v>
      </c>
      <c r="V57" s="71">
        <v>0.06</v>
      </c>
      <c r="W57" s="71" t="s">
        <v>92</v>
      </c>
      <c r="X57" s="71">
        <f t="shared" si="11"/>
        <v>105</v>
      </c>
      <c r="Y57" s="71">
        <v>8</v>
      </c>
      <c r="Z57" s="71">
        <v>59</v>
      </c>
      <c r="AA57" s="71">
        <v>10</v>
      </c>
      <c r="AB57" s="71">
        <v>28</v>
      </c>
      <c r="AC57" s="71" t="s">
        <v>101</v>
      </c>
      <c r="AD57" s="71">
        <f t="shared" si="12"/>
        <v>67</v>
      </c>
      <c r="AE57" s="69"/>
      <c r="AF57" s="69">
        <f t="shared" si="9"/>
        <v>4.8999999999999995</v>
      </c>
      <c r="AG57" s="71">
        <v>1.7</v>
      </c>
      <c r="AH57" s="71">
        <v>2.4</v>
      </c>
      <c r="AI57" s="71">
        <v>0.8</v>
      </c>
      <c r="AJ57" s="71">
        <v>0.5</v>
      </c>
      <c r="AK57" s="71" t="s">
        <v>92</v>
      </c>
      <c r="AL57" s="71" t="s">
        <v>92</v>
      </c>
      <c r="AM57" s="71" t="s">
        <v>92</v>
      </c>
      <c r="AN57" s="71" t="s">
        <v>92</v>
      </c>
      <c r="AO57" s="71" t="s">
        <v>92</v>
      </c>
      <c r="AP57" s="71" t="s">
        <v>92</v>
      </c>
      <c r="AQ57" s="71" t="s">
        <v>92</v>
      </c>
      <c r="AR57" s="71">
        <v>6.3</v>
      </c>
      <c r="AS57" s="71" t="s">
        <v>92</v>
      </c>
      <c r="AT57" s="71" t="s">
        <v>92</v>
      </c>
      <c r="AU57" s="71" t="s">
        <v>92</v>
      </c>
      <c r="AV57" s="71" t="s">
        <v>92</v>
      </c>
      <c r="AW57" s="71" t="s">
        <v>92</v>
      </c>
      <c r="AX57" s="71" t="s">
        <v>92</v>
      </c>
      <c r="AY57" s="71" t="s">
        <v>92</v>
      </c>
      <c r="AZ57" s="71" t="s">
        <v>92</v>
      </c>
      <c r="BA57" s="71" t="s">
        <v>92</v>
      </c>
      <c r="BB57" s="71" t="s">
        <v>92</v>
      </c>
      <c r="BD57" s="71" t="s">
        <v>199</v>
      </c>
    </row>
    <row r="58" spans="1:57" x14ac:dyDescent="0.2">
      <c r="A58" s="81" t="s">
        <v>206</v>
      </c>
      <c r="B58" s="81" t="s">
        <v>91</v>
      </c>
      <c r="C58" s="83">
        <v>427</v>
      </c>
      <c r="D58" s="81" t="s">
        <v>93</v>
      </c>
      <c r="E58" s="82">
        <v>17.5</v>
      </c>
      <c r="F58" s="85">
        <f>((C58/1000)/(E58))*60</f>
        <v>1.464</v>
      </c>
      <c r="G58" s="29">
        <v>400</v>
      </c>
      <c r="H58" s="14" t="s">
        <v>92</v>
      </c>
      <c r="I58" s="29">
        <v>0.55000000000000004</v>
      </c>
      <c r="J58" s="29" t="s">
        <v>112</v>
      </c>
      <c r="K58" s="29">
        <v>0.18099999999999999</v>
      </c>
      <c r="L58" s="29">
        <v>1.67</v>
      </c>
      <c r="M58" s="14" t="s">
        <v>92</v>
      </c>
      <c r="N58" s="14" t="s">
        <v>92</v>
      </c>
      <c r="O58" s="29">
        <v>6.9</v>
      </c>
      <c r="P58" s="14" t="s">
        <v>92</v>
      </c>
      <c r="Q58" s="29">
        <v>0.3</v>
      </c>
      <c r="R58" s="29">
        <v>50.28</v>
      </c>
      <c r="S58" s="29">
        <v>6.18</v>
      </c>
      <c r="T58" s="29">
        <v>0.08</v>
      </c>
      <c r="U58" s="29">
        <v>43.46</v>
      </c>
      <c r="V58" s="29">
        <v>0</v>
      </c>
      <c r="W58" s="29">
        <v>18.93</v>
      </c>
      <c r="X58" s="29">
        <f t="shared" ref="X58:X64" si="13">SUM(Y58:AB58)</f>
        <v>100</v>
      </c>
      <c r="Y58" s="29">
        <f>0.1268*63.72</f>
        <v>8.0796960000000002</v>
      </c>
      <c r="Z58" s="29">
        <f>0.8732*63.72</f>
        <v>55.640304</v>
      </c>
      <c r="AA58" s="29">
        <v>21.05</v>
      </c>
      <c r="AB58" s="29">
        <v>15.23</v>
      </c>
      <c r="AC58" s="29" t="s">
        <v>101</v>
      </c>
      <c r="AD58" s="29">
        <v>63.72</v>
      </c>
      <c r="AF58" s="29"/>
      <c r="AG58" s="29"/>
      <c r="AH58" s="29"/>
      <c r="AI58" s="29"/>
      <c r="AJ58" s="29"/>
      <c r="AK58" s="29"/>
      <c r="AL58" s="6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 t="s">
        <v>207</v>
      </c>
      <c r="BE58" s="29"/>
    </row>
    <row r="59" spans="1:57" s="72" customFormat="1" x14ac:dyDescent="0.2">
      <c r="A59" s="82" t="s">
        <v>206</v>
      </c>
      <c r="B59" s="82" t="s">
        <v>91</v>
      </c>
      <c r="C59" s="82">
        <v>427</v>
      </c>
      <c r="D59" s="82" t="s">
        <v>93</v>
      </c>
      <c r="E59" s="82">
        <v>17.5</v>
      </c>
      <c r="F59" s="85">
        <f t="shared" ref="F59:F64" si="14">((C59/1000)/(E59))*60</f>
        <v>1.464</v>
      </c>
      <c r="G59" s="69">
        <v>450</v>
      </c>
      <c r="H59" s="71" t="s">
        <v>92</v>
      </c>
      <c r="I59" s="69">
        <v>0.55000000000000004</v>
      </c>
      <c r="J59" s="69" t="s">
        <v>112</v>
      </c>
      <c r="K59" s="69">
        <v>0.18099999999999999</v>
      </c>
      <c r="L59" s="69">
        <v>1.67</v>
      </c>
      <c r="M59" s="71" t="s">
        <v>92</v>
      </c>
      <c r="N59" s="71" t="s">
        <v>92</v>
      </c>
      <c r="O59" s="69">
        <v>6.9</v>
      </c>
      <c r="P59" s="71" t="s">
        <v>92</v>
      </c>
      <c r="Q59" s="69">
        <v>0.3</v>
      </c>
      <c r="R59" s="69">
        <v>50.28</v>
      </c>
      <c r="S59" s="69">
        <v>6.18</v>
      </c>
      <c r="T59" s="69">
        <v>0.08</v>
      </c>
      <c r="U59" s="69">
        <v>43.46</v>
      </c>
      <c r="V59" s="69">
        <v>0</v>
      </c>
      <c r="W59" s="69">
        <v>18.93</v>
      </c>
      <c r="X59" s="69">
        <f t="shared" si="13"/>
        <v>100.01063770000002</v>
      </c>
      <c r="Y59" s="69">
        <f>0.1321*63.77</f>
        <v>8.424017000000001</v>
      </c>
      <c r="Z59" s="69">
        <f>0.86791*63.77</f>
        <v>55.346620700000003</v>
      </c>
      <c r="AA59" s="69">
        <v>19.78</v>
      </c>
      <c r="AB59" s="69">
        <v>16.46</v>
      </c>
      <c r="AC59" s="69" t="s">
        <v>101</v>
      </c>
      <c r="AD59" s="69">
        <v>63.77</v>
      </c>
      <c r="AF59" s="69">
        <f>SUM(AG59:AI59)</f>
        <v>28.038598046620002</v>
      </c>
      <c r="AG59" s="69">
        <f>(6.55+3.28)*Z59/100</f>
        <v>5.4405728148100003</v>
      </c>
      <c r="AH59" s="69">
        <f>0.43*Z59/100</f>
        <v>0.23799046901000001</v>
      </c>
      <c r="AI59" s="69">
        <f>(1.05+1.75+7.06+0.18+7.09+2.37+13.22+3.76+3.92)*Z59/100</f>
        <v>22.360034762800002</v>
      </c>
      <c r="AJ59" s="69">
        <f>1.14*Z59/100</f>
        <v>0.63095147598000001</v>
      </c>
      <c r="AK59" s="69"/>
      <c r="AL59" s="69"/>
      <c r="AM59" s="69"/>
      <c r="AN59" s="69"/>
      <c r="AO59" s="69"/>
      <c r="AP59" s="69"/>
      <c r="AQ59" s="69"/>
      <c r="AR59" s="69">
        <f>17.08*Z59/100</f>
        <v>9.4532028155599992</v>
      </c>
      <c r="AS59" s="69"/>
      <c r="AT59" s="69">
        <f>1.55*Z59/100</f>
        <v>0.85787262085000004</v>
      </c>
      <c r="AU59" s="69"/>
      <c r="AV59" s="69"/>
      <c r="AW59" s="69"/>
      <c r="AX59" s="69"/>
      <c r="AY59" s="69"/>
      <c r="AZ59" s="69"/>
      <c r="BA59" s="69"/>
      <c r="BB59" s="69"/>
      <c r="BC59" s="69"/>
      <c r="BD59" s="69" t="s">
        <v>207</v>
      </c>
      <c r="BE59" s="69" t="s">
        <v>203</v>
      </c>
    </row>
    <row r="60" spans="1:57" s="72" customFormat="1" x14ac:dyDescent="0.2">
      <c r="A60" s="82" t="s">
        <v>206</v>
      </c>
      <c r="B60" s="82" t="s">
        <v>91</v>
      </c>
      <c r="C60" s="82">
        <v>427</v>
      </c>
      <c r="D60" s="82" t="s">
        <v>93</v>
      </c>
      <c r="E60" s="82">
        <v>17.5</v>
      </c>
      <c r="F60" s="85">
        <f t="shared" si="14"/>
        <v>1.464</v>
      </c>
      <c r="G60" s="69">
        <v>500</v>
      </c>
      <c r="H60" s="71" t="s">
        <v>92</v>
      </c>
      <c r="I60" s="69">
        <v>0.55000000000000004</v>
      </c>
      <c r="J60" s="69" t="s">
        <v>112</v>
      </c>
      <c r="K60" s="69">
        <v>0.18099999999999999</v>
      </c>
      <c r="L60" s="69">
        <v>1.67</v>
      </c>
      <c r="M60" s="71" t="s">
        <v>92</v>
      </c>
      <c r="N60" s="71" t="s">
        <v>92</v>
      </c>
      <c r="O60" s="69">
        <v>6.9</v>
      </c>
      <c r="P60" s="71" t="s">
        <v>92</v>
      </c>
      <c r="Q60" s="69">
        <v>0.3</v>
      </c>
      <c r="R60" s="69">
        <v>50.28</v>
      </c>
      <c r="S60" s="69">
        <v>6.18</v>
      </c>
      <c r="T60" s="69">
        <v>0.08</v>
      </c>
      <c r="U60" s="69">
        <v>43.46</v>
      </c>
      <c r="V60" s="69">
        <v>0</v>
      </c>
      <c r="W60" s="69">
        <v>18.93</v>
      </c>
      <c r="X60" s="69">
        <f t="shared" si="13"/>
        <v>100</v>
      </c>
      <c r="Y60" s="69">
        <f>0.1331*63.57</f>
        <v>8.4611669999999997</v>
      </c>
      <c r="Z60" s="69">
        <f>0.8669*63.57</f>
        <v>55.108832999999997</v>
      </c>
      <c r="AA60" s="69">
        <v>18.36</v>
      </c>
      <c r="AB60" s="69">
        <v>18.07</v>
      </c>
      <c r="AC60" s="69" t="s">
        <v>101</v>
      </c>
      <c r="AD60" s="69">
        <v>63.57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 t="s">
        <v>207</v>
      </c>
      <c r="BE60" s="69"/>
    </row>
    <row r="61" spans="1:57" s="100" customFormat="1" x14ac:dyDescent="0.2">
      <c r="A61" s="94" t="s">
        <v>206</v>
      </c>
      <c r="B61" s="94" t="s">
        <v>91</v>
      </c>
      <c r="C61" s="94">
        <v>427</v>
      </c>
      <c r="D61" s="94" t="s">
        <v>93</v>
      </c>
      <c r="E61" s="94">
        <v>17.5</v>
      </c>
      <c r="F61" s="95">
        <f t="shared" si="14"/>
        <v>1.464</v>
      </c>
      <c r="G61" s="93">
        <v>550</v>
      </c>
      <c r="H61" s="97" t="s">
        <v>92</v>
      </c>
      <c r="I61" s="93">
        <v>0.55000000000000004</v>
      </c>
      <c r="J61" s="93" t="s">
        <v>112</v>
      </c>
      <c r="K61" s="93">
        <v>0.18099999999999999</v>
      </c>
      <c r="L61" s="93">
        <v>1.67</v>
      </c>
      <c r="M61" s="97" t="s">
        <v>92</v>
      </c>
      <c r="N61" s="97" t="s">
        <v>92</v>
      </c>
      <c r="O61" s="93">
        <v>6.9</v>
      </c>
      <c r="P61" s="97" t="s">
        <v>92</v>
      </c>
      <c r="Q61" s="93">
        <v>0.3</v>
      </c>
      <c r="R61" s="93">
        <v>50.28</v>
      </c>
      <c r="S61" s="93">
        <v>6.18</v>
      </c>
      <c r="T61" s="93">
        <v>0.08</v>
      </c>
      <c r="U61" s="93">
        <v>43.46</v>
      </c>
      <c r="V61" s="93">
        <v>0</v>
      </c>
      <c r="W61" s="93">
        <v>18.93</v>
      </c>
      <c r="X61" s="93">
        <f t="shared" si="13"/>
        <v>100.01060440000001</v>
      </c>
      <c r="Y61" s="93">
        <f>0.17151*60.44</f>
        <v>10.366064399999999</v>
      </c>
      <c r="Z61" s="93">
        <f>0.8285*60.44</f>
        <v>50.074539999999999</v>
      </c>
      <c r="AA61" s="93">
        <v>18.04</v>
      </c>
      <c r="AB61" s="93">
        <v>21.53</v>
      </c>
      <c r="AC61" s="93" t="s">
        <v>101</v>
      </c>
      <c r="AD61" s="93">
        <v>60.44</v>
      </c>
      <c r="AF61" s="93">
        <f>SUM(AG61:AI61)</f>
        <v>24.466420243999991</v>
      </c>
      <c r="AG61" s="93">
        <f>(3.46+2.57)*Z61/100</f>
        <v>3.0194947619999994</v>
      </c>
      <c r="AH61" s="93">
        <f>1.01*Z61/100</f>
        <v>0.50575285400000003</v>
      </c>
      <c r="AI61" s="93">
        <f>(1.11+1.5+1.29+0.99+0.4+1.71+4.19+3.24+5.1+5.23+1.09+1.56+8.87+1.82+0.41+3.05+0.26)*Z61/100</f>
        <v>20.941172627999993</v>
      </c>
      <c r="AJ61" s="93">
        <f>(0.34+0.68+2.53+0.49)*Z61/100</f>
        <v>2.0230114160000001</v>
      </c>
      <c r="AK61" s="93">
        <f>3.09*Z61/100</f>
        <v>1.5473032859999998</v>
      </c>
      <c r="AL61" s="93">
        <f>(0.7+0.21)*Z61/100</f>
        <v>0.45567831399999997</v>
      </c>
      <c r="AM61" s="93"/>
      <c r="AN61" s="93"/>
      <c r="AO61" s="93"/>
      <c r="AP61" s="93"/>
      <c r="AQ61" s="93"/>
      <c r="AR61" s="93">
        <f>10.25*Z61/100</f>
        <v>5.13264035</v>
      </c>
      <c r="AS61" s="93"/>
      <c r="AT61" s="93">
        <f>(1.02+0.26)*Z61/100</f>
        <v>0.64095411199999996</v>
      </c>
      <c r="AU61" s="93"/>
      <c r="AV61" s="93"/>
      <c r="AW61" s="93"/>
      <c r="AX61" s="93"/>
      <c r="AY61" s="93"/>
      <c r="AZ61" s="93"/>
      <c r="BA61" s="93"/>
      <c r="BB61" s="93"/>
      <c r="BC61" s="93"/>
      <c r="BD61" s="93" t="s">
        <v>207</v>
      </c>
      <c r="BE61" s="93" t="s">
        <v>203</v>
      </c>
    </row>
    <row r="62" spans="1:57" x14ac:dyDescent="0.2">
      <c r="A62" s="84" t="s">
        <v>206</v>
      </c>
      <c r="B62" s="84" t="s">
        <v>91</v>
      </c>
      <c r="C62" s="83">
        <v>427</v>
      </c>
      <c r="D62" s="84" t="s">
        <v>93</v>
      </c>
      <c r="E62" s="82">
        <v>17.5</v>
      </c>
      <c r="F62" s="85">
        <f t="shared" si="14"/>
        <v>1.464</v>
      </c>
      <c r="G62" s="3">
        <v>500</v>
      </c>
      <c r="H62" s="14" t="s">
        <v>92</v>
      </c>
      <c r="I62" s="3">
        <v>0.35</v>
      </c>
      <c r="J62" s="3" t="s">
        <v>112</v>
      </c>
      <c r="K62" s="3">
        <v>0.18099999999999999</v>
      </c>
      <c r="L62" s="3">
        <v>1.67</v>
      </c>
      <c r="M62" s="14" t="s">
        <v>92</v>
      </c>
      <c r="N62" s="14" t="s">
        <v>92</v>
      </c>
      <c r="O62" s="56">
        <v>6.9</v>
      </c>
      <c r="P62" s="14" t="s">
        <v>92</v>
      </c>
      <c r="Q62" s="3">
        <v>0.3</v>
      </c>
      <c r="R62" s="3">
        <v>50.28</v>
      </c>
      <c r="S62" s="3">
        <v>6.18</v>
      </c>
      <c r="T62" s="3">
        <v>0.08</v>
      </c>
      <c r="U62" s="3">
        <v>43.46</v>
      </c>
      <c r="V62" s="56">
        <v>0</v>
      </c>
      <c r="W62" s="3">
        <v>18.93</v>
      </c>
      <c r="X62" s="3">
        <f t="shared" si="13"/>
        <v>100.01</v>
      </c>
      <c r="Y62" s="3">
        <f>AD62*0.1191</f>
        <v>7.4937719999999999</v>
      </c>
      <c r="Z62" s="3">
        <f>AD62*0.8809</f>
        <v>55.426228000000002</v>
      </c>
      <c r="AA62" s="3">
        <v>18.04</v>
      </c>
      <c r="AB62" s="3">
        <v>19.05</v>
      </c>
      <c r="AC62" s="3" t="s">
        <v>101</v>
      </c>
      <c r="AD62" s="3">
        <v>62.92</v>
      </c>
      <c r="AF62" s="3"/>
      <c r="AG62" s="3"/>
      <c r="AH62" s="3"/>
      <c r="AI62" s="3"/>
      <c r="AJ62" s="3"/>
      <c r="AK62" s="3"/>
      <c r="AL62" s="69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29" t="s">
        <v>207</v>
      </c>
      <c r="BE62" s="3"/>
    </row>
    <row r="63" spans="1:57" x14ac:dyDescent="0.2">
      <c r="A63" s="84" t="s">
        <v>206</v>
      </c>
      <c r="B63" s="84" t="s">
        <v>91</v>
      </c>
      <c r="C63" s="83">
        <v>427</v>
      </c>
      <c r="D63" s="84" t="s">
        <v>93</v>
      </c>
      <c r="E63" s="82">
        <v>17.5</v>
      </c>
      <c r="F63" s="85">
        <f t="shared" si="14"/>
        <v>1.464</v>
      </c>
      <c r="G63" s="3">
        <v>500</v>
      </c>
      <c r="H63" s="14" t="s">
        <v>92</v>
      </c>
      <c r="I63" s="3">
        <v>0.55000000000000004</v>
      </c>
      <c r="J63" s="3" t="s">
        <v>112</v>
      </c>
      <c r="K63" s="3">
        <v>0.18099999999999999</v>
      </c>
      <c r="L63" s="3">
        <v>1.67</v>
      </c>
      <c r="M63" s="14" t="s">
        <v>92</v>
      </c>
      <c r="N63" s="14" t="s">
        <v>92</v>
      </c>
      <c r="O63" s="56">
        <v>6.9</v>
      </c>
      <c r="P63" s="14" t="s">
        <v>92</v>
      </c>
      <c r="Q63" s="3">
        <v>0.3</v>
      </c>
      <c r="R63" s="3">
        <v>50.28</v>
      </c>
      <c r="S63" s="3">
        <v>6.18</v>
      </c>
      <c r="T63" s="3">
        <v>0.08</v>
      </c>
      <c r="U63" s="3">
        <v>43.46</v>
      </c>
      <c r="V63" s="56">
        <v>0</v>
      </c>
      <c r="W63" s="3">
        <v>18.93</v>
      </c>
      <c r="X63" s="3">
        <f t="shared" si="13"/>
        <v>100</v>
      </c>
      <c r="Y63" s="3">
        <f>AD63*0.1331</f>
        <v>8.4611669999999997</v>
      </c>
      <c r="Z63" s="3">
        <f>AD63*0.8669</f>
        <v>55.108832999999997</v>
      </c>
      <c r="AA63" s="3">
        <v>18.36</v>
      </c>
      <c r="AB63" s="3">
        <v>18.07</v>
      </c>
      <c r="AC63" s="3" t="s">
        <v>101</v>
      </c>
      <c r="AD63" s="3">
        <v>63.57</v>
      </c>
      <c r="AF63" s="3"/>
      <c r="AG63" s="3"/>
      <c r="AH63" s="3"/>
      <c r="AI63" s="3"/>
      <c r="AJ63" s="3"/>
      <c r="AK63" s="3"/>
      <c r="AL63" s="69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64" t="s">
        <v>207</v>
      </c>
      <c r="BE63" s="3"/>
    </row>
    <row r="64" spans="1:57" x14ac:dyDescent="0.2">
      <c r="A64" s="84" t="s">
        <v>206</v>
      </c>
      <c r="B64" s="84" t="s">
        <v>91</v>
      </c>
      <c r="C64" s="83">
        <v>427</v>
      </c>
      <c r="D64" s="84" t="s">
        <v>93</v>
      </c>
      <c r="E64" s="82">
        <v>17.5</v>
      </c>
      <c r="F64" s="85">
        <f t="shared" si="14"/>
        <v>1.464</v>
      </c>
      <c r="G64" s="3">
        <v>500</v>
      </c>
      <c r="H64" s="14" t="s">
        <v>92</v>
      </c>
      <c r="I64" s="3">
        <v>0.95</v>
      </c>
      <c r="J64" s="3" t="s">
        <v>112</v>
      </c>
      <c r="K64" s="3">
        <v>0.18099999999999999</v>
      </c>
      <c r="L64" s="3">
        <v>1.67</v>
      </c>
      <c r="M64" s="14" t="s">
        <v>92</v>
      </c>
      <c r="N64" s="14" t="s">
        <v>92</v>
      </c>
      <c r="O64" s="56">
        <v>6.9</v>
      </c>
      <c r="P64" s="14" t="s">
        <v>92</v>
      </c>
      <c r="Q64" s="3">
        <v>0.3</v>
      </c>
      <c r="R64" s="3">
        <v>50.28</v>
      </c>
      <c r="S64" s="3">
        <v>6.18</v>
      </c>
      <c r="T64" s="3">
        <v>0.08</v>
      </c>
      <c r="U64" s="3">
        <v>43.46</v>
      </c>
      <c r="V64" s="56">
        <v>0</v>
      </c>
      <c r="W64" s="3">
        <v>18.93</v>
      </c>
      <c r="X64" s="3">
        <f t="shared" si="13"/>
        <v>100.00999999999999</v>
      </c>
      <c r="Y64" s="3">
        <f>AD64*0.1616</f>
        <v>10.175951999999999</v>
      </c>
      <c r="Z64" s="3">
        <f>AD64*0.8384</f>
        <v>52.794048000000004</v>
      </c>
      <c r="AA64" s="3">
        <v>19.55</v>
      </c>
      <c r="AB64" s="3">
        <v>17.489999999999998</v>
      </c>
      <c r="AC64" s="3" t="s">
        <v>101</v>
      </c>
      <c r="AD64" s="3">
        <v>62.97</v>
      </c>
      <c r="AF64" s="3"/>
      <c r="AG64" s="3"/>
      <c r="AH64" s="3"/>
      <c r="AI64" s="3"/>
      <c r="AJ64" s="3"/>
      <c r="AK64" s="3"/>
      <c r="AL64" s="69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29" t="s">
        <v>207</v>
      </c>
      <c r="BE64" s="3"/>
    </row>
    <row r="65" spans="7:32" x14ac:dyDescent="0.2">
      <c r="G65"/>
      <c r="AF65" s="23"/>
    </row>
    <row r="66" spans="7:32" x14ac:dyDescent="0.2">
      <c r="G66"/>
      <c r="AF66" s="23"/>
    </row>
    <row r="67" spans="7:32" x14ac:dyDescent="0.2">
      <c r="G67"/>
      <c r="AF67" s="23"/>
    </row>
    <row r="68" spans="7:32" x14ac:dyDescent="0.2">
      <c r="AF68" s="23"/>
    </row>
    <row r="69" spans="7:32" x14ac:dyDescent="0.2">
      <c r="AF69" s="23"/>
    </row>
    <row r="70" spans="7:32" x14ac:dyDescent="0.2">
      <c r="AF70" s="23"/>
    </row>
    <row r="71" spans="7:32" x14ac:dyDescent="0.2">
      <c r="AF71" s="23"/>
    </row>
    <row r="72" spans="7:32" x14ac:dyDescent="0.2">
      <c r="AF72" s="23"/>
    </row>
    <row r="73" spans="7:32" x14ac:dyDescent="0.2">
      <c r="AF73" s="23"/>
    </row>
    <row r="74" spans="7:32" x14ac:dyDescent="0.2">
      <c r="AF74" s="23"/>
    </row>
    <row r="75" spans="7:32" x14ac:dyDescent="0.2">
      <c r="AF75" s="23"/>
    </row>
    <row r="76" spans="7:32" x14ac:dyDescent="0.2">
      <c r="AF76" s="23"/>
    </row>
    <row r="77" spans="7:32" x14ac:dyDescent="0.2">
      <c r="AF77" s="23"/>
    </row>
    <row r="78" spans="7:32" x14ac:dyDescent="0.2">
      <c r="AF78" s="23"/>
    </row>
    <row r="79" spans="7:32" x14ac:dyDescent="0.2">
      <c r="AF79" s="23"/>
    </row>
    <row r="80" spans="7:32" x14ac:dyDescent="0.2">
      <c r="AF80" s="23"/>
    </row>
    <row r="81" spans="32:32" x14ac:dyDescent="0.2">
      <c r="AF81" s="23"/>
    </row>
    <row r="82" spans="32:32" x14ac:dyDescent="0.2">
      <c r="AF82" s="23"/>
    </row>
    <row r="83" spans="32:32" x14ac:dyDescent="0.2">
      <c r="AF83" s="23"/>
    </row>
    <row r="84" spans="32:32" x14ac:dyDescent="0.2">
      <c r="AF84" s="23"/>
    </row>
    <row r="85" spans="32:32" x14ac:dyDescent="0.2">
      <c r="AF85" s="23"/>
    </row>
    <row r="86" spans="32:32" x14ac:dyDescent="0.2">
      <c r="AF86" s="23"/>
    </row>
    <row r="87" spans="32:32" x14ac:dyDescent="0.2">
      <c r="AF87" s="23"/>
    </row>
    <row r="88" spans="32:32" x14ac:dyDescent="0.2">
      <c r="AF88" s="23"/>
    </row>
    <row r="89" spans="32:32" x14ac:dyDescent="0.2">
      <c r="AF89" s="23"/>
    </row>
    <row r="90" spans="32:32" x14ac:dyDescent="0.2">
      <c r="AF90" s="23"/>
    </row>
    <row r="91" spans="32:32" x14ac:dyDescent="0.2">
      <c r="AF91" s="23"/>
    </row>
    <row r="92" spans="32:32" x14ac:dyDescent="0.2">
      <c r="AF92" s="23"/>
    </row>
    <row r="93" spans="32:32" x14ac:dyDescent="0.2">
      <c r="AF93" s="23"/>
    </row>
    <row r="94" spans="32:32" x14ac:dyDescent="0.2">
      <c r="AF94" s="23"/>
    </row>
    <row r="95" spans="32:32" x14ac:dyDescent="0.2">
      <c r="AF95" s="23"/>
    </row>
    <row r="96" spans="32:32" x14ac:dyDescent="0.2">
      <c r="AF96" s="23"/>
    </row>
    <row r="97" spans="32:32" x14ac:dyDescent="0.2">
      <c r="AF97" s="23"/>
    </row>
    <row r="98" spans="32:32" x14ac:dyDescent="0.2">
      <c r="AF98" s="23"/>
    </row>
    <row r="99" spans="32:32" x14ac:dyDescent="0.2">
      <c r="AF99" s="23"/>
    </row>
  </sheetData>
  <mergeCells count="17">
    <mergeCell ref="J2:J3"/>
    <mergeCell ref="K2:K3"/>
    <mergeCell ref="N2:N3"/>
    <mergeCell ref="O2:U2"/>
    <mergeCell ref="Z1:AT1"/>
    <mergeCell ref="Z2:AB2"/>
    <mergeCell ref="AG2:AT2"/>
    <mergeCell ref="A1:W1"/>
    <mergeCell ref="A2:A3"/>
    <mergeCell ref="B2:B3"/>
    <mergeCell ref="D2:D3"/>
    <mergeCell ref="G2:G3"/>
    <mergeCell ref="H2:H3"/>
    <mergeCell ref="I2:I3"/>
    <mergeCell ref="L2:L3"/>
    <mergeCell ref="M2:M3"/>
    <mergeCell ref="F2:F3"/>
  </mergeCells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44A9-6FA5-45B5-B315-4FC04B09C929}">
  <dimension ref="A1:BJ61"/>
  <sheetViews>
    <sheetView zoomScale="85" zoomScaleNormal="85" workbookViewId="0">
      <selection sqref="A1:V1"/>
    </sheetView>
  </sheetViews>
  <sheetFormatPr baseColWidth="10" defaultColWidth="8.83203125" defaultRowHeight="15" x14ac:dyDescent="0.2"/>
  <cols>
    <col min="1" max="1" width="19.6640625" bestFit="1" customWidth="1"/>
    <col min="2" max="2" width="19.83203125" bestFit="1" customWidth="1"/>
    <col min="3" max="3" width="11.6640625" bestFit="1" customWidth="1"/>
    <col min="4" max="4" width="17.83203125" bestFit="1" customWidth="1"/>
    <col min="5" max="5" width="10.5" bestFit="1" customWidth="1"/>
    <col min="6" max="6" width="15.1640625" bestFit="1" customWidth="1"/>
    <col min="7" max="7" width="22.6640625" style="87" customWidth="1"/>
    <col min="8" max="8" width="22.6640625" customWidth="1"/>
    <col min="9" max="9" width="14.5" bestFit="1" customWidth="1"/>
    <col min="10" max="10" width="10" bestFit="1" customWidth="1"/>
    <col min="11" max="11" width="16.5" bestFit="1" customWidth="1"/>
    <col min="12" max="12" width="15.5" style="72" hidden="1" customWidth="1"/>
    <col min="13" max="13" width="24.5" bestFit="1" customWidth="1"/>
    <col min="14" max="14" width="22.5" bestFit="1" customWidth="1"/>
    <col min="15" max="15" width="8.33203125" bestFit="1" customWidth="1"/>
    <col min="16" max="16" width="13.33203125" bestFit="1" customWidth="1"/>
    <col min="22" max="22" width="11.6640625" bestFit="1" customWidth="1"/>
    <col min="29" max="29" width="16.5" bestFit="1" customWidth="1"/>
    <col min="30" max="30" width="16.5" customWidth="1"/>
    <col min="31" max="40" width="9.1640625" style="23"/>
    <col min="41" max="41" width="19.83203125" style="23" bestFit="1" customWidth="1"/>
    <col min="42" max="45" width="9.1640625" style="23"/>
    <col min="46" max="46" width="11.1640625" style="23" bestFit="1" customWidth="1"/>
    <col min="47" max="47" width="22.5" style="23" bestFit="1" customWidth="1"/>
    <col min="48" max="49" width="17.6640625" style="23" bestFit="1" customWidth="1"/>
    <col min="50" max="50" width="9.1640625" style="23"/>
    <col min="51" max="51" width="20.1640625" style="23" bestFit="1" customWidth="1"/>
    <col min="52" max="52" width="15.1640625" style="23" bestFit="1" customWidth="1"/>
    <col min="53" max="54" width="9.1640625" style="23"/>
    <col min="55" max="55" width="49.33203125" style="23" bestFit="1" customWidth="1"/>
    <col min="56" max="56" width="125.5" style="23" bestFit="1" customWidth="1"/>
    <col min="57" max="60" width="9.1640625" style="23"/>
  </cols>
  <sheetData>
    <row r="1" spans="1:60" s="1" customFormat="1" ht="15" customHeight="1" x14ac:dyDescent="0.1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Y1" s="136" t="s">
        <v>1</v>
      </c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20"/>
      <c r="AU1" s="20"/>
      <c r="AV1" s="20"/>
      <c r="AW1" s="20"/>
      <c r="AX1" s="20"/>
      <c r="AY1" s="20"/>
      <c r="AZ1" s="20"/>
      <c r="BA1" s="20"/>
      <c r="BB1" s="3"/>
      <c r="BC1" s="3" t="s">
        <v>2</v>
      </c>
      <c r="BD1" s="3" t="s">
        <v>246</v>
      </c>
      <c r="BE1" s="3"/>
      <c r="BF1" s="3"/>
      <c r="BG1" s="3"/>
      <c r="BH1" s="3"/>
    </row>
    <row r="2" spans="1:60" s="1" customFormat="1" ht="15" customHeight="1" x14ac:dyDescent="0.15">
      <c r="A2" s="133" t="s">
        <v>6</v>
      </c>
      <c r="B2" s="133"/>
      <c r="C2" s="60" t="s">
        <v>171</v>
      </c>
      <c r="D2" s="133" t="s">
        <v>8</v>
      </c>
      <c r="E2" s="133" t="s">
        <v>9</v>
      </c>
      <c r="F2" s="60" t="s">
        <v>9</v>
      </c>
      <c r="G2" s="142" t="s">
        <v>219</v>
      </c>
      <c r="H2" s="133" t="s">
        <v>220</v>
      </c>
      <c r="I2" s="133" t="s">
        <v>11</v>
      </c>
      <c r="J2" s="133" t="s">
        <v>12</v>
      </c>
      <c r="K2" s="133" t="s">
        <v>13</v>
      </c>
      <c r="L2" s="140" t="s">
        <v>16</v>
      </c>
      <c r="M2" s="133" t="s">
        <v>17</v>
      </c>
      <c r="N2" s="133" t="s">
        <v>18</v>
      </c>
      <c r="O2" s="132" t="s">
        <v>19</v>
      </c>
      <c r="P2" s="132"/>
      <c r="Q2" s="132"/>
      <c r="R2" s="132"/>
      <c r="S2" s="132"/>
      <c r="T2" s="132"/>
      <c r="U2" s="132"/>
      <c r="Y2" s="132" t="s">
        <v>218</v>
      </c>
      <c r="Z2" s="132"/>
      <c r="AA2" s="132"/>
      <c r="AE2" s="3"/>
      <c r="AF2" s="139" t="s">
        <v>21</v>
      </c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 t="s">
        <v>241</v>
      </c>
      <c r="BF2" s="3"/>
      <c r="BG2" s="3"/>
      <c r="BH2" s="3"/>
    </row>
    <row r="3" spans="1:60" s="2" customFormat="1" ht="25.5" customHeight="1" x14ac:dyDescent="0.15">
      <c r="A3" s="134"/>
      <c r="B3" s="134"/>
      <c r="C3" s="61" t="s">
        <v>22</v>
      </c>
      <c r="D3" s="134"/>
      <c r="E3" s="134"/>
      <c r="F3" s="61" t="s">
        <v>23</v>
      </c>
      <c r="G3" s="143"/>
      <c r="H3" s="134"/>
      <c r="I3" s="134"/>
      <c r="J3" s="134"/>
      <c r="K3" s="134"/>
      <c r="L3" s="141"/>
      <c r="M3" s="134"/>
      <c r="N3" s="134"/>
      <c r="O3" s="2" t="s">
        <v>27</v>
      </c>
      <c r="P3" s="2" t="s">
        <v>31</v>
      </c>
      <c r="Q3" s="2" t="s">
        <v>39</v>
      </c>
      <c r="R3" s="2" t="s">
        <v>43</v>
      </c>
      <c r="S3" s="2" t="s">
        <v>47</v>
      </c>
      <c r="T3" s="2" t="s">
        <v>51</v>
      </c>
      <c r="U3" s="2" t="s">
        <v>55</v>
      </c>
      <c r="V3" s="2" t="s">
        <v>56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221</v>
      </c>
      <c r="AE3" s="44" t="s">
        <v>66</v>
      </c>
      <c r="AF3" s="25" t="s">
        <v>67</v>
      </c>
      <c r="AG3" s="25" t="s">
        <v>68</v>
      </c>
      <c r="AH3" s="25" t="s">
        <v>69</v>
      </c>
      <c r="AI3" s="24" t="s">
        <v>70</v>
      </c>
      <c r="AJ3" s="21" t="s">
        <v>71</v>
      </c>
      <c r="AK3" s="24" t="s">
        <v>72</v>
      </c>
      <c r="AL3" s="24" t="s">
        <v>73</v>
      </c>
      <c r="AM3" s="21" t="s">
        <v>74</v>
      </c>
      <c r="AN3" s="21" t="s">
        <v>75</v>
      </c>
      <c r="AO3" s="21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  <c r="AX3" s="21" t="s">
        <v>85</v>
      </c>
      <c r="AY3" s="21" t="s">
        <v>86</v>
      </c>
      <c r="AZ3" s="21" t="s">
        <v>87</v>
      </c>
      <c r="BA3" s="21" t="s">
        <v>88</v>
      </c>
      <c r="BB3" s="21"/>
      <c r="BC3" s="21"/>
      <c r="BD3" s="21" t="s">
        <v>89</v>
      </c>
      <c r="BE3" s="21"/>
      <c r="BF3" s="21"/>
      <c r="BG3" s="21"/>
      <c r="BH3" s="21"/>
    </row>
    <row r="4" spans="1:60" s="67" customFormat="1" ht="13" x14ac:dyDescent="0.15">
      <c r="A4" s="67" t="s">
        <v>90</v>
      </c>
      <c r="B4" s="67" t="s">
        <v>100</v>
      </c>
      <c r="C4" s="67" t="s">
        <v>92</v>
      </c>
      <c r="D4" s="67">
        <v>1500</v>
      </c>
      <c r="E4" s="67" t="s">
        <v>93</v>
      </c>
      <c r="F4" s="67">
        <v>0.05</v>
      </c>
      <c r="G4" s="123">
        <f>N4*60</f>
        <v>360</v>
      </c>
      <c r="H4" s="67" t="s">
        <v>92</v>
      </c>
      <c r="I4" s="67">
        <v>600</v>
      </c>
      <c r="J4" s="67" t="s">
        <v>92</v>
      </c>
      <c r="K4" s="67">
        <v>1.5</v>
      </c>
      <c r="L4" s="67">
        <v>24.7</v>
      </c>
      <c r="M4" s="68" t="s">
        <v>92</v>
      </c>
      <c r="N4" s="67">
        <v>6</v>
      </c>
      <c r="O4" s="67">
        <v>3.93</v>
      </c>
      <c r="P4" s="67">
        <v>76.849999999999994</v>
      </c>
      <c r="Q4" s="67">
        <v>0.34</v>
      </c>
      <c r="R4" s="67">
        <v>44.75</v>
      </c>
      <c r="S4" s="67">
        <v>6.31</v>
      </c>
      <c r="T4" s="124">
        <v>1.68</v>
      </c>
      <c r="U4" s="69">
        <v>42.94</v>
      </c>
      <c r="V4" s="67">
        <v>18.47</v>
      </c>
      <c r="W4" s="68">
        <f>Y4+Z4+AA4</f>
        <v>96.2</v>
      </c>
      <c r="X4" s="68">
        <f t="shared" ref="X4:X58" si="0">100-W4</f>
        <v>3.7999999999999972</v>
      </c>
      <c r="Y4" s="68">
        <v>51.9</v>
      </c>
      <c r="Z4" s="68">
        <v>21.5</v>
      </c>
      <c r="AA4" s="68">
        <v>22.8</v>
      </c>
      <c r="AB4" s="68" t="s">
        <v>101</v>
      </c>
      <c r="AC4" s="68">
        <f t="shared" ref="AC4:AC58" si="1">Y4+X4</f>
        <v>55.699999999999996</v>
      </c>
      <c r="AD4" s="68"/>
      <c r="AE4" s="69">
        <f>(AF4+AG4+AH4)</f>
        <v>25.517284</v>
      </c>
      <c r="AF4" s="69">
        <v>0</v>
      </c>
      <c r="AG4" s="69">
        <v>0</v>
      </c>
      <c r="AH4" s="69">
        <f>45.812*0.557</f>
        <v>25.517284</v>
      </c>
      <c r="AI4" s="69">
        <f>25.328*0.557</f>
        <v>14.107696000000001</v>
      </c>
      <c r="AJ4" s="69" t="s">
        <v>92</v>
      </c>
      <c r="AK4" s="69">
        <f>14.946*0.557</f>
        <v>8.3249220000000008</v>
      </c>
      <c r="AL4" s="69">
        <f>3.604*0.557</f>
        <v>2.0074280000000004</v>
      </c>
      <c r="AM4" s="69">
        <f>4.113*0.557</f>
        <v>2.2909410000000006</v>
      </c>
      <c r="AN4" s="69" t="s">
        <v>92</v>
      </c>
      <c r="AO4" s="69">
        <v>0</v>
      </c>
      <c r="AP4" s="69" t="s">
        <v>92</v>
      </c>
      <c r="AQ4" s="69" t="s">
        <v>92</v>
      </c>
      <c r="AR4" s="69" t="s">
        <v>92</v>
      </c>
      <c r="AS4" s="69">
        <f>6.197*0.557</f>
        <v>3.4517290000000003</v>
      </c>
      <c r="AT4" s="69" t="s">
        <v>92</v>
      </c>
      <c r="AU4" s="69" t="s">
        <v>92</v>
      </c>
      <c r="AV4" s="69" t="s">
        <v>92</v>
      </c>
      <c r="AW4" s="69" t="s">
        <v>92</v>
      </c>
      <c r="AX4" s="69" t="s">
        <v>92</v>
      </c>
      <c r="AY4" s="69" t="s">
        <v>92</v>
      </c>
      <c r="AZ4" s="69" t="s">
        <v>92</v>
      </c>
      <c r="BA4" s="69" t="s">
        <v>92</v>
      </c>
      <c r="BB4" s="69"/>
      <c r="BC4" s="69" t="s">
        <v>102</v>
      </c>
      <c r="BD4" s="69"/>
      <c r="BE4" s="69"/>
      <c r="BF4" s="69"/>
      <c r="BG4" s="69"/>
      <c r="BH4" s="69"/>
    </row>
    <row r="5" spans="1:60" s="67" customFormat="1" ht="13" x14ac:dyDescent="0.15">
      <c r="A5" s="67" t="s">
        <v>90</v>
      </c>
      <c r="B5" s="67" t="s">
        <v>100</v>
      </c>
      <c r="C5" s="67" t="s">
        <v>92</v>
      </c>
      <c r="D5" s="67">
        <v>1500</v>
      </c>
      <c r="E5" s="67" t="s">
        <v>93</v>
      </c>
      <c r="F5" s="67">
        <v>0.05</v>
      </c>
      <c r="G5" s="123">
        <f>N5*60</f>
        <v>360</v>
      </c>
      <c r="H5" s="67" t="s">
        <v>92</v>
      </c>
      <c r="I5" s="67">
        <v>700</v>
      </c>
      <c r="J5" s="67" t="s">
        <v>92</v>
      </c>
      <c r="K5" s="67">
        <v>1.5</v>
      </c>
      <c r="L5" s="67">
        <v>24.7</v>
      </c>
      <c r="M5" s="68" t="s">
        <v>92</v>
      </c>
      <c r="N5" s="67">
        <v>6</v>
      </c>
      <c r="O5" s="67">
        <v>3.93</v>
      </c>
      <c r="P5" s="67">
        <v>76.849999999999994</v>
      </c>
      <c r="Q5" s="67">
        <v>0.34</v>
      </c>
      <c r="R5" s="67">
        <v>44.75</v>
      </c>
      <c r="S5" s="67">
        <v>6.31</v>
      </c>
      <c r="T5" s="124">
        <v>1.68</v>
      </c>
      <c r="U5" s="69">
        <v>42.94</v>
      </c>
      <c r="V5" s="67">
        <v>18.47</v>
      </c>
      <c r="W5" s="68">
        <f t="shared" ref="W5:W58" si="2">Y5+Z5+AA5</f>
        <v>95.2</v>
      </c>
      <c r="X5" s="68">
        <f t="shared" si="0"/>
        <v>4.7999999999999972</v>
      </c>
      <c r="Y5" s="68">
        <v>39.4</v>
      </c>
      <c r="Z5" s="68">
        <v>23.6</v>
      </c>
      <c r="AA5" s="68">
        <v>32.200000000000003</v>
      </c>
      <c r="AB5" s="68" t="s">
        <v>101</v>
      </c>
      <c r="AC5" s="68">
        <f t="shared" si="1"/>
        <v>44.199999999999996</v>
      </c>
      <c r="AD5" s="68"/>
      <c r="AE5" s="69">
        <f t="shared" ref="AE5:AE36" si="3">AF5+AG5+AH5</f>
        <v>21.535565999999999</v>
      </c>
      <c r="AF5" s="69">
        <v>0</v>
      </c>
      <c r="AG5" s="69">
        <v>0</v>
      </c>
      <c r="AH5" s="69">
        <f>48.723*AC5/100</f>
        <v>21.535565999999999</v>
      </c>
      <c r="AI5" s="69">
        <f>22.652*AC5/100</f>
        <v>10.012184</v>
      </c>
      <c r="AJ5" s="69" t="s">
        <v>92</v>
      </c>
      <c r="AK5" s="69">
        <f>11.24*0.442</f>
        <v>4.9680800000000005</v>
      </c>
      <c r="AL5" s="69">
        <f>3.306*0.442</f>
        <v>1.461252</v>
      </c>
      <c r="AM5" s="69">
        <f>1.621*(AC5/100)</f>
        <v>0.71648199999999995</v>
      </c>
      <c r="AN5" s="69" t="s">
        <v>92</v>
      </c>
      <c r="AO5" s="69">
        <f>29.852*0.442</f>
        <v>13.194584000000001</v>
      </c>
      <c r="AP5" s="69" t="s">
        <v>92</v>
      </c>
      <c r="AQ5" s="69" t="s">
        <v>92</v>
      </c>
      <c r="AR5" s="69" t="s">
        <v>92</v>
      </c>
      <c r="AS5" s="69">
        <f>10.51*0.442</f>
        <v>4.6454199999999997</v>
      </c>
      <c r="AT5" s="69" t="s">
        <v>92</v>
      </c>
      <c r="AU5" s="69" t="s">
        <v>92</v>
      </c>
      <c r="AV5" s="69" t="s">
        <v>92</v>
      </c>
      <c r="AW5" s="69" t="s">
        <v>92</v>
      </c>
      <c r="AX5" s="69" t="s">
        <v>92</v>
      </c>
      <c r="AY5" s="69" t="s">
        <v>92</v>
      </c>
      <c r="AZ5" s="69" t="s">
        <v>92</v>
      </c>
      <c r="BA5" s="69" t="s">
        <v>92</v>
      </c>
      <c r="BB5" s="69"/>
      <c r="BC5" s="69" t="s">
        <v>103</v>
      </c>
      <c r="BD5" s="69"/>
      <c r="BE5" s="69"/>
      <c r="BF5" s="69"/>
      <c r="BG5" s="69"/>
      <c r="BH5" s="69"/>
    </row>
    <row r="6" spans="1:60" s="67" customFormat="1" ht="13" x14ac:dyDescent="0.15">
      <c r="A6" s="67" t="s">
        <v>90</v>
      </c>
      <c r="B6" s="67" t="s">
        <v>100</v>
      </c>
      <c r="C6" s="67" t="s">
        <v>92</v>
      </c>
      <c r="D6" s="67">
        <v>1500</v>
      </c>
      <c r="E6" s="67" t="s">
        <v>93</v>
      </c>
      <c r="F6" s="67">
        <v>0.05</v>
      </c>
      <c r="G6" s="123">
        <f t="shared" ref="G6:G13" si="4">N6*60</f>
        <v>360</v>
      </c>
      <c r="H6" s="67" t="s">
        <v>92</v>
      </c>
      <c r="I6" s="67">
        <v>750</v>
      </c>
      <c r="J6" s="67" t="s">
        <v>92</v>
      </c>
      <c r="K6" s="67">
        <v>1.5</v>
      </c>
      <c r="L6" s="67">
        <v>24.7</v>
      </c>
      <c r="M6" s="68" t="s">
        <v>92</v>
      </c>
      <c r="N6" s="67">
        <v>6</v>
      </c>
      <c r="O6" s="67">
        <v>3.93</v>
      </c>
      <c r="P6" s="67">
        <v>76.849999999999994</v>
      </c>
      <c r="Q6" s="67">
        <v>0.34</v>
      </c>
      <c r="R6" s="67">
        <v>44.75</v>
      </c>
      <c r="S6" s="67">
        <v>6.31</v>
      </c>
      <c r="T6" s="124">
        <v>1.68</v>
      </c>
      <c r="U6" s="69">
        <v>42.94</v>
      </c>
      <c r="V6" s="67">
        <v>18.47</v>
      </c>
      <c r="W6" s="68">
        <f t="shared" si="2"/>
        <v>93.9</v>
      </c>
      <c r="X6" s="68">
        <f t="shared" si="0"/>
        <v>6.0999999999999943</v>
      </c>
      <c r="Y6" s="68">
        <f>70.9-AA6</f>
        <v>32.400000000000006</v>
      </c>
      <c r="Z6" s="68">
        <v>23</v>
      </c>
      <c r="AA6" s="68">
        <v>38.5</v>
      </c>
      <c r="AB6" s="68" t="s">
        <v>101</v>
      </c>
      <c r="AC6" s="68">
        <f t="shared" si="1"/>
        <v>38.5</v>
      </c>
      <c r="AD6" s="68"/>
      <c r="AE6" s="69">
        <f t="shared" si="3"/>
        <v>18.899650000000001</v>
      </c>
      <c r="AF6" s="69">
        <v>0</v>
      </c>
      <c r="AG6" s="69">
        <v>0</v>
      </c>
      <c r="AH6" s="69">
        <f>49.09*0.385</f>
        <v>18.899650000000001</v>
      </c>
      <c r="AI6" s="69">
        <f>15.425*AC6/100</f>
        <v>5.9386250000000009</v>
      </c>
      <c r="AJ6" s="69" t="s">
        <v>92</v>
      </c>
      <c r="AK6" s="69">
        <f>4.814*AC6/100</f>
        <v>1.8533900000000001</v>
      </c>
      <c r="AL6" s="69">
        <f>0.631*AC6/100</f>
        <v>0.24293500000000001</v>
      </c>
      <c r="AM6" s="69">
        <f>1.864*AC6/100</f>
        <v>0.71764000000000006</v>
      </c>
      <c r="AN6" s="69" t="s">
        <v>92</v>
      </c>
      <c r="AO6" s="69">
        <f>15.62*AC6/100</f>
        <v>6.0137</v>
      </c>
      <c r="AP6" s="69" t="s">
        <v>92</v>
      </c>
      <c r="AQ6" s="69" t="s">
        <v>92</v>
      </c>
      <c r="AR6" s="69" t="s">
        <v>92</v>
      </c>
      <c r="AS6" s="69">
        <f>11.2*AC6/100</f>
        <v>4.3120000000000003</v>
      </c>
      <c r="AT6" s="69" t="s">
        <v>92</v>
      </c>
      <c r="AU6" s="69" t="s">
        <v>92</v>
      </c>
      <c r="AV6" s="69" t="s">
        <v>92</v>
      </c>
      <c r="AW6" s="69" t="s">
        <v>92</v>
      </c>
      <c r="AX6" s="69" t="s">
        <v>92</v>
      </c>
      <c r="AY6" s="69" t="s">
        <v>92</v>
      </c>
      <c r="AZ6" s="69" t="s">
        <v>92</v>
      </c>
      <c r="BA6" s="69" t="s">
        <v>92</v>
      </c>
      <c r="BB6" s="69"/>
      <c r="BC6" s="69" t="s">
        <v>102</v>
      </c>
      <c r="BD6" s="69"/>
      <c r="BE6" s="69"/>
      <c r="BF6" s="69"/>
      <c r="BG6" s="69"/>
      <c r="BH6" s="69"/>
    </row>
    <row r="7" spans="1:60" s="67" customFormat="1" ht="13" x14ac:dyDescent="0.15">
      <c r="A7" s="67" t="s">
        <v>90</v>
      </c>
      <c r="B7" s="67" t="s">
        <v>100</v>
      </c>
      <c r="C7" s="67" t="s">
        <v>92</v>
      </c>
      <c r="D7" s="67">
        <v>1500</v>
      </c>
      <c r="E7" s="67" t="s">
        <v>93</v>
      </c>
      <c r="F7" s="67">
        <v>0.05</v>
      </c>
      <c r="G7" s="123">
        <f t="shared" si="4"/>
        <v>360</v>
      </c>
      <c r="H7" s="67" t="s">
        <v>92</v>
      </c>
      <c r="I7" s="67">
        <v>800</v>
      </c>
      <c r="J7" s="67" t="s">
        <v>92</v>
      </c>
      <c r="K7" s="67">
        <v>1.5</v>
      </c>
      <c r="L7" s="67">
        <v>24.7</v>
      </c>
      <c r="M7" s="68" t="s">
        <v>92</v>
      </c>
      <c r="N7" s="67">
        <v>6</v>
      </c>
      <c r="O7" s="67">
        <v>3.93</v>
      </c>
      <c r="P7" s="67">
        <v>76.849999999999994</v>
      </c>
      <c r="Q7" s="67">
        <v>0.34</v>
      </c>
      <c r="R7" s="67">
        <v>44.75</v>
      </c>
      <c r="S7" s="67">
        <v>6.31</v>
      </c>
      <c r="T7" s="124">
        <v>1.68</v>
      </c>
      <c r="U7" s="69">
        <v>42.94</v>
      </c>
      <c r="V7" s="67">
        <v>18.47</v>
      </c>
      <c r="W7" s="68">
        <f t="shared" si="2"/>
        <v>97</v>
      </c>
      <c r="X7" s="68">
        <f t="shared" si="0"/>
        <v>3</v>
      </c>
      <c r="Y7" s="68">
        <f>74.4-AA7</f>
        <v>28.600000000000009</v>
      </c>
      <c r="Z7" s="68">
        <v>22.6</v>
      </c>
      <c r="AA7" s="68">
        <v>45.8</v>
      </c>
      <c r="AB7" s="68" t="s">
        <v>101</v>
      </c>
      <c r="AC7" s="68">
        <f t="shared" si="1"/>
        <v>31.600000000000009</v>
      </c>
      <c r="AD7" s="68"/>
      <c r="AE7" s="69">
        <f t="shared" si="3"/>
        <v>14.281696000000004</v>
      </c>
      <c r="AF7" s="69">
        <v>0</v>
      </c>
      <c r="AG7" s="69">
        <v>0</v>
      </c>
      <c r="AH7" s="69">
        <f>49.936*Y7/100</f>
        <v>14.281696000000004</v>
      </c>
      <c r="AI7" s="69">
        <f>1.715*Y7/100</f>
        <v>0.49049000000000015</v>
      </c>
      <c r="AJ7" s="69" t="s">
        <v>92</v>
      </c>
      <c r="AK7" s="69">
        <f>1.136*Y7/100</f>
        <v>0.32489600000000007</v>
      </c>
      <c r="AL7" s="69">
        <v>0</v>
      </c>
      <c r="AM7" s="69">
        <v>0</v>
      </c>
      <c r="AN7" s="69" t="s">
        <v>92</v>
      </c>
      <c r="AO7" s="69">
        <f>42.196*Y7/100</f>
        <v>12.068056000000004</v>
      </c>
      <c r="AP7" s="69" t="s">
        <v>92</v>
      </c>
      <c r="AQ7" s="69" t="s">
        <v>92</v>
      </c>
      <c r="AR7" s="69" t="s">
        <v>92</v>
      </c>
      <c r="AS7" s="69">
        <f>2.747*Y7/100</f>
        <v>0.78564200000000017</v>
      </c>
      <c r="AT7" s="69" t="s">
        <v>92</v>
      </c>
      <c r="AU7" s="69" t="s">
        <v>92</v>
      </c>
      <c r="AV7" s="69" t="s">
        <v>92</v>
      </c>
      <c r="AW7" s="69" t="s">
        <v>92</v>
      </c>
      <c r="AX7" s="69" t="s">
        <v>92</v>
      </c>
      <c r="AY7" s="69" t="s">
        <v>92</v>
      </c>
      <c r="AZ7" s="69" t="s">
        <v>92</v>
      </c>
      <c r="BA7" s="69" t="s">
        <v>92</v>
      </c>
      <c r="BB7" s="69"/>
      <c r="BC7" s="69" t="s">
        <v>102</v>
      </c>
      <c r="BD7" s="69" t="s">
        <v>98</v>
      </c>
      <c r="BE7" s="69"/>
      <c r="BF7" s="69"/>
      <c r="BG7" s="69"/>
      <c r="BH7" s="69"/>
    </row>
    <row r="8" spans="1:60" s="67" customFormat="1" ht="13" x14ac:dyDescent="0.15">
      <c r="A8" s="67" t="s">
        <v>90</v>
      </c>
      <c r="B8" s="67" t="s">
        <v>100</v>
      </c>
      <c r="C8" s="67" t="s">
        <v>92</v>
      </c>
      <c r="D8" s="67">
        <v>1500</v>
      </c>
      <c r="E8" s="67" t="s">
        <v>93</v>
      </c>
      <c r="F8" s="67">
        <v>0.05</v>
      </c>
      <c r="G8" s="123">
        <f t="shared" si="4"/>
        <v>360</v>
      </c>
      <c r="H8" s="67" t="s">
        <v>92</v>
      </c>
      <c r="I8" s="67">
        <v>900</v>
      </c>
      <c r="J8" s="67" t="s">
        <v>92</v>
      </c>
      <c r="K8" s="67">
        <v>1.5</v>
      </c>
      <c r="L8" s="67">
        <v>24.7</v>
      </c>
      <c r="M8" s="68" t="s">
        <v>92</v>
      </c>
      <c r="N8" s="67">
        <v>6</v>
      </c>
      <c r="O8" s="67">
        <v>3.93</v>
      </c>
      <c r="P8" s="67">
        <v>76.849999999999994</v>
      </c>
      <c r="Q8" s="67">
        <v>0.34</v>
      </c>
      <c r="R8" s="67">
        <v>44.75</v>
      </c>
      <c r="S8" s="67">
        <v>6.31</v>
      </c>
      <c r="T8" s="124">
        <v>1.68</v>
      </c>
      <c r="U8" s="69">
        <v>42.94</v>
      </c>
      <c r="V8" s="67">
        <v>18.47</v>
      </c>
      <c r="W8" s="68">
        <f t="shared" si="2"/>
        <v>97.7</v>
      </c>
      <c r="X8" s="68">
        <f t="shared" si="0"/>
        <v>2.2999999999999972</v>
      </c>
      <c r="Y8" s="68">
        <f>72.7-AA8</f>
        <v>18</v>
      </c>
      <c r="Z8" s="68">
        <v>25</v>
      </c>
      <c r="AA8" s="68">
        <v>54.7</v>
      </c>
      <c r="AB8" s="68" t="s">
        <v>101</v>
      </c>
      <c r="AC8" s="68">
        <f>Y8+X8</f>
        <v>20.299999999999997</v>
      </c>
      <c r="AD8" s="68"/>
      <c r="AE8" s="69">
        <f t="shared" si="3"/>
        <v>11.331900000000001</v>
      </c>
      <c r="AF8" s="69">
        <v>0</v>
      </c>
      <c r="AG8" s="69">
        <v>0</v>
      </c>
      <c r="AH8" s="69">
        <f>62.955*Y8/100</f>
        <v>11.331900000000001</v>
      </c>
      <c r="AI8" s="69">
        <v>0</v>
      </c>
      <c r="AJ8" s="69" t="s">
        <v>92</v>
      </c>
      <c r="AK8" s="69">
        <v>0</v>
      </c>
      <c r="AL8" s="69">
        <v>0</v>
      </c>
      <c r="AM8" s="69">
        <v>0</v>
      </c>
      <c r="AN8" s="69" t="s">
        <v>92</v>
      </c>
      <c r="AO8" s="69">
        <f>37.046*Y8/100</f>
        <v>6.6682799999999993</v>
      </c>
      <c r="AP8" s="69" t="s">
        <v>92</v>
      </c>
      <c r="AQ8" s="69" t="s">
        <v>92</v>
      </c>
      <c r="AR8" s="69" t="s">
        <v>92</v>
      </c>
      <c r="AS8" s="69">
        <v>0</v>
      </c>
      <c r="AT8" s="69" t="s">
        <v>92</v>
      </c>
      <c r="AU8" s="69" t="s">
        <v>92</v>
      </c>
      <c r="AV8" s="69" t="s">
        <v>92</v>
      </c>
      <c r="AW8" s="69" t="s">
        <v>92</v>
      </c>
      <c r="AX8" s="69" t="s">
        <v>92</v>
      </c>
      <c r="AY8" s="69" t="s">
        <v>92</v>
      </c>
      <c r="AZ8" s="69" t="s">
        <v>92</v>
      </c>
      <c r="BA8" s="69" t="s">
        <v>92</v>
      </c>
      <c r="BB8" s="69"/>
      <c r="BC8" s="69" t="s">
        <v>102</v>
      </c>
      <c r="BD8" s="69"/>
      <c r="BE8" s="69"/>
      <c r="BF8" s="69"/>
      <c r="BG8" s="69"/>
      <c r="BH8" s="69"/>
    </row>
    <row r="9" spans="1:60" s="67" customFormat="1" ht="13" x14ac:dyDescent="0.15">
      <c r="A9" s="67" t="s">
        <v>90</v>
      </c>
      <c r="B9" s="67" t="s">
        <v>100</v>
      </c>
      <c r="C9" s="67" t="s">
        <v>92</v>
      </c>
      <c r="D9" s="67">
        <v>1500</v>
      </c>
      <c r="E9" s="67" t="s">
        <v>93</v>
      </c>
      <c r="F9" s="67">
        <v>0.05</v>
      </c>
      <c r="G9" s="123">
        <f>N9*60</f>
        <v>180</v>
      </c>
      <c r="H9" s="67" t="s">
        <v>92</v>
      </c>
      <c r="I9" s="67">
        <v>600</v>
      </c>
      <c r="J9" s="67" t="s">
        <v>92</v>
      </c>
      <c r="K9" s="67">
        <v>1.5</v>
      </c>
      <c r="L9" s="67">
        <v>49.67</v>
      </c>
      <c r="M9" s="68" t="s">
        <v>92</v>
      </c>
      <c r="N9" s="67">
        <v>3</v>
      </c>
      <c r="O9" s="67">
        <v>3.93</v>
      </c>
      <c r="P9" s="67">
        <v>76.849999999999994</v>
      </c>
      <c r="Q9" s="67">
        <v>0.34</v>
      </c>
      <c r="R9" s="67">
        <v>44.75</v>
      </c>
      <c r="S9" s="67">
        <v>6.31</v>
      </c>
      <c r="T9" s="124">
        <v>1.68</v>
      </c>
      <c r="U9" s="69">
        <v>42.94</v>
      </c>
      <c r="V9" s="67">
        <v>18.47</v>
      </c>
      <c r="W9" s="68">
        <f t="shared" si="2"/>
        <v>91.300000000000011</v>
      </c>
      <c r="X9" s="68">
        <f t="shared" si="0"/>
        <v>8.6999999999999886</v>
      </c>
      <c r="Y9" s="68">
        <f>46.8-AA9</f>
        <v>28.9</v>
      </c>
      <c r="Z9" s="68">
        <v>44.5</v>
      </c>
      <c r="AA9" s="68">
        <v>17.899999999999999</v>
      </c>
      <c r="AB9" s="68" t="s">
        <v>101</v>
      </c>
      <c r="AC9" s="68">
        <f t="shared" si="1"/>
        <v>37.599999999999987</v>
      </c>
      <c r="AD9" s="68"/>
      <c r="AE9" s="69">
        <f t="shared" si="3"/>
        <v>9.3956789999999994</v>
      </c>
      <c r="AF9" s="69">
        <v>0</v>
      </c>
      <c r="AG9" s="69">
        <v>0</v>
      </c>
      <c r="AH9" s="69">
        <f>32.511*Y9/100</f>
        <v>9.3956789999999994</v>
      </c>
      <c r="AI9" s="69">
        <f>20.047*Y9/100</f>
        <v>5.7935829999999999</v>
      </c>
      <c r="AJ9" s="69" t="s">
        <v>92</v>
      </c>
      <c r="AK9" s="69">
        <f>9.809*Y9/100</f>
        <v>2.8348010000000001</v>
      </c>
      <c r="AL9" s="69">
        <v>0</v>
      </c>
      <c r="AM9" s="69">
        <f>2.06*Y9/100</f>
        <v>0.59533999999999998</v>
      </c>
      <c r="AN9" s="69" t="s">
        <v>92</v>
      </c>
      <c r="AO9" s="69">
        <f>2.57*Y9/100</f>
        <v>0.74273</v>
      </c>
      <c r="AP9" s="69" t="s">
        <v>92</v>
      </c>
      <c r="AQ9" s="69" t="s">
        <v>92</v>
      </c>
      <c r="AR9" s="69" t="s">
        <v>92</v>
      </c>
      <c r="AS9" s="69">
        <f>25.8*Y9/100</f>
        <v>7.4561999999999999</v>
      </c>
      <c r="AT9" s="69" t="s">
        <v>92</v>
      </c>
      <c r="AU9" s="69" t="s">
        <v>92</v>
      </c>
      <c r="AV9" s="69" t="s">
        <v>92</v>
      </c>
      <c r="AW9" s="69" t="s">
        <v>92</v>
      </c>
      <c r="AX9" s="69" t="s">
        <v>92</v>
      </c>
      <c r="AY9" s="69" t="s">
        <v>92</v>
      </c>
      <c r="AZ9" s="69" t="s">
        <v>92</v>
      </c>
      <c r="BA9" s="69" t="s">
        <v>92</v>
      </c>
      <c r="BB9" s="69"/>
      <c r="BC9" s="69" t="s">
        <v>102</v>
      </c>
      <c r="BD9" s="69"/>
      <c r="BE9" s="69"/>
      <c r="BF9" s="69"/>
      <c r="BG9" s="69"/>
      <c r="BH9" s="69"/>
    </row>
    <row r="10" spans="1:60" s="67" customFormat="1" ht="13" x14ac:dyDescent="0.15">
      <c r="A10" s="67" t="s">
        <v>90</v>
      </c>
      <c r="B10" s="67" t="s">
        <v>100</v>
      </c>
      <c r="C10" s="67" t="s">
        <v>92</v>
      </c>
      <c r="D10" s="67">
        <v>1500</v>
      </c>
      <c r="E10" s="67" t="s">
        <v>93</v>
      </c>
      <c r="F10" s="67">
        <v>0.05</v>
      </c>
      <c r="G10" s="123">
        <f t="shared" si="4"/>
        <v>240</v>
      </c>
      <c r="H10" s="67" t="s">
        <v>92</v>
      </c>
      <c r="I10" s="67">
        <v>600</v>
      </c>
      <c r="J10" s="67" t="s">
        <v>92</v>
      </c>
      <c r="K10" s="67">
        <v>1.5</v>
      </c>
      <c r="L10" s="68">
        <v>40</v>
      </c>
      <c r="M10" s="68" t="s">
        <v>92</v>
      </c>
      <c r="N10" s="67">
        <v>4</v>
      </c>
      <c r="O10" s="67">
        <v>3.93</v>
      </c>
      <c r="P10" s="67">
        <v>76.849999999999994</v>
      </c>
      <c r="Q10" s="67">
        <v>0.34</v>
      </c>
      <c r="R10" s="67">
        <v>44.75</v>
      </c>
      <c r="S10" s="67">
        <v>6.31</v>
      </c>
      <c r="T10" s="124">
        <v>1.68</v>
      </c>
      <c r="U10" s="69">
        <v>42.94</v>
      </c>
      <c r="V10" s="67">
        <v>18.47</v>
      </c>
      <c r="W10" s="68">
        <f t="shared" si="2"/>
        <v>87.700000000000017</v>
      </c>
      <c r="X10" s="68">
        <f t="shared" si="0"/>
        <v>12.299999999999983</v>
      </c>
      <c r="Y10" s="68">
        <f>44.1-AA10</f>
        <v>30.700000000000003</v>
      </c>
      <c r="Z10" s="68">
        <v>43.6</v>
      </c>
      <c r="AA10" s="68">
        <v>13.4</v>
      </c>
      <c r="AB10" s="68" t="s">
        <v>101</v>
      </c>
      <c r="AC10" s="68">
        <f t="shared" si="1"/>
        <v>42.999999999999986</v>
      </c>
      <c r="AD10" s="68"/>
      <c r="AE10" s="69">
        <v>0</v>
      </c>
      <c r="AF10" s="69" t="s">
        <v>92</v>
      </c>
      <c r="AG10" s="69" t="s">
        <v>92</v>
      </c>
      <c r="AH10" s="69" t="s">
        <v>92</v>
      </c>
      <c r="AI10" s="69" t="s">
        <v>92</v>
      </c>
      <c r="AJ10" s="69" t="s">
        <v>92</v>
      </c>
      <c r="AK10" s="69" t="s">
        <v>92</v>
      </c>
      <c r="AL10" s="69" t="s">
        <v>92</v>
      </c>
      <c r="AM10" s="69" t="s">
        <v>92</v>
      </c>
      <c r="AN10" s="69" t="s">
        <v>92</v>
      </c>
      <c r="AO10" s="69" t="s">
        <v>92</v>
      </c>
      <c r="AP10" s="69" t="s">
        <v>92</v>
      </c>
      <c r="AQ10" s="69" t="s">
        <v>92</v>
      </c>
      <c r="AR10" s="69" t="s">
        <v>92</v>
      </c>
      <c r="AS10" s="69" t="s">
        <v>92</v>
      </c>
      <c r="AT10" s="69" t="s">
        <v>92</v>
      </c>
      <c r="AU10" s="69" t="s">
        <v>92</v>
      </c>
      <c r="AV10" s="69" t="s">
        <v>92</v>
      </c>
      <c r="AW10" s="69" t="s">
        <v>92</v>
      </c>
      <c r="AX10" s="69" t="s">
        <v>92</v>
      </c>
      <c r="AY10" s="69" t="s">
        <v>92</v>
      </c>
      <c r="AZ10" s="69" t="s">
        <v>92</v>
      </c>
      <c r="BA10" s="69" t="s">
        <v>92</v>
      </c>
      <c r="BB10" s="69"/>
      <c r="BC10" s="69" t="s">
        <v>102</v>
      </c>
      <c r="BD10" s="69" t="s">
        <v>104</v>
      </c>
      <c r="BE10" s="69"/>
      <c r="BF10" s="69"/>
      <c r="BG10" s="69"/>
      <c r="BH10" s="69"/>
    </row>
    <row r="11" spans="1:60" s="67" customFormat="1" ht="13" x14ac:dyDescent="0.15">
      <c r="A11" s="67" t="s">
        <v>90</v>
      </c>
      <c r="B11" s="67" t="s">
        <v>100</v>
      </c>
      <c r="C11" s="67" t="s">
        <v>92</v>
      </c>
      <c r="D11" s="67">
        <v>1500</v>
      </c>
      <c r="E11" s="67" t="s">
        <v>93</v>
      </c>
      <c r="F11" s="67">
        <v>0.05</v>
      </c>
      <c r="G11" s="123">
        <f t="shared" si="4"/>
        <v>300</v>
      </c>
      <c r="H11" s="67" t="s">
        <v>92</v>
      </c>
      <c r="I11" s="67">
        <v>600</v>
      </c>
      <c r="J11" s="67" t="s">
        <v>92</v>
      </c>
      <c r="K11" s="67">
        <v>1.5</v>
      </c>
      <c r="L11" s="67">
        <v>32.33</v>
      </c>
      <c r="M11" s="68" t="s">
        <v>92</v>
      </c>
      <c r="N11" s="67">
        <v>5</v>
      </c>
      <c r="O11" s="67">
        <v>3.93</v>
      </c>
      <c r="P11" s="67">
        <v>76.849999999999994</v>
      </c>
      <c r="Q11" s="67">
        <v>0.34</v>
      </c>
      <c r="R11" s="67">
        <v>44.75</v>
      </c>
      <c r="S11" s="67">
        <v>6.31</v>
      </c>
      <c r="T11" s="124">
        <v>1.68</v>
      </c>
      <c r="U11" s="69">
        <v>42.94</v>
      </c>
      <c r="V11" s="67">
        <v>18.47</v>
      </c>
      <c r="W11" s="68">
        <f t="shared" si="2"/>
        <v>88.9</v>
      </c>
      <c r="X11" s="68">
        <f t="shared" si="0"/>
        <v>11.099999999999994</v>
      </c>
      <c r="Y11" s="68">
        <f>50.5-AA11</f>
        <v>32.1</v>
      </c>
      <c r="Z11" s="68">
        <v>38.4</v>
      </c>
      <c r="AA11" s="68">
        <v>18.399999999999999</v>
      </c>
      <c r="AB11" s="68" t="s">
        <v>101</v>
      </c>
      <c r="AC11" s="68">
        <f t="shared" si="1"/>
        <v>43.199999999999996</v>
      </c>
      <c r="AD11" s="68"/>
      <c r="AE11" s="69">
        <v>0</v>
      </c>
      <c r="AF11" s="69" t="s">
        <v>92</v>
      </c>
      <c r="AG11" s="69" t="s">
        <v>92</v>
      </c>
      <c r="AH11" s="69" t="s">
        <v>92</v>
      </c>
      <c r="AI11" s="69" t="s">
        <v>92</v>
      </c>
      <c r="AJ11" s="69" t="s">
        <v>92</v>
      </c>
      <c r="AK11" s="69" t="s">
        <v>92</v>
      </c>
      <c r="AL11" s="69" t="s">
        <v>92</v>
      </c>
      <c r="AM11" s="69" t="s">
        <v>92</v>
      </c>
      <c r="AN11" s="69" t="s">
        <v>92</v>
      </c>
      <c r="AO11" s="69" t="s">
        <v>92</v>
      </c>
      <c r="AP11" s="69" t="s">
        <v>92</v>
      </c>
      <c r="AQ11" s="69" t="s">
        <v>92</v>
      </c>
      <c r="AR11" s="69" t="s">
        <v>92</v>
      </c>
      <c r="AS11" s="69" t="s">
        <v>92</v>
      </c>
      <c r="AT11" s="69" t="s">
        <v>92</v>
      </c>
      <c r="AU11" s="69" t="s">
        <v>92</v>
      </c>
      <c r="AV11" s="69" t="s">
        <v>92</v>
      </c>
      <c r="AW11" s="69" t="s">
        <v>92</v>
      </c>
      <c r="AX11" s="69" t="s">
        <v>92</v>
      </c>
      <c r="AY11" s="69" t="s">
        <v>92</v>
      </c>
      <c r="AZ11" s="69" t="s">
        <v>92</v>
      </c>
      <c r="BA11" s="69" t="s">
        <v>92</v>
      </c>
      <c r="BB11" s="69"/>
      <c r="BC11" s="69" t="s">
        <v>102</v>
      </c>
      <c r="BD11" s="69"/>
      <c r="BE11" s="69"/>
      <c r="BF11" s="69"/>
      <c r="BG11" s="69"/>
      <c r="BH11" s="69"/>
    </row>
    <row r="12" spans="1:60" s="125" customFormat="1" ht="13" x14ac:dyDescent="0.15">
      <c r="A12" s="125" t="s">
        <v>90</v>
      </c>
      <c r="B12" s="125" t="s">
        <v>100</v>
      </c>
      <c r="C12" s="125" t="s">
        <v>92</v>
      </c>
      <c r="D12" s="125">
        <v>1500</v>
      </c>
      <c r="E12" s="125" t="s">
        <v>93</v>
      </c>
      <c r="F12" s="125">
        <v>0.05</v>
      </c>
      <c r="G12" s="123">
        <f t="shared" si="4"/>
        <v>360</v>
      </c>
      <c r="H12" s="67" t="s">
        <v>92</v>
      </c>
      <c r="I12" s="125">
        <v>600</v>
      </c>
      <c r="J12" s="125" t="s">
        <v>92</v>
      </c>
      <c r="K12" s="125">
        <v>1.5</v>
      </c>
      <c r="L12" s="125">
        <v>24.5</v>
      </c>
      <c r="M12" s="126" t="s">
        <v>92</v>
      </c>
      <c r="N12" s="125">
        <v>6</v>
      </c>
      <c r="O12" s="125">
        <v>3.93</v>
      </c>
      <c r="P12" s="125">
        <v>76.849999999999994</v>
      </c>
      <c r="Q12" s="125">
        <v>0.34</v>
      </c>
      <c r="R12" s="125">
        <v>44.75</v>
      </c>
      <c r="S12" s="125">
        <v>6.31</v>
      </c>
      <c r="T12" s="127">
        <v>1.68</v>
      </c>
      <c r="U12" s="128">
        <v>42.94</v>
      </c>
      <c r="V12" s="125">
        <v>18.47</v>
      </c>
      <c r="W12" s="126">
        <f t="shared" si="2"/>
        <v>95.3</v>
      </c>
      <c r="X12" s="126">
        <f t="shared" si="0"/>
        <v>4.7000000000000028</v>
      </c>
      <c r="Y12" s="126">
        <f>74.1-AA12</f>
        <v>51.899999999999991</v>
      </c>
      <c r="Z12" s="126">
        <v>21.2</v>
      </c>
      <c r="AA12" s="126">
        <v>22.2</v>
      </c>
      <c r="AB12" s="126" t="s">
        <v>101</v>
      </c>
      <c r="AC12" s="126">
        <f t="shared" si="1"/>
        <v>56.599999999999994</v>
      </c>
      <c r="AD12" s="126"/>
      <c r="AE12" s="128">
        <f t="shared" si="3"/>
        <v>25.287236999999994</v>
      </c>
      <c r="AF12" s="128">
        <v>0</v>
      </c>
      <c r="AG12" s="128">
        <v>0</v>
      </c>
      <c r="AH12" s="128">
        <f>48.723*Y12/100</f>
        <v>25.287236999999994</v>
      </c>
      <c r="AI12" s="128">
        <f>22.652*Y12/100</f>
        <v>11.756387999999999</v>
      </c>
      <c r="AJ12" s="128" t="s">
        <v>92</v>
      </c>
      <c r="AK12" s="128">
        <f>11.24*Y12/100</f>
        <v>5.8335599999999985</v>
      </c>
      <c r="AL12" s="128">
        <f>3.306*Y12/100</f>
        <v>1.7158139999999997</v>
      </c>
      <c r="AM12" s="128">
        <f>1.621*Y12/100</f>
        <v>0.84129899999999991</v>
      </c>
      <c r="AN12" s="128" t="s">
        <v>92</v>
      </c>
      <c r="AO12" s="128">
        <f>29.852*Y12/100</f>
        <v>15.493187999999998</v>
      </c>
      <c r="AP12" s="128" t="s">
        <v>92</v>
      </c>
      <c r="AQ12" s="128" t="s">
        <v>92</v>
      </c>
      <c r="AR12" s="128" t="s">
        <v>92</v>
      </c>
      <c r="AS12" s="128">
        <f>10.518*Y12/100</f>
        <v>5.4588419999999998</v>
      </c>
      <c r="AT12" s="128" t="s">
        <v>92</v>
      </c>
      <c r="AU12" s="128" t="s">
        <v>92</v>
      </c>
      <c r="AV12" s="128" t="s">
        <v>92</v>
      </c>
      <c r="AW12" s="128" t="s">
        <v>92</v>
      </c>
      <c r="AX12" s="128" t="s">
        <v>92</v>
      </c>
      <c r="AY12" s="128" t="s">
        <v>92</v>
      </c>
      <c r="AZ12" s="128" t="s">
        <v>92</v>
      </c>
      <c r="BA12" s="128" t="s">
        <v>92</v>
      </c>
      <c r="BB12" s="128"/>
      <c r="BC12" s="128" t="s">
        <v>102</v>
      </c>
      <c r="BD12" s="128"/>
      <c r="BE12" s="128"/>
      <c r="BF12" s="128"/>
      <c r="BG12" s="128"/>
      <c r="BH12" s="128"/>
    </row>
    <row r="13" spans="1:60" s="67" customFormat="1" ht="13" x14ac:dyDescent="0.15">
      <c r="A13" s="67" t="s">
        <v>90</v>
      </c>
      <c r="B13" s="67" t="s">
        <v>100</v>
      </c>
      <c r="C13" s="67" t="s">
        <v>92</v>
      </c>
      <c r="D13" s="67">
        <v>1500</v>
      </c>
      <c r="E13" s="67" t="s">
        <v>93</v>
      </c>
      <c r="F13" s="67">
        <v>0.05</v>
      </c>
      <c r="G13" s="123">
        <f t="shared" si="4"/>
        <v>420</v>
      </c>
      <c r="H13" s="67" t="s">
        <v>92</v>
      </c>
      <c r="I13" s="67">
        <v>600</v>
      </c>
      <c r="J13" s="67" t="s">
        <v>92</v>
      </c>
      <c r="K13" s="67">
        <v>1.5</v>
      </c>
      <c r="L13" s="68">
        <v>20</v>
      </c>
      <c r="M13" s="68" t="s">
        <v>92</v>
      </c>
      <c r="N13" s="67">
        <v>7</v>
      </c>
      <c r="O13" s="67">
        <v>3.93</v>
      </c>
      <c r="P13" s="67">
        <v>76.849999999999994</v>
      </c>
      <c r="Q13" s="67">
        <v>0.34</v>
      </c>
      <c r="R13" s="67">
        <v>44.75</v>
      </c>
      <c r="S13" s="67">
        <v>6.31</v>
      </c>
      <c r="T13" s="124">
        <v>1.68</v>
      </c>
      <c r="U13" s="69">
        <v>42.94</v>
      </c>
      <c r="V13" s="67">
        <v>18.47</v>
      </c>
      <c r="W13" s="68">
        <f t="shared" si="2"/>
        <v>91.6</v>
      </c>
      <c r="X13" s="68">
        <f t="shared" si="0"/>
        <v>8.4000000000000057</v>
      </c>
      <c r="Y13" s="68">
        <f>70.8-AA13</f>
        <v>46.5</v>
      </c>
      <c r="Z13" s="68">
        <v>20.8</v>
      </c>
      <c r="AA13" s="68">
        <v>24.3</v>
      </c>
      <c r="AB13" s="68" t="s">
        <v>101</v>
      </c>
      <c r="AC13" s="68">
        <f t="shared" si="1"/>
        <v>54.900000000000006</v>
      </c>
      <c r="AD13" s="68"/>
      <c r="AE13" s="69">
        <v>0</v>
      </c>
      <c r="AF13" s="69" t="s">
        <v>92</v>
      </c>
      <c r="AG13" s="69" t="s">
        <v>92</v>
      </c>
      <c r="AH13" s="69" t="s">
        <v>92</v>
      </c>
      <c r="AI13" s="69" t="s">
        <v>92</v>
      </c>
      <c r="AJ13" s="69" t="s">
        <v>92</v>
      </c>
      <c r="AK13" s="69" t="s">
        <v>92</v>
      </c>
      <c r="AL13" s="69" t="s">
        <v>92</v>
      </c>
      <c r="AM13" s="69" t="s">
        <v>92</v>
      </c>
      <c r="AN13" s="69" t="s">
        <v>92</v>
      </c>
      <c r="AO13" s="69" t="s">
        <v>92</v>
      </c>
      <c r="AP13" s="69" t="s">
        <v>92</v>
      </c>
      <c r="AQ13" s="69" t="s">
        <v>92</v>
      </c>
      <c r="AR13" s="69" t="s">
        <v>92</v>
      </c>
      <c r="AS13" s="69" t="s">
        <v>92</v>
      </c>
      <c r="AT13" s="69" t="s">
        <v>92</v>
      </c>
      <c r="AU13" s="69" t="s">
        <v>92</v>
      </c>
      <c r="AV13" s="69" t="s">
        <v>92</v>
      </c>
      <c r="AW13" s="69" t="s">
        <v>92</v>
      </c>
      <c r="AX13" s="69" t="s">
        <v>92</v>
      </c>
      <c r="AY13" s="69" t="s">
        <v>92</v>
      </c>
      <c r="AZ13" s="69" t="s">
        <v>92</v>
      </c>
      <c r="BA13" s="69" t="s">
        <v>92</v>
      </c>
      <c r="BB13" s="69"/>
      <c r="BC13" s="69" t="s">
        <v>102</v>
      </c>
      <c r="BD13" s="69"/>
      <c r="BE13" s="69"/>
      <c r="BF13" s="69"/>
      <c r="BG13" s="69"/>
      <c r="BH13" s="69"/>
    </row>
    <row r="14" spans="1:60" s="67" customFormat="1" ht="13" hidden="1" x14ac:dyDescent="0.15">
      <c r="A14" s="67" t="s">
        <v>90</v>
      </c>
      <c r="B14" s="67" t="s">
        <v>100</v>
      </c>
      <c r="C14" s="67" t="s">
        <v>92</v>
      </c>
      <c r="D14" s="67">
        <v>72.599999999999994</v>
      </c>
      <c r="E14" s="67" t="s">
        <v>105</v>
      </c>
      <c r="F14" s="67">
        <v>0.18</v>
      </c>
      <c r="G14" s="123">
        <v>1</v>
      </c>
      <c r="H14" s="67" t="s">
        <v>92</v>
      </c>
      <c r="I14" s="67">
        <v>400</v>
      </c>
      <c r="J14" s="67" t="s">
        <v>92</v>
      </c>
      <c r="K14" s="67">
        <v>0.42</v>
      </c>
      <c r="L14" s="67">
        <v>0.1</v>
      </c>
      <c r="M14" s="68" t="s">
        <v>92</v>
      </c>
      <c r="N14" s="67" t="s">
        <v>92</v>
      </c>
      <c r="O14" s="67">
        <v>10.88</v>
      </c>
      <c r="P14" s="67">
        <v>86.46</v>
      </c>
      <c r="Q14" s="67">
        <v>0.68</v>
      </c>
      <c r="R14" s="67">
        <v>46.33</v>
      </c>
      <c r="S14" s="67">
        <v>7.88</v>
      </c>
      <c r="T14" s="124">
        <v>0.56000000000000005</v>
      </c>
      <c r="U14" s="69" t="s">
        <v>222</v>
      </c>
      <c r="V14" s="67" t="s">
        <v>92</v>
      </c>
      <c r="W14" s="68">
        <f t="shared" si="2"/>
        <v>80.8</v>
      </c>
      <c r="X14" s="68">
        <f t="shared" si="0"/>
        <v>19.200000000000003</v>
      </c>
      <c r="Y14" s="68">
        <f>75-Z14</f>
        <v>51.9</v>
      </c>
      <c r="Z14" s="68">
        <v>23.1</v>
      </c>
      <c r="AA14" s="68">
        <v>5.8</v>
      </c>
      <c r="AB14" s="68" t="s">
        <v>101</v>
      </c>
      <c r="AC14" s="68">
        <f t="shared" si="1"/>
        <v>71.099999999999994</v>
      </c>
      <c r="AD14" s="68"/>
      <c r="AE14" s="69">
        <f t="shared" si="3"/>
        <v>18.061199999999999</v>
      </c>
      <c r="AF14" s="69">
        <v>0</v>
      </c>
      <c r="AG14" s="69">
        <v>0</v>
      </c>
      <c r="AH14" s="69">
        <f>34.8*Y14/100</f>
        <v>18.061199999999999</v>
      </c>
      <c r="AI14" s="69">
        <f>(53-34.8)*Y14/100</f>
        <v>9.445800000000002</v>
      </c>
      <c r="AJ14" s="69" t="s">
        <v>92</v>
      </c>
      <c r="AK14" s="69">
        <f>(78.7-73.5)*Y14/100</f>
        <v>2.6988000000000016</v>
      </c>
      <c r="AL14" s="69">
        <f>(92.6-87)*Y14/100</f>
        <v>2.906399999999997</v>
      </c>
      <c r="AM14" s="69">
        <f>(84.4-78.7)*Y14/100</f>
        <v>2.9583000000000017</v>
      </c>
      <c r="AN14" s="69">
        <f>(73.5-64.8)*Y14/100</f>
        <v>4.5153000000000016</v>
      </c>
      <c r="AO14" s="69" t="s">
        <v>92</v>
      </c>
      <c r="AP14" s="69" t="s">
        <v>92</v>
      </c>
      <c r="AQ14" s="69">
        <f>(64.8-53)*Y14/100</f>
        <v>6.1241999999999983</v>
      </c>
      <c r="AR14" s="69" t="s">
        <v>92</v>
      </c>
      <c r="AS14" s="69">
        <f>(87-84.4)*Y14/100</f>
        <v>1.349399999999997</v>
      </c>
      <c r="AT14" s="69" t="s">
        <v>92</v>
      </c>
      <c r="AU14" s="69" t="s">
        <v>92</v>
      </c>
      <c r="AV14" s="69" t="s">
        <v>92</v>
      </c>
      <c r="AW14" s="69" t="s">
        <v>92</v>
      </c>
      <c r="AX14" s="69" t="s">
        <v>92</v>
      </c>
      <c r="AY14" s="69" t="s">
        <v>92</v>
      </c>
      <c r="AZ14" s="69" t="s">
        <v>92</v>
      </c>
      <c r="BA14" s="69">
        <f>(100-92.6)*Y14/100</f>
        <v>3.8406000000000029</v>
      </c>
      <c r="BB14" s="69"/>
      <c r="BC14" s="69" t="s">
        <v>106</v>
      </c>
      <c r="BD14" s="69"/>
      <c r="BE14" s="69"/>
      <c r="BF14" s="69"/>
      <c r="BG14" s="69"/>
      <c r="BH14" s="69"/>
    </row>
    <row r="15" spans="1:60" s="67" customFormat="1" ht="13" hidden="1" x14ac:dyDescent="0.15">
      <c r="A15" s="67" t="s">
        <v>90</v>
      </c>
      <c r="B15" s="67" t="s">
        <v>100</v>
      </c>
      <c r="C15" s="67" t="s">
        <v>92</v>
      </c>
      <c r="D15" s="67">
        <v>72.599999999999994</v>
      </c>
      <c r="E15" s="67" t="s">
        <v>105</v>
      </c>
      <c r="F15" s="67">
        <v>0.18</v>
      </c>
      <c r="G15" s="123">
        <v>1</v>
      </c>
      <c r="H15" s="67" t="s">
        <v>92</v>
      </c>
      <c r="I15" s="67">
        <v>450</v>
      </c>
      <c r="J15" s="67" t="s">
        <v>92</v>
      </c>
      <c r="K15" s="67">
        <v>0.42</v>
      </c>
      <c r="L15" s="67">
        <v>0.1</v>
      </c>
      <c r="M15" s="68" t="s">
        <v>92</v>
      </c>
      <c r="N15" s="67" t="s">
        <v>92</v>
      </c>
      <c r="O15" s="67">
        <v>10.88</v>
      </c>
      <c r="P15" s="67">
        <v>86.46</v>
      </c>
      <c r="Q15" s="67">
        <v>0.68</v>
      </c>
      <c r="R15" s="67">
        <v>46.33</v>
      </c>
      <c r="S15" s="67">
        <v>7.88</v>
      </c>
      <c r="T15" s="124">
        <v>0.56000000000000005</v>
      </c>
      <c r="U15" s="69" t="s">
        <v>223</v>
      </c>
      <c r="V15" s="67" t="s">
        <v>92</v>
      </c>
      <c r="W15" s="68">
        <f t="shared" si="2"/>
        <v>81.100000000000009</v>
      </c>
      <c r="X15" s="68">
        <f t="shared" si="0"/>
        <v>18.899999999999991</v>
      </c>
      <c r="Y15" s="68">
        <f>71.9-Z15</f>
        <v>52.800000000000004</v>
      </c>
      <c r="Z15" s="68">
        <v>19.100000000000001</v>
      </c>
      <c r="AA15" s="68">
        <v>9.1999999999999993</v>
      </c>
      <c r="AB15" s="68" t="s">
        <v>101</v>
      </c>
      <c r="AC15" s="68">
        <f t="shared" si="1"/>
        <v>71.699999999999989</v>
      </c>
      <c r="AD15" s="68"/>
      <c r="AE15" s="69">
        <f>AF15+AG15+AH15</f>
        <v>19.0608</v>
      </c>
      <c r="AF15" s="69">
        <v>0</v>
      </c>
      <c r="AG15" s="69">
        <v>0</v>
      </c>
      <c r="AH15" s="69">
        <f>36.1*Y15/100</f>
        <v>19.0608</v>
      </c>
      <c r="AI15" s="69">
        <f>(51.4-36.1)*Y15/100</f>
        <v>8.0783999999999985</v>
      </c>
      <c r="AJ15" s="69" t="s">
        <v>92</v>
      </c>
      <c r="AK15" s="69">
        <f>(79.2-74)*Y15/100</f>
        <v>2.7456000000000018</v>
      </c>
      <c r="AL15" s="69">
        <f>(93.1-87.9)*Y15/100</f>
        <v>2.7455999999999943</v>
      </c>
      <c r="AM15" s="69">
        <f>(86.1-79.2)*Y15/100</f>
        <v>3.6431999999999958</v>
      </c>
      <c r="AN15" s="69">
        <f>(74-64)*Y15/100</f>
        <v>5.28</v>
      </c>
      <c r="AO15" s="69" t="s">
        <v>92</v>
      </c>
      <c r="AP15" s="69" t="s">
        <v>92</v>
      </c>
      <c r="AQ15" s="69">
        <f>(64-51.4)*Y15/100</f>
        <v>6.6528000000000009</v>
      </c>
      <c r="AR15" s="69" t="s">
        <v>92</v>
      </c>
      <c r="AS15" s="69">
        <f>(87.9-86.1)*Y15/100</f>
        <v>0.95040000000000602</v>
      </c>
      <c r="AT15" s="69" t="s">
        <v>92</v>
      </c>
      <c r="AU15" s="69" t="s">
        <v>92</v>
      </c>
      <c r="AV15" s="69" t="s">
        <v>92</v>
      </c>
      <c r="AW15" s="69" t="s">
        <v>92</v>
      </c>
      <c r="AX15" s="69" t="s">
        <v>92</v>
      </c>
      <c r="AY15" s="69" t="s">
        <v>92</v>
      </c>
      <c r="AZ15" s="69" t="s">
        <v>92</v>
      </c>
      <c r="BA15" s="69">
        <f>(100-93.1)*Y15/100</f>
        <v>3.6432000000000033</v>
      </c>
      <c r="BB15" s="69"/>
      <c r="BC15" s="69" t="s">
        <v>106</v>
      </c>
      <c r="BD15" s="69"/>
      <c r="BE15" s="69"/>
      <c r="BF15" s="69"/>
      <c r="BG15" s="69"/>
      <c r="BH15" s="69"/>
    </row>
    <row r="16" spans="1:60" s="67" customFormat="1" ht="13" hidden="1" x14ac:dyDescent="0.15">
      <c r="A16" s="67" t="s">
        <v>90</v>
      </c>
      <c r="B16" s="67" t="s">
        <v>100</v>
      </c>
      <c r="C16" s="67" t="s">
        <v>92</v>
      </c>
      <c r="D16" s="67">
        <v>72.599999999999994</v>
      </c>
      <c r="E16" s="67" t="s">
        <v>105</v>
      </c>
      <c r="F16" s="67">
        <v>0.18</v>
      </c>
      <c r="G16" s="123">
        <v>1</v>
      </c>
      <c r="H16" s="67" t="s">
        <v>92</v>
      </c>
      <c r="I16" s="67">
        <v>500</v>
      </c>
      <c r="J16" s="67" t="s">
        <v>92</v>
      </c>
      <c r="K16" s="67">
        <v>0.42</v>
      </c>
      <c r="L16" s="67">
        <v>0.1</v>
      </c>
      <c r="M16" s="68" t="s">
        <v>92</v>
      </c>
      <c r="N16" s="67" t="s">
        <v>92</v>
      </c>
      <c r="O16" s="67">
        <v>10.88</v>
      </c>
      <c r="P16" s="67">
        <v>86.46</v>
      </c>
      <c r="Q16" s="67">
        <v>0.68</v>
      </c>
      <c r="R16" s="67">
        <v>46.33</v>
      </c>
      <c r="S16" s="67">
        <v>7.88</v>
      </c>
      <c r="T16" s="124">
        <v>0.56000000000000005</v>
      </c>
      <c r="U16" s="69" t="s">
        <v>224</v>
      </c>
      <c r="V16" s="67" t="s">
        <v>92</v>
      </c>
      <c r="W16" s="68">
        <f t="shared" si="2"/>
        <v>81.3</v>
      </c>
      <c r="X16" s="68">
        <f t="shared" si="0"/>
        <v>18.700000000000003</v>
      </c>
      <c r="Y16" s="68">
        <f>70.5-Z16</f>
        <v>54.7</v>
      </c>
      <c r="Z16" s="68">
        <v>15.8</v>
      </c>
      <c r="AA16" s="68">
        <v>10.8</v>
      </c>
      <c r="AB16" s="68" t="s">
        <v>101</v>
      </c>
      <c r="AC16" s="68">
        <f t="shared" si="1"/>
        <v>73.400000000000006</v>
      </c>
      <c r="AD16" s="68"/>
      <c r="AE16" s="69">
        <f t="shared" si="3"/>
        <v>20.512499999999999</v>
      </c>
      <c r="AF16" s="69">
        <v>0</v>
      </c>
      <c r="AG16" s="69">
        <v>0</v>
      </c>
      <c r="AH16" s="69">
        <f>37.5*Y16/100</f>
        <v>20.512499999999999</v>
      </c>
      <c r="AI16" s="69">
        <f>(51.8-37.5)*Y16/100</f>
        <v>7.8220999999999989</v>
      </c>
      <c r="AJ16" s="69" t="s">
        <v>92</v>
      </c>
      <c r="AK16" s="69">
        <f>(79.2-73.1)*Y16/100</f>
        <v>3.3367000000000049</v>
      </c>
      <c r="AL16" s="69">
        <f>(92.7-88.3)*Y16/100</f>
        <v>2.4068000000000032</v>
      </c>
      <c r="AM16" s="69">
        <f>(86.6-79.2)*Y16/100</f>
        <v>4.0477999999999961</v>
      </c>
      <c r="AN16" s="69">
        <f>(73.1-63.6)*Y16/100</f>
        <v>5.1964999999999968</v>
      </c>
      <c r="AO16" s="69" t="s">
        <v>92</v>
      </c>
      <c r="AP16" s="69" t="s">
        <v>92</v>
      </c>
      <c r="AQ16" s="69">
        <f>(63.6-51.8)*Y16/100</f>
        <v>6.4546000000000028</v>
      </c>
      <c r="AR16" s="69" t="s">
        <v>92</v>
      </c>
      <c r="AS16" s="69">
        <f>(88.3-86.6)*Y16/100</f>
        <v>0.92990000000000161</v>
      </c>
      <c r="AT16" s="69" t="s">
        <v>92</v>
      </c>
      <c r="AU16" s="69" t="s">
        <v>92</v>
      </c>
      <c r="AV16" s="69" t="s">
        <v>92</v>
      </c>
      <c r="AW16" s="69" t="s">
        <v>92</v>
      </c>
      <c r="AX16" s="69" t="s">
        <v>92</v>
      </c>
      <c r="AY16" s="69" t="s">
        <v>92</v>
      </c>
      <c r="AZ16" s="69" t="s">
        <v>92</v>
      </c>
      <c r="BA16" s="69">
        <f>(100-92.6)*Y16/100</f>
        <v>4.0478000000000032</v>
      </c>
      <c r="BB16" s="69"/>
      <c r="BC16" s="69" t="s">
        <v>106</v>
      </c>
      <c r="BD16" s="69"/>
      <c r="BE16" s="69"/>
      <c r="BF16" s="69"/>
      <c r="BG16" s="69"/>
      <c r="BH16" s="69"/>
    </row>
    <row r="17" spans="1:60" s="67" customFormat="1" ht="13" hidden="1" x14ac:dyDescent="0.15">
      <c r="A17" s="67" t="s">
        <v>90</v>
      </c>
      <c r="B17" s="67" t="s">
        <v>100</v>
      </c>
      <c r="C17" s="67" t="s">
        <v>92</v>
      </c>
      <c r="D17" s="67">
        <v>72.599999999999994</v>
      </c>
      <c r="E17" s="67" t="s">
        <v>105</v>
      </c>
      <c r="F17" s="67">
        <v>0.18</v>
      </c>
      <c r="G17" s="123">
        <v>1</v>
      </c>
      <c r="H17" s="67" t="s">
        <v>92</v>
      </c>
      <c r="I17" s="67">
        <v>550</v>
      </c>
      <c r="J17" s="67" t="s">
        <v>92</v>
      </c>
      <c r="K17" s="67">
        <v>0.42</v>
      </c>
      <c r="L17" s="67">
        <v>0.1</v>
      </c>
      <c r="M17" s="68" t="s">
        <v>92</v>
      </c>
      <c r="N17" s="67" t="s">
        <v>92</v>
      </c>
      <c r="O17" s="67">
        <v>10.88</v>
      </c>
      <c r="P17" s="67">
        <v>86.46</v>
      </c>
      <c r="Q17" s="67">
        <v>0.68</v>
      </c>
      <c r="R17" s="67">
        <v>46.33</v>
      </c>
      <c r="S17" s="67">
        <v>7.88</v>
      </c>
      <c r="T17" s="124">
        <v>0.56000000000000005</v>
      </c>
      <c r="U17" s="69" t="s">
        <v>225</v>
      </c>
      <c r="V17" s="67" t="s">
        <v>92</v>
      </c>
      <c r="W17" s="68">
        <f t="shared" si="2"/>
        <v>75.8</v>
      </c>
      <c r="X17" s="68">
        <f t="shared" si="0"/>
        <v>24.200000000000003</v>
      </c>
      <c r="Y17" s="68">
        <f>64.1-Z17</f>
        <v>50.3</v>
      </c>
      <c r="Z17" s="68">
        <v>13.8</v>
      </c>
      <c r="AA17" s="68">
        <v>11.7</v>
      </c>
      <c r="AB17" s="68" t="s">
        <v>101</v>
      </c>
      <c r="AC17" s="68">
        <f t="shared" si="1"/>
        <v>74.5</v>
      </c>
      <c r="AD17" s="68"/>
      <c r="AE17" s="69">
        <f t="shared" si="3"/>
        <v>21.478099999999998</v>
      </c>
      <c r="AF17" s="69">
        <v>0</v>
      </c>
      <c r="AG17" s="69">
        <v>0</v>
      </c>
      <c r="AH17" s="69">
        <f>42.7*Y17/100</f>
        <v>21.478099999999998</v>
      </c>
      <c r="AI17" s="69">
        <f>(56.6-42.7)*Y17/100</f>
        <v>6.991699999999998</v>
      </c>
      <c r="AJ17" s="69" t="s">
        <v>92</v>
      </c>
      <c r="AK17" s="69">
        <f>(81.9-74.9)*Y17/100</f>
        <v>3.5209999999999995</v>
      </c>
      <c r="AL17" s="69">
        <f>(93.6-89.7)*Y17/100</f>
        <v>1.9616999999999956</v>
      </c>
      <c r="AM17" s="69">
        <f>(88.4-81.9)*Y17/100</f>
        <v>3.2694999999999999</v>
      </c>
      <c r="AN17" s="69">
        <f>(74.9-67.1)*Y17/100</f>
        <v>3.9234000000000053</v>
      </c>
      <c r="AO17" s="69" t="s">
        <v>92</v>
      </c>
      <c r="AP17" s="69" t="s">
        <v>92</v>
      </c>
      <c r="AQ17" s="69">
        <f>(67.1-56.6)*Y17/100</f>
        <v>5.2814999999999968</v>
      </c>
      <c r="AR17" s="69" t="s">
        <v>92</v>
      </c>
      <c r="AS17" s="69">
        <f>(89.7-88.4)*Y17/100</f>
        <v>0.65389999999999859</v>
      </c>
      <c r="AT17" s="69" t="s">
        <v>92</v>
      </c>
      <c r="AU17" s="69" t="s">
        <v>92</v>
      </c>
      <c r="AV17" s="69" t="s">
        <v>92</v>
      </c>
      <c r="AW17" s="69" t="s">
        <v>92</v>
      </c>
      <c r="AX17" s="69" t="s">
        <v>92</v>
      </c>
      <c r="AY17" s="69" t="s">
        <v>92</v>
      </c>
      <c r="AZ17" s="69" t="s">
        <v>92</v>
      </c>
      <c r="BA17" s="69">
        <f>(100-92.6)*Y17/100</f>
        <v>3.7222000000000026</v>
      </c>
      <c r="BB17" s="69"/>
      <c r="BC17" s="69" t="s">
        <v>106</v>
      </c>
      <c r="BD17" s="69" t="s">
        <v>107</v>
      </c>
      <c r="BE17" s="69"/>
      <c r="BF17" s="69"/>
      <c r="BG17" s="69"/>
      <c r="BH17" s="69"/>
    </row>
    <row r="18" spans="1:60" s="67" customFormat="1" ht="13" hidden="1" x14ac:dyDescent="0.15">
      <c r="A18" s="67" t="s">
        <v>90</v>
      </c>
      <c r="B18" s="67" t="s">
        <v>100</v>
      </c>
      <c r="C18" s="67" t="s">
        <v>92</v>
      </c>
      <c r="D18" s="67">
        <v>72.599999999999994</v>
      </c>
      <c r="E18" s="67" t="s">
        <v>105</v>
      </c>
      <c r="F18" s="67">
        <v>0.18</v>
      </c>
      <c r="G18" s="123">
        <v>1</v>
      </c>
      <c r="H18" s="67" t="s">
        <v>92</v>
      </c>
      <c r="I18" s="67">
        <v>600</v>
      </c>
      <c r="J18" s="67" t="s">
        <v>92</v>
      </c>
      <c r="K18" s="67">
        <v>0.42</v>
      </c>
      <c r="L18" s="67">
        <v>0.1</v>
      </c>
      <c r="M18" s="68" t="s">
        <v>92</v>
      </c>
      <c r="N18" s="67" t="s">
        <v>92</v>
      </c>
      <c r="O18" s="67">
        <v>10.88</v>
      </c>
      <c r="P18" s="67">
        <v>86.46</v>
      </c>
      <c r="Q18" s="67">
        <v>0.68</v>
      </c>
      <c r="R18" s="67">
        <v>46.33</v>
      </c>
      <c r="S18" s="67">
        <v>7.88</v>
      </c>
      <c r="T18" s="124">
        <v>0.56000000000000005</v>
      </c>
      <c r="U18" s="69" t="s">
        <v>226</v>
      </c>
      <c r="V18" s="67" t="s">
        <v>92</v>
      </c>
      <c r="W18" s="68">
        <f t="shared" si="2"/>
        <v>72.400000000000006</v>
      </c>
      <c r="X18" s="68">
        <f t="shared" si="0"/>
        <v>27.599999999999994</v>
      </c>
      <c r="Y18" s="68">
        <f>57.7-Z18</f>
        <v>46.400000000000006</v>
      </c>
      <c r="Z18" s="68">
        <v>11.3</v>
      </c>
      <c r="AA18" s="68">
        <v>14.7</v>
      </c>
      <c r="AB18" s="68" t="s">
        <v>101</v>
      </c>
      <c r="AC18" s="68">
        <f t="shared" si="1"/>
        <v>74</v>
      </c>
      <c r="AD18" s="68"/>
      <c r="AE18" s="69">
        <f t="shared" si="3"/>
        <v>21.065600000000003</v>
      </c>
      <c r="AF18" s="69">
        <v>0</v>
      </c>
      <c r="AG18" s="69">
        <v>0</v>
      </c>
      <c r="AH18" s="69">
        <f>45.4*Y18/100</f>
        <v>21.065600000000003</v>
      </c>
      <c r="AI18" s="69">
        <f>8*Y18/100</f>
        <v>3.7120000000000006</v>
      </c>
      <c r="AJ18" s="69" t="s">
        <v>92</v>
      </c>
      <c r="AK18" s="69">
        <f>(81.5-75.8)*Y18/100</f>
        <v>2.6448000000000018</v>
      </c>
      <c r="AL18" s="69">
        <f>(92.3-88.9)*Y18/100</f>
        <v>1.5775999999999961</v>
      </c>
      <c r="AM18" s="69">
        <f>(84.1-81.5)*Y18/100</f>
        <v>1.2063999999999975</v>
      </c>
      <c r="AN18" s="69">
        <f>(75.8-68.9)*Y18/100</f>
        <v>3.2015999999999964</v>
      </c>
      <c r="AO18" s="69" t="s">
        <v>92</v>
      </c>
      <c r="AP18" s="69" t="s">
        <v>92</v>
      </c>
      <c r="AQ18" s="69">
        <f>(68.9-59.7)*Y18/100</f>
        <v>4.2688000000000015</v>
      </c>
      <c r="AR18" s="69" t="s">
        <v>92</v>
      </c>
      <c r="AS18" s="69">
        <f>(88.9-84.1)*Y18/100</f>
        <v>2.2272000000000056</v>
      </c>
      <c r="AT18" s="69" t="s">
        <v>92</v>
      </c>
      <c r="AU18" s="69" t="s">
        <v>92</v>
      </c>
      <c r="AV18" s="69" t="s">
        <v>92</v>
      </c>
      <c r="AW18" s="69" t="s">
        <v>92</v>
      </c>
      <c r="AX18" s="69" t="s">
        <v>92</v>
      </c>
      <c r="AY18" s="69" t="s">
        <v>92</v>
      </c>
      <c r="AZ18" s="69" t="s">
        <v>92</v>
      </c>
      <c r="BA18" s="69">
        <f>(100-93.1)*Y18/100</f>
        <v>3.2016000000000031</v>
      </c>
      <c r="BB18" s="69"/>
      <c r="BC18" s="69" t="s">
        <v>106</v>
      </c>
      <c r="BD18" s="69"/>
      <c r="BE18" s="69"/>
      <c r="BF18" s="69"/>
      <c r="BG18" s="69"/>
      <c r="BH18" s="69"/>
    </row>
    <row r="19" spans="1:60" s="67" customFormat="1" ht="13" hidden="1" x14ac:dyDescent="0.15">
      <c r="A19" s="67" t="s">
        <v>90</v>
      </c>
      <c r="B19" s="67" t="s">
        <v>100</v>
      </c>
      <c r="C19" s="67" t="s">
        <v>92</v>
      </c>
      <c r="D19" s="67">
        <v>72.599999999999994</v>
      </c>
      <c r="E19" s="67" t="s">
        <v>108</v>
      </c>
      <c r="F19" s="67">
        <v>0.18</v>
      </c>
      <c r="G19" s="123">
        <v>1</v>
      </c>
      <c r="H19" s="67" t="s">
        <v>92</v>
      </c>
      <c r="I19" s="67">
        <v>400</v>
      </c>
      <c r="J19" s="67" t="s">
        <v>92</v>
      </c>
      <c r="K19" s="67">
        <v>0.42</v>
      </c>
      <c r="L19" s="67">
        <v>0.1</v>
      </c>
      <c r="M19" s="68" t="s">
        <v>92</v>
      </c>
      <c r="N19" s="67" t="s">
        <v>92</v>
      </c>
      <c r="O19" s="67">
        <v>10.88</v>
      </c>
      <c r="P19" s="67">
        <v>86.46</v>
      </c>
      <c r="Q19" s="67">
        <v>0.68</v>
      </c>
      <c r="R19" s="67">
        <v>46.33</v>
      </c>
      <c r="S19" s="67">
        <v>7.88</v>
      </c>
      <c r="T19" s="124">
        <v>0.56000000000000005</v>
      </c>
      <c r="U19" s="69" t="s">
        <v>227</v>
      </c>
      <c r="V19" s="67" t="s">
        <v>92</v>
      </c>
      <c r="W19" s="68">
        <f t="shared" si="2"/>
        <v>80.7</v>
      </c>
      <c r="X19" s="68">
        <f t="shared" si="0"/>
        <v>19.299999999999997</v>
      </c>
      <c r="Y19" s="68">
        <f>74.6-Z19</f>
        <v>51.999999999999993</v>
      </c>
      <c r="Z19" s="68">
        <v>22.6</v>
      </c>
      <c r="AA19" s="68">
        <f>80.7-74.6</f>
        <v>6.1000000000000085</v>
      </c>
      <c r="AB19" s="68" t="s">
        <v>101</v>
      </c>
      <c r="AC19" s="68">
        <f t="shared" si="1"/>
        <v>71.299999999999983</v>
      </c>
      <c r="AD19" s="68"/>
      <c r="AE19" s="69">
        <f t="shared" si="3"/>
        <v>17.315999999999995</v>
      </c>
      <c r="AF19" s="69">
        <v>0</v>
      </c>
      <c r="AG19" s="69">
        <v>0</v>
      </c>
      <c r="AH19" s="69">
        <f>33.3*Y19/100</f>
        <v>17.315999999999995</v>
      </c>
      <c r="AI19" s="69">
        <f>(46.3-33.3)*Y19/100</f>
        <v>6.7599999999999989</v>
      </c>
      <c r="AJ19" s="69" t="s">
        <v>92</v>
      </c>
      <c r="AK19" s="69">
        <f>(75.9-71.6)*Y19/100</f>
        <v>2.2360000000000055</v>
      </c>
      <c r="AL19" s="69">
        <f>(92.9-88.1)*Y19/100</f>
        <v>2.4960000000000058</v>
      </c>
      <c r="AM19" s="69">
        <f>(84.6-75.9)*Y19/100</f>
        <v>4.5239999999999938</v>
      </c>
      <c r="AN19" s="69">
        <f>(71.6-62)*Y19/100</f>
        <v>4.9919999999999964</v>
      </c>
      <c r="AO19" s="69" t="s">
        <v>92</v>
      </c>
      <c r="AP19" s="69" t="s">
        <v>92</v>
      </c>
      <c r="AQ19" s="69">
        <f>(62-46.3)*Y19/100</f>
        <v>8.1640000000000015</v>
      </c>
      <c r="AR19" s="69" t="s">
        <v>92</v>
      </c>
      <c r="AS19" s="69">
        <f>(88.1-84.6)*Y19/100</f>
        <v>1.8199999999999996</v>
      </c>
      <c r="AT19" s="69" t="s">
        <v>92</v>
      </c>
      <c r="AU19" s="69" t="s">
        <v>92</v>
      </c>
      <c r="AV19" s="69" t="s">
        <v>92</v>
      </c>
      <c r="AW19" s="69" t="s">
        <v>92</v>
      </c>
      <c r="AX19" s="69" t="s">
        <v>92</v>
      </c>
      <c r="AY19" s="69" t="s">
        <v>92</v>
      </c>
      <c r="AZ19" s="69" t="s">
        <v>92</v>
      </c>
      <c r="BA19" s="69">
        <f>(100-92.6)*Y19/100</f>
        <v>3.8480000000000025</v>
      </c>
      <c r="BB19" s="69"/>
      <c r="BC19" s="69" t="s">
        <v>106</v>
      </c>
      <c r="BD19" s="120" t="s">
        <v>109</v>
      </c>
      <c r="BE19" s="69"/>
      <c r="BF19" s="69"/>
      <c r="BG19" s="69"/>
      <c r="BH19" s="69"/>
    </row>
    <row r="20" spans="1:60" s="67" customFormat="1" ht="13" hidden="1" x14ac:dyDescent="0.15">
      <c r="A20" s="67" t="s">
        <v>90</v>
      </c>
      <c r="B20" s="67" t="s">
        <v>100</v>
      </c>
      <c r="C20" s="67" t="s">
        <v>92</v>
      </c>
      <c r="D20" s="67">
        <v>72.599999999999994</v>
      </c>
      <c r="E20" s="67" t="s">
        <v>108</v>
      </c>
      <c r="F20" s="67">
        <v>0.18</v>
      </c>
      <c r="G20" s="123">
        <v>1</v>
      </c>
      <c r="H20" s="67" t="s">
        <v>92</v>
      </c>
      <c r="I20" s="67">
        <v>450</v>
      </c>
      <c r="J20" s="67" t="s">
        <v>92</v>
      </c>
      <c r="K20" s="67">
        <v>0.42</v>
      </c>
      <c r="L20" s="67">
        <v>0.1</v>
      </c>
      <c r="M20" s="68" t="s">
        <v>92</v>
      </c>
      <c r="N20" s="67" t="s">
        <v>92</v>
      </c>
      <c r="O20" s="67">
        <v>10.88</v>
      </c>
      <c r="P20" s="67">
        <v>86.46</v>
      </c>
      <c r="Q20" s="67">
        <v>0.68</v>
      </c>
      <c r="R20" s="67">
        <v>46.33</v>
      </c>
      <c r="S20" s="67">
        <v>7.88</v>
      </c>
      <c r="T20" s="124">
        <v>0.56000000000000005</v>
      </c>
      <c r="U20" s="69" t="s">
        <v>228</v>
      </c>
      <c r="V20" s="67" t="s">
        <v>92</v>
      </c>
      <c r="W20" s="68">
        <f t="shared" si="2"/>
        <v>80.900000000000006</v>
      </c>
      <c r="X20" s="68">
        <f t="shared" si="0"/>
        <v>19.099999999999994</v>
      </c>
      <c r="Y20" s="68">
        <f>71.8-Z20</f>
        <v>52.8</v>
      </c>
      <c r="Z20" s="68">
        <v>19</v>
      </c>
      <c r="AA20" s="68">
        <f>80.9-71.8</f>
        <v>9.1000000000000085</v>
      </c>
      <c r="AB20" s="68" t="s">
        <v>101</v>
      </c>
      <c r="AC20" s="68">
        <f t="shared" si="1"/>
        <v>71.899999999999991</v>
      </c>
      <c r="AD20" s="68"/>
      <c r="AE20" s="69">
        <f t="shared" si="3"/>
        <v>19.219199999999997</v>
      </c>
      <c r="AF20" s="69">
        <v>0</v>
      </c>
      <c r="AG20" s="69">
        <v>0</v>
      </c>
      <c r="AH20" s="69">
        <f>36.4*Y20/100</f>
        <v>19.219199999999997</v>
      </c>
      <c r="AI20" s="69">
        <f>(52.5-36.4)*Y20/100</f>
        <v>8.5007999999999999</v>
      </c>
      <c r="AJ20" s="69" t="s">
        <v>92</v>
      </c>
      <c r="AK20" s="69">
        <f>(80.3-70.7)*Y20/100</f>
        <v>5.0687999999999969</v>
      </c>
      <c r="AL20" s="69">
        <f>(91.6-88.1)*Y20/100</f>
        <v>1.8479999999999999</v>
      </c>
      <c r="AM20" s="69">
        <f>(86.8-80.3)*Y20/100</f>
        <v>3.4319999999999999</v>
      </c>
      <c r="AN20" s="69">
        <f>(70.7-64.6)*Y20/100</f>
        <v>3.2208000000000045</v>
      </c>
      <c r="AO20" s="69" t="s">
        <v>92</v>
      </c>
      <c r="AP20" s="69" t="s">
        <v>92</v>
      </c>
      <c r="AQ20" s="69">
        <f>(64.6-52.5)*Y20/100</f>
        <v>6.3887999999999963</v>
      </c>
      <c r="AR20" s="69" t="s">
        <v>92</v>
      </c>
      <c r="AS20" s="69">
        <f>(88.1-86.8)*Y20/100</f>
        <v>0.68639999999999846</v>
      </c>
      <c r="AT20" s="69" t="s">
        <v>92</v>
      </c>
      <c r="AU20" s="69" t="s">
        <v>92</v>
      </c>
      <c r="AV20" s="69" t="s">
        <v>92</v>
      </c>
      <c r="AW20" s="69" t="s">
        <v>92</v>
      </c>
      <c r="AX20" s="69" t="s">
        <v>92</v>
      </c>
      <c r="AY20" s="69" t="s">
        <v>92</v>
      </c>
      <c r="AZ20" s="69" t="s">
        <v>92</v>
      </c>
      <c r="BA20" s="69">
        <f>(100-92.6)*Y20/100</f>
        <v>3.9072000000000027</v>
      </c>
      <c r="BB20" s="69"/>
      <c r="BC20" s="69" t="s">
        <v>106</v>
      </c>
      <c r="BD20" s="69"/>
      <c r="BE20" s="69"/>
      <c r="BF20" s="69"/>
      <c r="BG20" s="69"/>
      <c r="BH20" s="69"/>
    </row>
    <row r="21" spans="1:60" s="67" customFormat="1" ht="13" hidden="1" x14ac:dyDescent="0.15">
      <c r="A21" s="67" t="s">
        <v>90</v>
      </c>
      <c r="B21" s="67" t="s">
        <v>100</v>
      </c>
      <c r="C21" s="67" t="s">
        <v>92</v>
      </c>
      <c r="D21" s="67">
        <v>72.599999999999994</v>
      </c>
      <c r="E21" s="67" t="s">
        <v>108</v>
      </c>
      <c r="F21" s="67">
        <v>0.18</v>
      </c>
      <c r="G21" s="123">
        <v>1</v>
      </c>
      <c r="H21" s="67" t="s">
        <v>92</v>
      </c>
      <c r="I21" s="67">
        <v>500</v>
      </c>
      <c r="J21" s="67" t="s">
        <v>92</v>
      </c>
      <c r="K21" s="67">
        <v>0.42</v>
      </c>
      <c r="L21" s="67">
        <v>0.1</v>
      </c>
      <c r="M21" s="68" t="s">
        <v>92</v>
      </c>
      <c r="N21" s="67" t="s">
        <v>92</v>
      </c>
      <c r="O21" s="67">
        <v>10.88</v>
      </c>
      <c r="P21" s="67">
        <v>86.46</v>
      </c>
      <c r="Q21" s="67">
        <v>0.68</v>
      </c>
      <c r="R21" s="67">
        <v>46.33</v>
      </c>
      <c r="S21" s="67">
        <v>7.88</v>
      </c>
      <c r="T21" s="124">
        <v>0.56000000000000005</v>
      </c>
      <c r="U21" s="69" t="s">
        <v>229</v>
      </c>
      <c r="V21" s="67" t="s">
        <v>92</v>
      </c>
      <c r="W21" s="68">
        <f t="shared" si="2"/>
        <v>79.5</v>
      </c>
      <c r="X21" s="68">
        <f t="shared" si="0"/>
        <v>20.5</v>
      </c>
      <c r="Y21" s="68">
        <f>68.1-Z21</f>
        <v>54.399999999999991</v>
      </c>
      <c r="Z21" s="68">
        <v>13.7</v>
      </c>
      <c r="AA21" s="68">
        <f>79.5-68.1</f>
        <v>11.400000000000006</v>
      </c>
      <c r="AB21" s="68" t="s">
        <v>101</v>
      </c>
      <c r="AC21" s="68">
        <f t="shared" si="1"/>
        <v>74.899999999999991</v>
      </c>
      <c r="AD21" s="68"/>
      <c r="AE21" s="69">
        <f t="shared" si="3"/>
        <v>21.705599999999993</v>
      </c>
      <c r="AF21" s="69">
        <v>0</v>
      </c>
      <c r="AG21" s="69">
        <v>0</v>
      </c>
      <c r="AH21" s="69">
        <f>39.9*Y21/100</f>
        <v>21.705599999999993</v>
      </c>
      <c r="AI21" s="69">
        <f>(55.5-39.9)*Y21/100</f>
        <v>8.4863999999999997</v>
      </c>
      <c r="AJ21" s="69" t="s">
        <v>92</v>
      </c>
      <c r="AK21" s="69">
        <f>(81.6-71.6)*Y21/100</f>
        <v>5.4399999999999986</v>
      </c>
      <c r="AL21" s="69">
        <f>(92.1-89.9)*Y21/100</f>
        <v>1.1967999999999936</v>
      </c>
      <c r="AM21" s="69">
        <f>(87.7-81.6)*Y21/100</f>
        <v>3.3184000000000045</v>
      </c>
      <c r="AN21" s="69">
        <f>(71.6-67.3)*Y21/100</f>
        <v>2.3391999999999982</v>
      </c>
      <c r="AO21" s="69" t="s">
        <v>92</v>
      </c>
      <c r="AP21" s="69" t="s">
        <v>92</v>
      </c>
      <c r="AQ21" s="69">
        <f>(67.3-55.5)*Y21/100</f>
        <v>6.4191999999999974</v>
      </c>
      <c r="AR21" s="69" t="s">
        <v>92</v>
      </c>
      <c r="AS21" s="69">
        <f>(89.9-87.7)*Y21/100</f>
        <v>1.1968000000000014</v>
      </c>
      <c r="AT21" s="69" t="s">
        <v>92</v>
      </c>
      <c r="AU21" s="69" t="s">
        <v>92</v>
      </c>
      <c r="AV21" s="69" t="s">
        <v>92</v>
      </c>
      <c r="AW21" s="69" t="s">
        <v>92</v>
      </c>
      <c r="AX21" s="69" t="s">
        <v>92</v>
      </c>
      <c r="AY21" s="69" t="s">
        <v>92</v>
      </c>
      <c r="AZ21" s="69" t="s">
        <v>92</v>
      </c>
      <c r="BA21" s="69">
        <f>(100-93.1)*Y21/100</f>
        <v>3.7536000000000023</v>
      </c>
      <c r="BB21" s="69"/>
      <c r="BC21" s="69" t="s">
        <v>106</v>
      </c>
      <c r="BD21" s="69"/>
      <c r="BE21" s="69"/>
      <c r="BF21" s="69"/>
      <c r="BG21" s="69"/>
      <c r="BH21" s="69"/>
    </row>
    <row r="22" spans="1:60" s="67" customFormat="1" ht="13" hidden="1" x14ac:dyDescent="0.15">
      <c r="A22" s="67" t="s">
        <v>90</v>
      </c>
      <c r="B22" s="67" t="s">
        <v>100</v>
      </c>
      <c r="C22" s="67" t="s">
        <v>92</v>
      </c>
      <c r="D22" s="67">
        <v>72.599999999999994</v>
      </c>
      <c r="E22" s="67" t="s">
        <v>108</v>
      </c>
      <c r="F22" s="67">
        <v>0.18</v>
      </c>
      <c r="G22" s="123">
        <v>1</v>
      </c>
      <c r="H22" s="67" t="s">
        <v>92</v>
      </c>
      <c r="I22" s="67">
        <v>550</v>
      </c>
      <c r="J22" s="67" t="s">
        <v>92</v>
      </c>
      <c r="K22" s="67">
        <v>0.42</v>
      </c>
      <c r="L22" s="67">
        <v>0.1</v>
      </c>
      <c r="M22" s="68" t="s">
        <v>92</v>
      </c>
      <c r="N22" s="67" t="s">
        <v>92</v>
      </c>
      <c r="O22" s="67">
        <v>10.88</v>
      </c>
      <c r="P22" s="67">
        <v>86.46</v>
      </c>
      <c r="Q22" s="67">
        <v>0.68</v>
      </c>
      <c r="R22" s="67">
        <v>46.33</v>
      </c>
      <c r="S22" s="67">
        <v>7.88</v>
      </c>
      <c r="T22" s="124">
        <v>0.56000000000000005</v>
      </c>
      <c r="U22" s="69" t="s">
        <v>230</v>
      </c>
      <c r="V22" s="67" t="s">
        <v>92</v>
      </c>
      <c r="W22" s="68">
        <f t="shared" si="2"/>
        <v>74.2</v>
      </c>
      <c r="X22" s="68">
        <f t="shared" si="0"/>
        <v>25.799999999999997</v>
      </c>
      <c r="Y22" s="68">
        <f>60.3-Z22</f>
        <v>48.599999999999994</v>
      </c>
      <c r="Z22" s="68">
        <v>11.7</v>
      </c>
      <c r="AA22" s="68">
        <f>74.2-60.3</f>
        <v>13.900000000000006</v>
      </c>
      <c r="AB22" s="68" t="s">
        <v>101</v>
      </c>
      <c r="AC22" s="68">
        <f t="shared" si="1"/>
        <v>74.399999999999991</v>
      </c>
      <c r="AD22" s="68"/>
      <c r="AE22" s="69">
        <f t="shared" si="3"/>
        <v>20.897999999999996</v>
      </c>
      <c r="AF22" s="69">
        <v>0</v>
      </c>
      <c r="AG22" s="69">
        <v>0</v>
      </c>
      <c r="AH22" s="69">
        <f>43*Y22/100</f>
        <v>20.897999999999996</v>
      </c>
      <c r="AI22" s="69">
        <f>(56.9-43)*Y22/100</f>
        <v>6.7553999999999981</v>
      </c>
      <c r="AJ22" s="69" t="s">
        <v>92</v>
      </c>
      <c r="AK22" s="69">
        <f>(83-70.8)*Y22/100</f>
        <v>5.9292000000000007</v>
      </c>
      <c r="AL22" s="69">
        <f>(94.7-92.1)*Y22/100</f>
        <v>1.2636000000000041</v>
      </c>
      <c r="AM22" s="69">
        <f>(89.5-83)*Y22/100</f>
        <v>3.1589999999999998</v>
      </c>
      <c r="AN22" s="69">
        <f>(70.8-66)*Y22/100</f>
        <v>2.3327999999999984</v>
      </c>
      <c r="AO22" s="69" t="s">
        <v>92</v>
      </c>
      <c r="AP22" s="69" t="s">
        <v>92</v>
      </c>
      <c r="AQ22" s="69">
        <f>(66-56.9)*Y22/100</f>
        <v>4.4226000000000001</v>
      </c>
      <c r="AR22" s="69" t="s">
        <v>92</v>
      </c>
      <c r="AS22" s="69">
        <f>(92.1-89.5)*Y22/100</f>
        <v>1.2635999999999972</v>
      </c>
      <c r="AT22" s="69" t="s">
        <v>92</v>
      </c>
      <c r="AU22" s="69" t="s">
        <v>92</v>
      </c>
      <c r="AV22" s="69" t="s">
        <v>92</v>
      </c>
      <c r="AW22" s="69" t="s">
        <v>92</v>
      </c>
      <c r="AX22" s="69" t="s">
        <v>92</v>
      </c>
      <c r="AY22" s="69" t="s">
        <v>92</v>
      </c>
      <c r="AZ22" s="69" t="s">
        <v>92</v>
      </c>
      <c r="BA22" s="69">
        <f>(100-92.6)*Y22/100</f>
        <v>3.5964000000000023</v>
      </c>
      <c r="BB22" s="69"/>
      <c r="BC22" s="69" t="s">
        <v>106</v>
      </c>
      <c r="BD22" s="69"/>
      <c r="BE22" s="69"/>
      <c r="BF22" s="69"/>
      <c r="BG22" s="69"/>
      <c r="BH22" s="69"/>
    </row>
    <row r="23" spans="1:60" s="67" customFormat="1" ht="13" hidden="1" x14ac:dyDescent="0.15">
      <c r="A23" s="67" t="s">
        <v>90</v>
      </c>
      <c r="B23" s="67" t="s">
        <v>100</v>
      </c>
      <c r="C23" s="67" t="s">
        <v>92</v>
      </c>
      <c r="D23" s="67">
        <v>72.599999999999994</v>
      </c>
      <c r="E23" s="67" t="s">
        <v>108</v>
      </c>
      <c r="F23" s="67">
        <v>0.18</v>
      </c>
      <c r="G23" s="123">
        <v>1</v>
      </c>
      <c r="H23" s="67" t="s">
        <v>92</v>
      </c>
      <c r="I23" s="67">
        <v>600</v>
      </c>
      <c r="J23" s="67" t="s">
        <v>92</v>
      </c>
      <c r="K23" s="67">
        <v>0.42</v>
      </c>
      <c r="L23" s="67">
        <v>0.1</v>
      </c>
      <c r="M23" s="68" t="s">
        <v>92</v>
      </c>
      <c r="N23" s="67" t="s">
        <v>92</v>
      </c>
      <c r="O23" s="67">
        <v>10.88</v>
      </c>
      <c r="P23" s="67">
        <v>86.46</v>
      </c>
      <c r="Q23" s="67">
        <v>0.68</v>
      </c>
      <c r="R23" s="67">
        <v>46.33</v>
      </c>
      <c r="S23" s="67">
        <v>7.88</v>
      </c>
      <c r="T23" s="124">
        <v>0.56000000000000005</v>
      </c>
      <c r="U23" s="69" t="s">
        <v>231</v>
      </c>
      <c r="V23" s="67" t="s">
        <v>92</v>
      </c>
      <c r="W23" s="68">
        <f t="shared" si="2"/>
        <v>70.900000000000006</v>
      </c>
      <c r="X23" s="68">
        <f t="shared" si="0"/>
        <v>29.099999999999994</v>
      </c>
      <c r="Y23" s="68">
        <f>54.5-Z23</f>
        <v>45.31</v>
      </c>
      <c r="Z23" s="68">
        <v>9.19</v>
      </c>
      <c r="AA23" s="68">
        <f>70.9-54.5</f>
        <v>16.400000000000006</v>
      </c>
      <c r="AB23" s="68" t="s">
        <v>101</v>
      </c>
      <c r="AC23" s="68">
        <f t="shared" si="1"/>
        <v>74.41</v>
      </c>
      <c r="AD23" s="68"/>
      <c r="AE23" s="69">
        <f t="shared" si="3"/>
        <v>20.661359999999998</v>
      </c>
      <c r="AF23" s="69">
        <v>0</v>
      </c>
      <c r="AG23" s="69">
        <v>0</v>
      </c>
      <c r="AH23" s="69">
        <f>45.6*Y23/100</f>
        <v>20.661359999999998</v>
      </c>
      <c r="AI23" s="69">
        <f>(56.5-45.6)*Y23/100</f>
        <v>4.93879</v>
      </c>
      <c r="AJ23" s="69" t="s">
        <v>92</v>
      </c>
      <c r="AK23" s="69">
        <f>(79.5-71.7)*Y23/100</f>
        <v>3.5341799999999988</v>
      </c>
      <c r="AL23" s="69">
        <f>(94.8-87.8)*Y23/100</f>
        <v>3.1717</v>
      </c>
      <c r="AM23" s="69">
        <f>(85.6-79.5)*Y23/100</f>
        <v>2.7639099999999974</v>
      </c>
      <c r="AN23" s="69">
        <f>(71.7-65.6)*Y23/100</f>
        <v>2.7639100000000041</v>
      </c>
      <c r="AO23" s="69" t="s">
        <v>92</v>
      </c>
      <c r="AP23" s="69" t="s">
        <v>92</v>
      </c>
      <c r="AQ23" s="69">
        <f>(65.6-56.5)*Y23/100</f>
        <v>4.1232099999999976</v>
      </c>
      <c r="AR23" s="69" t="s">
        <v>92</v>
      </c>
      <c r="AS23" s="69">
        <f>(87.8-85.6)*Y23/100</f>
        <v>0.99682000000000126</v>
      </c>
      <c r="AT23" s="69" t="s">
        <v>92</v>
      </c>
      <c r="AU23" s="69" t="s">
        <v>92</v>
      </c>
      <c r="AV23" s="69" t="s">
        <v>92</v>
      </c>
      <c r="AW23" s="69" t="s">
        <v>92</v>
      </c>
      <c r="AX23" s="69" t="s">
        <v>92</v>
      </c>
      <c r="AY23" s="69" t="s">
        <v>92</v>
      </c>
      <c r="AZ23" s="69" t="s">
        <v>92</v>
      </c>
      <c r="BA23" s="69">
        <f>(100-92.6)*Y23/100</f>
        <v>3.3529400000000025</v>
      </c>
      <c r="BB23" s="69"/>
      <c r="BC23" s="69" t="s">
        <v>106</v>
      </c>
      <c r="BD23" s="69"/>
      <c r="BE23" s="69"/>
      <c r="BF23" s="69"/>
      <c r="BG23" s="69"/>
      <c r="BH23" s="69"/>
    </row>
    <row r="24" spans="1:60" s="69" customFormat="1" ht="13" hidden="1" x14ac:dyDescent="0.15">
      <c r="A24" s="69" t="s">
        <v>117</v>
      </c>
      <c r="B24" s="69" t="s">
        <v>100</v>
      </c>
      <c r="C24" s="69" t="s">
        <v>92</v>
      </c>
      <c r="D24" s="69">
        <v>648</v>
      </c>
      <c r="E24" s="69" t="s">
        <v>93</v>
      </c>
      <c r="F24" s="69">
        <v>2</v>
      </c>
      <c r="G24" s="123">
        <v>1</v>
      </c>
      <c r="H24" s="69" t="s">
        <v>92</v>
      </c>
      <c r="I24" s="69">
        <f>673-273</f>
        <v>400</v>
      </c>
      <c r="J24" s="69" t="s">
        <v>92</v>
      </c>
      <c r="K24" s="69">
        <v>0.1</v>
      </c>
      <c r="L24" s="69">
        <v>8.0000000000000002E-3</v>
      </c>
      <c r="M24" s="69" t="s">
        <v>92</v>
      </c>
      <c r="N24" s="69" t="s">
        <v>92</v>
      </c>
      <c r="O24" s="69">
        <v>7.8</v>
      </c>
      <c r="P24" s="69">
        <v>82.5</v>
      </c>
      <c r="Q24" s="69">
        <v>0.4</v>
      </c>
      <c r="R24" s="69">
        <v>50.4</v>
      </c>
      <c r="S24" s="69">
        <v>5.49</v>
      </c>
      <c r="T24" s="69">
        <v>0.02</v>
      </c>
      <c r="U24" s="69">
        <v>44.08</v>
      </c>
      <c r="V24" s="69" t="s">
        <v>92</v>
      </c>
      <c r="W24" s="69">
        <f t="shared" si="2"/>
        <v>97.9</v>
      </c>
      <c r="X24" s="69">
        <f t="shared" si="0"/>
        <v>2.0999999999999943</v>
      </c>
      <c r="Y24" s="69">
        <v>57.6</v>
      </c>
      <c r="Z24" s="69">
        <v>29.4</v>
      </c>
      <c r="AA24" s="69">
        <v>10.9</v>
      </c>
      <c r="AB24" s="69" t="s">
        <v>96</v>
      </c>
      <c r="AC24" s="69">
        <f t="shared" si="1"/>
        <v>59.699999999999996</v>
      </c>
      <c r="AE24" s="69">
        <f t="shared" si="3"/>
        <v>0</v>
      </c>
      <c r="AF24" s="69">
        <v>0</v>
      </c>
      <c r="AG24" s="69">
        <v>0</v>
      </c>
      <c r="AH24" s="69">
        <v>0</v>
      </c>
      <c r="AI24" s="69" t="s">
        <v>92</v>
      </c>
      <c r="AJ24" s="69" t="s">
        <v>92</v>
      </c>
      <c r="AK24" s="69" t="s">
        <v>92</v>
      </c>
      <c r="AL24" s="69" t="s">
        <v>92</v>
      </c>
      <c r="AM24" s="69" t="s">
        <v>92</v>
      </c>
      <c r="AN24" s="69" t="s">
        <v>92</v>
      </c>
      <c r="AO24" s="69" t="s">
        <v>92</v>
      </c>
      <c r="AP24" s="69" t="s">
        <v>92</v>
      </c>
      <c r="AQ24" s="69" t="s">
        <v>92</v>
      </c>
      <c r="AR24" s="69" t="s">
        <v>92</v>
      </c>
      <c r="AS24" s="69" t="s">
        <v>92</v>
      </c>
      <c r="AT24" s="69" t="s">
        <v>92</v>
      </c>
      <c r="AU24" s="69" t="s">
        <v>92</v>
      </c>
      <c r="AV24" s="69" t="s">
        <v>92</v>
      </c>
      <c r="AW24" s="69" t="s">
        <v>92</v>
      </c>
      <c r="AX24" s="69" t="s">
        <v>92</v>
      </c>
      <c r="AY24" s="69" t="s">
        <v>92</v>
      </c>
      <c r="AZ24" s="69" t="s">
        <v>92</v>
      </c>
      <c r="BA24" s="69" t="s">
        <v>92</v>
      </c>
      <c r="BC24" s="69" t="s">
        <v>156</v>
      </c>
    </row>
    <row r="25" spans="1:60" s="69" customFormat="1" ht="13" hidden="1" x14ac:dyDescent="0.15">
      <c r="A25" s="69" t="s">
        <v>117</v>
      </c>
      <c r="B25" s="69" t="s">
        <v>100</v>
      </c>
      <c r="C25" s="69" t="s">
        <v>92</v>
      </c>
      <c r="D25" s="69">
        <v>648</v>
      </c>
      <c r="E25" s="69" t="s">
        <v>93</v>
      </c>
      <c r="F25" s="69">
        <v>2</v>
      </c>
      <c r="G25" s="123">
        <v>1</v>
      </c>
      <c r="H25" s="69" t="s">
        <v>92</v>
      </c>
      <c r="I25" s="69">
        <f>1073-273</f>
        <v>800</v>
      </c>
      <c r="J25" s="69" t="s">
        <v>92</v>
      </c>
      <c r="K25" s="69">
        <v>0.1</v>
      </c>
      <c r="L25" s="69">
        <v>8.0000000000000002E-3</v>
      </c>
      <c r="M25" s="69" t="s">
        <v>92</v>
      </c>
      <c r="N25" s="69" t="s">
        <v>92</v>
      </c>
      <c r="O25" s="69">
        <v>7.8</v>
      </c>
      <c r="P25" s="69">
        <v>82.5</v>
      </c>
      <c r="Q25" s="69">
        <v>0.4</v>
      </c>
      <c r="R25" s="69">
        <v>50.4</v>
      </c>
      <c r="S25" s="69">
        <v>5.49</v>
      </c>
      <c r="T25" s="69">
        <v>0.02</v>
      </c>
      <c r="U25" s="69">
        <v>44.08</v>
      </c>
      <c r="V25" s="69" t="s">
        <v>92</v>
      </c>
      <c r="W25" s="69">
        <f t="shared" si="2"/>
        <v>97.100000000000009</v>
      </c>
      <c r="X25" s="69">
        <f t="shared" si="0"/>
        <v>2.8999999999999915</v>
      </c>
      <c r="Y25" s="69">
        <v>58.2</v>
      </c>
      <c r="Z25" s="69">
        <v>19.7</v>
      </c>
      <c r="AA25" s="69">
        <v>19.2</v>
      </c>
      <c r="AB25" s="69" t="s">
        <v>96</v>
      </c>
      <c r="AC25" s="69">
        <f t="shared" si="1"/>
        <v>61.099999999999994</v>
      </c>
      <c r="AE25" s="69">
        <f t="shared" si="3"/>
        <v>0</v>
      </c>
      <c r="AF25" s="69">
        <v>0</v>
      </c>
      <c r="AG25" s="69">
        <v>0</v>
      </c>
      <c r="AH25" s="69">
        <v>0</v>
      </c>
      <c r="AI25" s="69" t="s">
        <v>92</v>
      </c>
      <c r="AJ25" s="69" t="s">
        <v>92</v>
      </c>
      <c r="AK25" s="69" t="s">
        <v>92</v>
      </c>
      <c r="AL25" s="69" t="s">
        <v>92</v>
      </c>
      <c r="AM25" s="69" t="s">
        <v>92</v>
      </c>
      <c r="AN25" s="69" t="s">
        <v>92</v>
      </c>
      <c r="AO25" s="69" t="s">
        <v>92</v>
      </c>
      <c r="AP25" s="69" t="s">
        <v>92</v>
      </c>
      <c r="AQ25" s="69" t="s">
        <v>92</v>
      </c>
      <c r="AR25" s="69" t="s">
        <v>92</v>
      </c>
      <c r="AS25" s="69" t="s">
        <v>92</v>
      </c>
      <c r="AT25" s="69" t="s">
        <v>92</v>
      </c>
      <c r="AU25" s="69" t="s">
        <v>92</v>
      </c>
      <c r="AV25" s="69" t="s">
        <v>92</v>
      </c>
      <c r="AW25" s="69" t="s">
        <v>92</v>
      </c>
      <c r="AX25" s="69" t="s">
        <v>92</v>
      </c>
      <c r="AY25" s="69" t="s">
        <v>92</v>
      </c>
      <c r="AZ25" s="69" t="s">
        <v>92</v>
      </c>
      <c r="BA25" s="69" t="s">
        <v>92</v>
      </c>
      <c r="BC25" s="69" t="s">
        <v>156</v>
      </c>
    </row>
    <row r="26" spans="1:60" s="69" customFormat="1" ht="13" hidden="1" x14ac:dyDescent="0.15">
      <c r="A26" s="69" t="s">
        <v>117</v>
      </c>
      <c r="B26" s="69" t="s">
        <v>100</v>
      </c>
      <c r="C26" s="69" t="s">
        <v>92</v>
      </c>
      <c r="D26" s="69">
        <v>648</v>
      </c>
      <c r="E26" s="69" t="s">
        <v>93</v>
      </c>
      <c r="F26" s="69">
        <v>2</v>
      </c>
      <c r="G26" s="123">
        <v>1</v>
      </c>
      <c r="H26" s="69" t="s">
        <v>92</v>
      </c>
      <c r="I26" s="69">
        <f>1273-273</f>
        <v>1000</v>
      </c>
      <c r="J26" s="69" t="s">
        <v>92</v>
      </c>
      <c r="K26" s="69">
        <v>0.1</v>
      </c>
      <c r="L26" s="69">
        <v>8.0000000000000002E-3</v>
      </c>
      <c r="M26" s="69" t="s">
        <v>92</v>
      </c>
      <c r="N26" s="69" t="s">
        <v>92</v>
      </c>
      <c r="O26" s="69">
        <v>7.8</v>
      </c>
      <c r="P26" s="69">
        <v>82.5</v>
      </c>
      <c r="Q26" s="69">
        <v>0.4</v>
      </c>
      <c r="R26" s="69">
        <v>50.4</v>
      </c>
      <c r="S26" s="69">
        <v>5.49</v>
      </c>
      <c r="T26" s="69">
        <v>0.02</v>
      </c>
      <c r="U26" s="69">
        <v>44.08</v>
      </c>
      <c r="V26" s="69" t="s">
        <v>92</v>
      </c>
      <c r="W26" s="69">
        <f t="shared" si="2"/>
        <v>97.6</v>
      </c>
      <c r="X26" s="69">
        <f t="shared" si="0"/>
        <v>2.4000000000000057</v>
      </c>
      <c r="Y26" s="69">
        <v>58.4</v>
      </c>
      <c r="Z26" s="69">
        <v>20.2</v>
      </c>
      <c r="AA26" s="69">
        <v>19</v>
      </c>
      <c r="AB26" s="69" t="s">
        <v>96</v>
      </c>
      <c r="AC26" s="69">
        <f t="shared" si="1"/>
        <v>60.800000000000004</v>
      </c>
      <c r="AE26" s="69">
        <f t="shared" si="3"/>
        <v>0</v>
      </c>
      <c r="AF26" s="69">
        <v>0</v>
      </c>
      <c r="AG26" s="69">
        <v>0</v>
      </c>
      <c r="AH26" s="69">
        <v>0</v>
      </c>
      <c r="AI26" s="69" t="s">
        <v>92</v>
      </c>
      <c r="AJ26" s="69" t="s">
        <v>92</v>
      </c>
      <c r="AK26" s="69" t="s">
        <v>92</v>
      </c>
      <c r="AL26" s="69" t="s">
        <v>92</v>
      </c>
      <c r="AM26" s="69" t="s">
        <v>92</v>
      </c>
      <c r="AN26" s="69" t="s">
        <v>92</v>
      </c>
      <c r="AO26" s="69" t="s">
        <v>92</v>
      </c>
      <c r="AP26" s="69" t="s">
        <v>92</v>
      </c>
      <c r="AQ26" s="69" t="s">
        <v>92</v>
      </c>
      <c r="AR26" s="69" t="s">
        <v>92</v>
      </c>
      <c r="AS26" s="69" t="s">
        <v>92</v>
      </c>
      <c r="AT26" s="69" t="s">
        <v>92</v>
      </c>
      <c r="AU26" s="69" t="s">
        <v>92</v>
      </c>
      <c r="AV26" s="69" t="s">
        <v>92</v>
      </c>
      <c r="AW26" s="69" t="s">
        <v>92</v>
      </c>
      <c r="AX26" s="69" t="s">
        <v>92</v>
      </c>
      <c r="AY26" s="69" t="s">
        <v>92</v>
      </c>
      <c r="AZ26" s="69" t="s">
        <v>92</v>
      </c>
      <c r="BA26" s="69" t="s">
        <v>92</v>
      </c>
      <c r="BC26" s="69" t="s">
        <v>156</v>
      </c>
    </row>
    <row r="27" spans="1:60" s="93" customFormat="1" ht="14.25" customHeight="1" x14ac:dyDescent="0.15">
      <c r="A27" s="93" t="s">
        <v>90</v>
      </c>
      <c r="B27" s="93" t="s">
        <v>157</v>
      </c>
      <c r="C27" s="93" t="s">
        <v>92</v>
      </c>
      <c r="D27" s="93">
        <v>282.74</v>
      </c>
      <c r="E27" s="93" t="s">
        <v>93</v>
      </c>
      <c r="F27" s="93" t="s">
        <v>92</v>
      </c>
      <c r="G27" s="107">
        <f>30*60</f>
        <v>1800</v>
      </c>
      <c r="H27" s="93" t="s">
        <v>92</v>
      </c>
      <c r="I27" s="93">
        <v>550</v>
      </c>
      <c r="J27" s="93" t="s">
        <v>92</v>
      </c>
      <c r="K27" s="93">
        <v>0.65</v>
      </c>
      <c r="L27" s="93" t="s">
        <v>92</v>
      </c>
      <c r="M27" s="93" t="s">
        <v>92</v>
      </c>
      <c r="N27" s="93" t="s">
        <v>92</v>
      </c>
      <c r="O27" s="93">
        <v>14.6</v>
      </c>
      <c r="P27" s="93">
        <v>84.91</v>
      </c>
      <c r="Q27" s="93">
        <v>0.49</v>
      </c>
      <c r="R27" s="93">
        <v>49.41</v>
      </c>
      <c r="S27" s="93">
        <v>6.28</v>
      </c>
      <c r="T27" s="93">
        <v>0.24</v>
      </c>
      <c r="U27" s="93">
        <v>44.07</v>
      </c>
      <c r="V27" s="93" t="s">
        <v>92</v>
      </c>
      <c r="W27" s="93">
        <f t="shared" si="2"/>
        <v>100</v>
      </c>
      <c r="X27" s="93">
        <f t="shared" si="0"/>
        <v>0</v>
      </c>
      <c r="Y27" s="93">
        <f>30.3+19.2</f>
        <v>49.5</v>
      </c>
      <c r="Z27" s="93">
        <v>24.9</v>
      </c>
      <c r="AA27" s="93">
        <v>25.6</v>
      </c>
      <c r="AB27" s="93" t="s">
        <v>96</v>
      </c>
      <c r="AC27" s="93">
        <f t="shared" si="1"/>
        <v>49.5</v>
      </c>
      <c r="AD27" s="93">
        <f>SUM(AH27:AM27)</f>
        <v>90</v>
      </c>
      <c r="AE27" s="93">
        <f>AF27+AG27+AH27</f>
        <v>33.299999999999997</v>
      </c>
      <c r="AF27" s="93">
        <v>0</v>
      </c>
      <c r="AG27" s="93">
        <v>0</v>
      </c>
      <c r="AH27" s="93">
        <v>33.299999999999997</v>
      </c>
      <c r="AI27" s="93">
        <v>37.67</v>
      </c>
      <c r="AJ27" s="93">
        <v>5.05</v>
      </c>
      <c r="AK27" s="93">
        <v>6.65</v>
      </c>
      <c r="AL27" s="93">
        <v>2.2599999999999998</v>
      </c>
      <c r="AM27" s="93">
        <v>5.07</v>
      </c>
      <c r="AN27" s="93" t="s">
        <v>92</v>
      </c>
      <c r="AO27" s="93" t="s">
        <v>92</v>
      </c>
      <c r="AP27" s="93" t="s">
        <v>92</v>
      </c>
      <c r="AQ27" s="93" t="s">
        <v>92</v>
      </c>
      <c r="AR27" s="93" t="s">
        <v>92</v>
      </c>
      <c r="AS27" s="93" t="s">
        <v>92</v>
      </c>
      <c r="AT27" s="93" t="s">
        <v>92</v>
      </c>
      <c r="AU27" s="93" t="s">
        <v>92</v>
      </c>
      <c r="AV27" s="93" t="s">
        <v>92</v>
      </c>
      <c r="AW27" s="93" t="s">
        <v>92</v>
      </c>
      <c r="AX27" s="93" t="s">
        <v>92</v>
      </c>
      <c r="AY27" s="93" t="s">
        <v>92</v>
      </c>
      <c r="AZ27" s="93" t="s">
        <v>92</v>
      </c>
      <c r="BA27" s="93" t="s">
        <v>92</v>
      </c>
      <c r="BC27" s="108" t="s">
        <v>158</v>
      </c>
      <c r="BD27" s="109" t="s">
        <v>159</v>
      </c>
    </row>
    <row r="28" spans="1:60" s="85" customFormat="1" ht="13" x14ac:dyDescent="0.15">
      <c r="A28" s="85" t="s">
        <v>90</v>
      </c>
      <c r="B28" s="85" t="s">
        <v>157</v>
      </c>
      <c r="C28" s="85" t="s">
        <v>92</v>
      </c>
      <c r="D28" s="85" t="s">
        <v>92</v>
      </c>
      <c r="E28" s="85" t="s">
        <v>92</v>
      </c>
      <c r="F28" s="85" t="s">
        <v>92</v>
      </c>
      <c r="G28" s="69" t="s">
        <v>92</v>
      </c>
      <c r="H28" s="69" t="s">
        <v>92</v>
      </c>
      <c r="I28" s="85">
        <v>750</v>
      </c>
      <c r="J28" s="85" t="s">
        <v>92</v>
      </c>
      <c r="K28" s="85">
        <v>0.15</v>
      </c>
      <c r="L28" s="85" t="s">
        <v>92</v>
      </c>
      <c r="M28" s="85" t="s">
        <v>92</v>
      </c>
      <c r="N28" s="85" t="s">
        <v>92</v>
      </c>
      <c r="O28" s="85" t="s">
        <v>92</v>
      </c>
      <c r="P28" s="85">
        <v>85.89</v>
      </c>
      <c r="Q28" s="85">
        <v>0.84</v>
      </c>
      <c r="R28" s="85">
        <v>49.37</v>
      </c>
      <c r="S28" s="85">
        <v>6.94</v>
      </c>
      <c r="T28" s="85">
        <v>0.04</v>
      </c>
      <c r="U28" s="85">
        <v>42.8</v>
      </c>
      <c r="V28" s="85" t="s">
        <v>92</v>
      </c>
      <c r="W28" s="85" t="e">
        <f t="shared" si="2"/>
        <v>#VALUE!</v>
      </c>
      <c r="X28" s="85" t="e">
        <f t="shared" si="0"/>
        <v>#VALUE!</v>
      </c>
      <c r="Y28" s="85" t="s">
        <v>92</v>
      </c>
      <c r="Z28" s="85" t="s">
        <v>92</v>
      </c>
      <c r="AA28" s="85" t="s">
        <v>92</v>
      </c>
      <c r="AB28" s="85" t="s">
        <v>96</v>
      </c>
      <c r="AC28" s="85" t="e">
        <f t="shared" si="1"/>
        <v>#VALUE!</v>
      </c>
      <c r="AE28" s="85">
        <f t="shared" si="3"/>
        <v>29.55</v>
      </c>
      <c r="AF28" s="85">
        <v>0</v>
      </c>
      <c r="AG28" s="85">
        <v>0</v>
      </c>
      <c r="AH28" s="85">
        <v>29.55</v>
      </c>
      <c r="AI28" s="85">
        <v>10.55</v>
      </c>
      <c r="AJ28" s="85" t="s">
        <v>92</v>
      </c>
      <c r="AK28" s="85">
        <v>9.16</v>
      </c>
      <c r="AL28" s="85" t="s">
        <v>92</v>
      </c>
      <c r="AM28" s="85" t="s">
        <v>92</v>
      </c>
      <c r="AN28" s="85" t="s">
        <v>92</v>
      </c>
      <c r="AO28" s="85" t="s">
        <v>92</v>
      </c>
      <c r="AP28" s="85" t="s">
        <v>92</v>
      </c>
      <c r="AQ28" s="85" t="s">
        <v>92</v>
      </c>
      <c r="AR28" s="85" t="s">
        <v>92</v>
      </c>
      <c r="AS28" s="85">
        <v>5.69</v>
      </c>
      <c r="AT28" s="85" t="s">
        <v>92</v>
      </c>
      <c r="AU28" s="85" t="s">
        <v>92</v>
      </c>
      <c r="AV28" s="85" t="s">
        <v>92</v>
      </c>
      <c r="AW28" s="85" t="s">
        <v>92</v>
      </c>
      <c r="AX28" s="85" t="s">
        <v>92</v>
      </c>
      <c r="AY28" s="85" t="s">
        <v>92</v>
      </c>
      <c r="AZ28" s="85" t="s">
        <v>92</v>
      </c>
      <c r="BA28" s="85" t="s">
        <v>92</v>
      </c>
      <c r="BC28" s="85" t="s">
        <v>243</v>
      </c>
      <c r="BD28" s="85" t="s">
        <v>244</v>
      </c>
    </row>
    <row r="29" spans="1:60" s="69" customFormat="1" ht="13" x14ac:dyDescent="0.15">
      <c r="A29" s="69" t="s">
        <v>90</v>
      </c>
      <c r="B29" s="69" t="s">
        <v>100</v>
      </c>
      <c r="C29" s="69" t="s">
        <v>92</v>
      </c>
      <c r="D29" s="69" t="s">
        <v>92</v>
      </c>
      <c r="E29" s="69" t="s">
        <v>93</v>
      </c>
      <c r="F29" s="69">
        <v>0.3</v>
      </c>
      <c r="G29" s="123" t="s">
        <v>92</v>
      </c>
      <c r="H29" s="69" t="s">
        <v>92</v>
      </c>
      <c r="I29" s="69">
        <v>400</v>
      </c>
      <c r="J29" s="69" t="s">
        <v>92</v>
      </c>
      <c r="K29" s="69">
        <v>0.65</v>
      </c>
      <c r="L29" s="69" t="s">
        <v>92</v>
      </c>
      <c r="M29" s="69" t="s">
        <v>92</v>
      </c>
      <c r="N29" s="69" t="s">
        <v>92</v>
      </c>
      <c r="O29" s="69">
        <v>9.9600000000000009</v>
      </c>
      <c r="P29" s="69">
        <v>78.75</v>
      </c>
      <c r="Q29" s="69">
        <v>0.81</v>
      </c>
      <c r="R29" s="69">
        <v>50.43</v>
      </c>
      <c r="S29" s="69">
        <v>6.15</v>
      </c>
      <c r="T29" s="69">
        <v>0.12</v>
      </c>
      <c r="U29" s="69">
        <v>42.4</v>
      </c>
      <c r="V29" s="69">
        <v>18.87</v>
      </c>
      <c r="W29" s="69" t="e">
        <f t="shared" si="2"/>
        <v>#VALUE!</v>
      </c>
      <c r="X29" s="69" t="e">
        <f t="shared" si="0"/>
        <v>#VALUE!</v>
      </c>
      <c r="Y29" s="69" t="s">
        <v>92</v>
      </c>
      <c r="Z29" s="69" t="s">
        <v>92</v>
      </c>
      <c r="AA29" s="69" t="s">
        <v>92</v>
      </c>
      <c r="AC29" s="69" t="e">
        <f t="shared" si="1"/>
        <v>#VALUE!</v>
      </c>
      <c r="AD29" s="69">
        <f>SUM(AM29:BA29)</f>
        <v>99.600000000000009</v>
      </c>
      <c r="AE29" s="69" t="s">
        <v>92</v>
      </c>
      <c r="AF29" s="69" t="s">
        <v>92</v>
      </c>
      <c r="AG29" s="69" t="s">
        <v>92</v>
      </c>
      <c r="AH29" s="69" t="s">
        <v>92</v>
      </c>
      <c r="AI29" s="69" t="s">
        <v>92</v>
      </c>
      <c r="AJ29" s="69" t="s">
        <v>92</v>
      </c>
      <c r="AK29" s="69" t="s">
        <v>92</v>
      </c>
      <c r="AL29" s="69" t="s">
        <v>92</v>
      </c>
      <c r="AM29" s="69">
        <v>9.8000000000000007</v>
      </c>
      <c r="AO29" s="69">
        <v>4.8</v>
      </c>
      <c r="AP29" s="69" t="s">
        <v>92</v>
      </c>
      <c r="AQ29" s="69">
        <v>11.9</v>
      </c>
      <c r="AR29" s="69" t="s">
        <v>92</v>
      </c>
      <c r="AS29" s="69">
        <v>5.7</v>
      </c>
      <c r="AT29" s="69" t="s">
        <v>92</v>
      </c>
      <c r="AU29" s="69" t="s">
        <v>92</v>
      </c>
      <c r="AV29" s="69" t="s">
        <v>92</v>
      </c>
      <c r="AW29" s="69" t="s">
        <v>92</v>
      </c>
      <c r="AX29" s="69" t="s">
        <v>92</v>
      </c>
      <c r="AY29" s="69" t="s">
        <v>92</v>
      </c>
      <c r="AZ29" s="69" t="s">
        <v>92</v>
      </c>
      <c r="BA29" s="69">
        <v>67.400000000000006</v>
      </c>
      <c r="BC29" s="69" t="s">
        <v>174</v>
      </c>
      <c r="BD29" s="69" t="s">
        <v>122</v>
      </c>
    </row>
    <row r="30" spans="1:60" s="69" customFormat="1" ht="13" x14ac:dyDescent="0.15">
      <c r="A30" s="69" t="s">
        <v>90</v>
      </c>
      <c r="B30" s="69" t="s">
        <v>100</v>
      </c>
      <c r="C30" s="69" t="s">
        <v>92</v>
      </c>
      <c r="D30" s="69" t="s">
        <v>92</v>
      </c>
      <c r="E30" s="69" t="s">
        <v>93</v>
      </c>
      <c r="F30" s="69">
        <v>0.3</v>
      </c>
      <c r="G30" s="123" t="s">
        <v>92</v>
      </c>
      <c r="H30" s="69" t="s">
        <v>92</v>
      </c>
      <c r="I30" s="69">
        <v>450</v>
      </c>
      <c r="J30" s="69" t="s">
        <v>92</v>
      </c>
      <c r="K30" s="69">
        <v>0.65</v>
      </c>
      <c r="L30" s="69" t="s">
        <v>92</v>
      </c>
      <c r="M30" s="69" t="s">
        <v>92</v>
      </c>
      <c r="N30" s="69" t="s">
        <v>92</v>
      </c>
      <c r="O30" s="69">
        <v>9.9600000000000009</v>
      </c>
      <c r="P30" s="69">
        <v>78.75</v>
      </c>
      <c r="Q30" s="69">
        <v>0.81</v>
      </c>
      <c r="R30" s="69">
        <v>50.43</v>
      </c>
      <c r="S30" s="69">
        <v>6.15</v>
      </c>
      <c r="T30" s="69">
        <v>0.12</v>
      </c>
      <c r="U30" s="69">
        <v>42.4</v>
      </c>
      <c r="V30" s="69">
        <v>18.87</v>
      </c>
      <c r="W30" s="69">
        <f t="shared" si="2"/>
        <v>100</v>
      </c>
      <c r="X30" s="69">
        <f t="shared" si="0"/>
        <v>0</v>
      </c>
      <c r="Y30" s="69">
        <v>60.34</v>
      </c>
      <c r="Z30" s="69">
        <f>79.1-Y30</f>
        <v>18.759999999999991</v>
      </c>
      <c r="AA30" s="69">
        <f>100-79.1</f>
        <v>20.900000000000006</v>
      </c>
      <c r="AB30" s="69" t="s">
        <v>101</v>
      </c>
      <c r="AC30" s="69">
        <f t="shared" si="1"/>
        <v>60.34</v>
      </c>
      <c r="AE30" s="69" t="s">
        <v>92</v>
      </c>
      <c r="AF30" s="69" t="s">
        <v>92</v>
      </c>
      <c r="AG30" s="69" t="s">
        <v>92</v>
      </c>
      <c r="AH30" s="69" t="s">
        <v>92</v>
      </c>
      <c r="AI30" s="69" t="s">
        <v>92</v>
      </c>
      <c r="AJ30" s="69" t="s">
        <v>92</v>
      </c>
      <c r="AK30" s="69" t="s">
        <v>92</v>
      </c>
      <c r="AL30" s="69" t="s">
        <v>92</v>
      </c>
      <c r="AM30" s="69">
        <v>3.8</v>
      </c>
      <c r="AN30" s="69" t="s">
        <v>92</v>
      </c>
      <c r="AO30" s="69">
        <v>5.4</v>
      </c>
      <c r="AP30" s="69" t="s">
        <v>92</v>
      </c>
      <c r="AQ30" s="69">
        <v>19.399999999999999</v>
      </c>
      <c r="AR30" s="69" t="s">
        <v>92</v>
      </c>
      <c r="AS30" s="69">
        <v>17.3</v>
      </c>
      <c r="AT30" s="69" t="s">
        <v>92</v>
      </c>
      <c r="AU30" s="69" t="s">
        <v>92</v>
      </c>
      <c r="AV30" s="69" t="s">
        <v>92</v>
      </c>
      <c r="AW30" s="69" t="s">
        <v>92</v>
      </c>
      <c r="AX30" s="69" t="s">
        <v>92</v>
      </c>
      <c r="AY30" s="69" t="s">
        <v>92</v>
      </c>
      <c r="AZ30" s="69" t="s">
        <v>92</v>
      </c>
      <c r="BA30" s="69">
        <v>53.9</v>
      </c>
      <c r="BC30" s="69" t="s">
        <v>174</v>
      </c>
    </row>
    <row r="31" spans="1:60" s="69" customFormat="1" ht="13" x14ac:dyDescent="0.15">
      <c r="A31" s="69" t="s">
        <v>90</v>
      </c>
      <c r="B31" s="69" t="s">
        <v>100</v>
      </c>
      <c r="C31" s="69" t="s">
        <v>92</v>
      </c>
      <c r="D31" s="69" t="s">
        <v>92</v>
      </c>
      <c r="E31" s="69" t="s">
        <v>93</v>
      </c>
      <c r="F31" s="69">
        <v>0.3</v>
      </c>
      <c r="G31" s="123" t="s">
        <v>92</v>
      </c>
      <c r="H31" s="69" t="s">
        <v>92</v>
      </c>
      <c r="I31" s="69">
        <v>500</v>
      </c>
      <c r="J31" s="69" t="s">
        <v>92</v>
      </c>
      <c r="K31" s="69">
        <v>0.65</v>
      </c>
      <c r="L31" s="69" t="s">
        <v>92</v>
      </c>
      <c r="M31" s="69" t="s">
        <v>92</v>
      </c>
      <c r="N31" s="69" t="s">
        <v>92</v>
      </c>
      <c r="O31" s="69">
        <v>9.9600000000000009</v>
      </c>
      <c r="P31" s="69">
        <v>78.75</v>
      </c>
      <c r="Q31" s="69">
        <v>0.81</v>
      </c>
      <c r="R31" s="69">
        <v>50.43</v>
      </c>
      <c r="S31" s="69">
        <v>6.15</v>
      </c>
      <c r="T31" s="69">
        <v>0.12</v>
      </c>
      <c r="U31" s="69">
        <v>42.4</v>
      </c>
      <c r="V31" s="69">
        <v>18.87</v>
      </c>
      <c r="W31" s="69" t="e">
        <f t="shared" si="2"/>
        <v>#VALUE!</v>
      </c>
      <c r="X31" s="69" t="e">
        <f t="shared" si="0"/>
        <v>#VALUE!</v>
      </c>
      <c r="Y31" s="69" t="s">
        <v>92</v>
      </c>
      <c r="Z31" s="69" t="s">
        <v>92</v>
      </c>
      <c r="AA31" s="69" t="s">
        <v>92</v>
      </c>
      <c r="AC31" s="69" t="e">
        <f t="shared" si="1"/>
        <v>#VALUE!</v>
      </c>
      <c r="AE31" s="69" t="s">
        <v>92</v>
      </c>
      <c r="AF31" s="69" t="s">
        <v>92</v>
      </c>
      <c r="AG31" s="69" t="s">
        <v>92</v>
      </c>
      <c r="AH31" s="69" t="s">
        <v>92</v>
      </c>
      <c r="AI31" s="69" t="s">
        <v>92</v>
      </c>
      <c r="AJ31" s="69" t="s">
        <v>92</v>
      </c>
      <c r="AK31" s="69" t="s">
        <v>92</v>
      </c>
      <c r="AL31" s="69" t="s">
        <v>92</v>
      </c>
      <c r="AM31" s="69">
        <v>6.3</v>
      </c>
      <c r="AN31" s="69" t="s">
        <v>92</v>
      </c>
      <c r="AO31" s="69">
        <v>13.05</v>
      </c>
      <c r="AP31" s="69" t="s">
        <v>92</v>
      </c>
      <c r="AQ31" s="69">
        <v>23.9</v>
      </c>
      <c r="AR31" s="69" t="s">
        <v>92</v>
      </c>
      <c r="AS31" s="69">
        <v>15.6</v>
      </c>
      <c r="AT31" s="69" t="s">
        <v>92</v>
      </c>
      <c r="AU31" s="69" t="s">
        <v>92</v>
      </c>
      <c r="AV31" s="69" t="s">
        <v>92</v>
      </c>
      <c r="AW31" s="69" t="s">
        <v>92</v>
      </c>
      <c r="AX31" s="69" t="s">
        <v>92</v>
      </c>
      <c r="AY31" s="69" t="s">
        <v>92</v>
      </c>
      <c r="AZ31" s="69" t="s">
        <v>92</v>
      </c>
      <c r="BA31" s="69">
        <v>41.2</v>
      </c>
      <c r="BC31" s="69" t="s">
        <v>174</v>
      </c>
      <c r="BD31" s="69" t="s">
        <v>175</v>
      </c>
    </row>
    <row r="32" spans="1:60" s="69" customFormat="1" ht="13" x14ac:dyDescent="0.15">
      <c r="A32" s="69" t="s">
        <v>90</v>
      </c>
      <c r="B32" s="69" t="s">
        <v>100</v>
      </c>
      <c r="C32" s="69" t="s">
        <v>92</v>
      </c>
      <c r="D32" s="69" t="s">
        <v>92</v>
      </c>
      <c r="E32" s="69" t="s">
        <v>93</v>
      </c>
      <c r="F32" s="69">
        <v>0.3</v>
      </c>
      <c r="G32" s="123" t="s">
        <v>92</v>
      </c>
      <c r="H32" s="69" t="s">
        <v>92</v>
      </c>
      <c r="I32" s="69">
        <v>550</v>
      </c>
      <c r="J32" s="69" t="s">
        <v>92</v>
      </c>
      <c r="K32" s="69">
        <v>0.65</v>
      </c>
      <c r="L32" s="69" t="s">
        <v>92</v>
      </c>
      <c r="M32" s="69" t="s">
        <v>92</v>
      </c>
      <c r="N32" s="69" t="s">
        <v>92</v>
      </c>
      <c r="O32" s="69">
        <v>9.9600000000000009</v>
      </c>
      <c r="P32" s="69">
        <v>78.75</v>
      </c>
      <c r="Q32" s="69">
        <v>0.81</v>
      </c>
      <c r="R32" s="69">
        <v>50.43</v>
      </c>
      <c r="S32" s="69">
        <v>6.15</v>
      </c>
      <c r="T32" s="69">
        <v>0.12</v>
      </c>
      <c r="U32" s="69">
        <v>42.4</v>
      </c>
      <c r="V32" s="69">
        <v>18.87</v>
      </c>
      <c r="W32" s="69" t="e">
        <f t="shared" si="2"/>
        <v>#VALUE!</v>
      </c>
      <c r="X32" s="69" t="e">
        <f t="shared" si="0"/>
        <v>#VALUE!</v>
      </c>
      <c r="Y32" s="69" t="s">
        <v>92</v>
      </c>
      <c r="Z32" s="69" t="s">
        <v>92</v>
      </c>
      <c r="AA32" s="69" t="s">
        <v>92</v>
      </c>
      <c r="AC32" s="69" t="e">
        <f t="shared" si="1"/>
        <v>#VALUE!</v>
      </c>
      <c r="AE32" s="69" t="s">
        <v>92</v>
      </c>
      <c r="AF32" s="69" t="s">
        <v>92</v>
      </c>
      <c r="AG32" s="69" t="s">
        <v>92</v>
      </c>
      <c r="AH32" s="69" t="s">
        <v>92</v>
      </c>
      <c r="AI32" s="69" t="s">
        <v>92</v>
      </c>
      <c r="AJ32" s="69" t="s">
        <v>92</v>
      </c>
      <c r="AK32" s="69" t="s">
        <v>92</v>
      </c>
      <c r="AL32" s="69" t="s">
        <v>92</v>
      </c>
      <c r="AM32" s="69">
        <v>1.1599999999999999</v>
      </c>
      <c r="AN32" s="69" t="s">
        <v>92</v>
      </c>
      <c r="AO32" s="69">
        <v>31.9</v>
      </c>
      <c r="AP32" s="69" t="s">
        <v>92</v>
      </c>
      <c r="AQ32" s="69">
        <v>30.8</v>
      </c>
      <c r="AR32" s="69" t="s">
        <v>92</v>
      </c>
      <c r="AS32" s="69">
        <v>11.9</v>
      </c>
      <c r="AT32" s="69" t="s">
        <v>92</v>
      </c>
      <c r="AU32" s="69" t="s">
        <v>92</v>
      </c>
      <c r="AV32" s="69" t="s">
        <v>92</v>
      </c>
      <c r="AW32" s="69" t="s">
        <v>92</v>
      </c>
      <c r="AX32" s="69" t="s">
        <v>92</v>
      </c>
      <c r="AY32" s="69" t="s">
        <v>92</v>
      </c>
      <c r="AZ32" s="69" t="s">
        <v>92</v>
      </c>
      <c r="BA32" s="69">
        <v>26.4</v>
      </c>
      <c r="BC32" s="69" t="s">
        <v>174</v>
      </c>
    </row>
    <row r="33" spans="1:60" s="69" customFormat="1" ht="13" x14ac:dyDescent="0.15">
      <c r="A33" s="69" t="s">
        <v>90</v>
      </c>
      <c r="B33" s="69" t="s">
        <v>100</v>
      </c>
      <c r="C33" s="69" t="s">
        <v>92</v>
      </c>
      <c r="D33" s="69" t="s">
        <v>92</v>
      </c>
      <c r="E33" s="69" t="s">
        <v>93</v>
      </c>
      <c r="F33" s="69">
        <v>0.3</v>
      </c>
      <c r="G33" s="123" t="s">
        <v>92</v>
      </c>
      <c r="H33" s="69" t="s">
        <v>92</v>
      </c>
      <c r="I33" s="69">
        <v>600</v>
      </c>
      <c r="J33" s="69" t="s">
        <v>92</v>
      </c>
      <c r="K33" s="69">
        <v>0.65</v>
      </c>
      <c r="L33" s="69" t="s">
        <v>92</v>
      </c>
      <c r="M33" s="69" t="s">
        <v>92</v>
      </c>
      <c r="N33" s="69" t="s">
        <v>92</v>
      </c>
      <c r="O33" s="69">
        <v>9.9600000000000009</v>
      </c>
      <c r="P33" s="69">
        <v>78.75</v>
      </c>
      <c r="Q33" s="69">
        <v>0.81</v>
      </c>
      <c r="R33" s="69">
        <v>50.43</v>
      </c>
      <c r="S33" s="69">
        <v>6.15</v>
      </c>
      <c r="T33" s="69">
        <v>0.12</v>
      </c>
      <c r="U33" s="69">
        <v>42.4</v>
      </c>
      <c r="V33" s="69">
        <v>18.87</v>
      </c>
      <c r="W33" s="69" t="e">
        <f t="shared" si="2"/>
        <v>#VALUE!</v>
      </c>
      <c r="X33" s="69" t="e">
        <f t="shared" si="0"/>
        <v>#VALUE!</v>
      </c>
      <c r="Y33" s="69" t="s">
        <v>92</v>
      </c>
      <c r="Z33" s="69" t="s">
        <v>92</v>
      </c>
      <c r="AA33" s="69" t="s">
        <v>92</v>
      </c>
      <c r="AC33" s="69" t="e">
        <f t="shared" si="1"/>
        <v>#VALUE!</v>
      </c>
      <c r="AE33" s="69" t="s">
        <v>92</v>
      </c>
      <c r="AF33" s="69" t="s">
        <v>92</v>
      </c>
      <c r="AG33" s="69" t="s">
        <v>92</v>
      </c>
      <c r="AH33" s="69" t="s">
        <v>92</v>
      </c>
      <c r="AI33" s="69" t="s">
        <v>92</v>
      </c>
      <c r="AJ33" s="69" t="s">
        <v>92</v>
      </c>
      <c r="AK33" s="69" t="s">
        <v>92</v>
      </c>
      <c r="AL33" s="69" t="s">
        <v>92</v>
      </c>
      <c r="AM33" s="69">
        <v>1.2</v>
      </c>
      <c r="AN33" s="69" t="s">
        <v>92</v>
      </c>
      <c r="AO33" s="69">
        <v>54.2</v>
      </c>
      <c r="AP33" s="69" t="s">
        <v>92</v>
      </c>
      <c r="AQ33" s="69">
        <v>29.9</v>
      </c>
      <c r="AR33" s="69" t="s">
        <v>92</v>
      </c>
      <c r="AS33" s="69">
        <v>8.4</v>
      </c>
      <c r="AT33" s="69" t="s">
        <v>92</v>
      </c>
      <c r="AU33" s="69" t="s">
        <v>92</v>
      </c>
      <c r="AV33" s="69" t="s">
        <v>92</v>
      </c>
      <c r="AW33" s="69" t="s">
        <v>92</v>
      </c>
      <c r="AX33" s="69" t="s">
        <v>92</v>
      </c>
      <c r="AY33" s="69" t="s">
        <v>92</v>
      </c>
      <c r="AZ33" s="69" t="s">
        <v>92</v>
      </c>
      <c r="BA33" s="69">
        <v>7.7</v>
      </c>
      <c r="BC33" s="69" t="s">
        <v>174</v>
      </c>
    </row>
    <row r="34" spans="1:60" s="112" customFormat="1" x14ac:dyDescent="0.2">
      <c r="A34" s="98" t="s">
        <v>90</v>
      </c>
      <c r="B34" s="98" t="s">
        <v>124</v>
      </c>
      <c r="C34" s="98" t="s">
        <v>92</v>
      </c>
      <c r="D34" s="98" t="s">
        <v>92</v>
      </c>
      <c r="E34" s="98" t="s">
        <v>93</v>
      </c>
      <c r="F34" s="98">
        <v>0.1</v>
      </c>
      <c r="G34" s="110">
        <f>40*60</f>
        <v>2400</v>
      </c>
      <c r="H34" s="97" t="s">
        <v>92</v>
      </c>
      <c r="I34" s="98">
        <v>400</v>
      </c>
      <c r="J34" s="98" t="s">
        <v>92</v>
      </c>
      <c r="K34" s="98">
        <v>0.125</v>
      </c>
      <c r="L34" s="98" t="s">
        <v>92</v>
      </c>
      <c r="M34" s="111" t="s">
        <v>92</v>
      </c>
      <c r="N34" s="98" t="s">
        <v>92</v>
      </c>
      <c r="O34" s="98">
        <v>9.4700000000000006</v>
      </c>
      <c r="P34" s="98">
        <v>72.510000000000005</v>
      </c>
      <c r="Q34" s="98">
        <v>1.69</v>
      </c>
      <c r="R34" s="98">
        <v>46.49</v>
      </c>
      <c r="S34" s="98">
        <v>6.22</v>
      </c>
      <c r="T34" s="98">
        <v>0.13</v>
      </c>
      <c r="U34" s="98">
        <v>45.46</v>
      </c>
      <c r="V34" s="98" t="s">
        <v>92</v>
      </c>
      <c r="W34" s="111">
        <f t="shared" si="2"/>
        <v>100</v>
      </c>
      <c r="X34" s="111">
        <f t="shared" si="0"/>
        <v>0</v>
      </c>
      <c r="Y34" s="98">
        <v>36.97</v>
      </c>
      <c r="Z34" s="98">
        <v>28.44</v>
      </c>
      <c r="AA34" s="98">
        <v>34.590000000000003</v>
      </c>
      <c r="AB34" s="111" t="s">
        <v>96</v>
      </c>
      <c r="AC34" s="111">
        <f t="shared" si="1"/>
        <v>36.97</v>
      </c>
      <c r="AE34" s="111">
        <f t="shared" si="3"/>
        <v>8.6879500000000007</v>
      </c>
      <c r="AF34" s="98">
        <f>(42.7-30.7)*Y34/100</f>
        <v>4.4364000000000008</v>
      </c>
      <c r="AG34" s="98">
        <v>0</v>
      </c>
      <c r="AH34" s="98">
        <f>11.5*Y34/100</f>
        <v>4.2515499999999999</v>
      </c>
      <c r="AI34" s="98" t="s">
        <v>92</v>
      </c>
      <c r="AJ34" s="98">
        <f>12.88*Y34/100</f>
        <v>4.761736</v>
      </c>
      <c r="AK34" s="98">
        <f>(77.2-57.3)*Y34/100</f>
        <v>7.3570300000000017</v>
      </c>
      <c r="AL34" s="98">
        <f>(57.3-48.3)*Y34/100</f>
        <v>3.3273000000000001</v>
      </c>
      <c r="AM34" s="98">
        <f>(94-77.2)*Y34/100</f>
        <v>6.2109599999999991</v>
      </c>
      <c r="AN34" s="98" t="s">
        <v>92</v>
      </c>
      <c r="AO34" s="98">
        <f>(44.4-42.7)*Y34/100</f>
        <v>0.62848999999999844</v>
      </c>
      <c r="AP34" s="98" t="s">
        <v>92</v>
      </c>
      <c r="AQ34" s="98">
        <f>(48.3-45.8)*Y34/100</f>
        <v>0.92425000000000002</v>
      </c>
      <c r="AR34" s="98" t="s">
        <v>92</v>
      </c>
      <c r="AS34" s="98">
        <f>(45.8-44.4)*Y34/100</f>
        <v>0.51757999999999948</v>
      </c>
      <c r="AT34" s="97" t="s">
        <v>92</v>
      </c>
      <c r="AU34" s="98">
        <f>6.32*Y34/100</f>
        <v>2.3365039999999997</v>
      </c>
      <c r="AV34" s="97" t="s">
        <v>92</v>
      </c>
      <c r="AW34" s="97" t="s">
        <v>92</v>
      </c>
      <c r="AX34" s="97" t="s">
        <v>92</v>
      </c>
      <c r="AY34" s="97" t="s">
        <v>92</v>
      </c>
      <c r="AZ34" s="97" t="s">
        <v>92</v>
      </c>
      <c r="BA34" s="98">
        <f>(100-94)*Y34/100</f>
        <v>2.2181999999999999</v>
      </c>
      <c r="BB34" s="98"/>
      <c r="BC34" s="98" t="s">
        <v>126</v>
      </c>
      <c r="BD34" s="98" t="s">
        <v>122</v>
      </c>
      <c r="BE34" s="113"/>
      <c r="BF34" s="113"/>
      <c r="BG34" s="113"/>
      <c r="BH34" s="113"/>
    </row>
    <row r="35" spans="1:60" s="112" customFormat="1" x14ac:dyDescent="0.2">
      <c r="A35" s="98" t="s">
        <v>90</v>
      </c>
      <c r="B35" s="98" t="s">
        <v>124</v>
      </c>
      <c r="C35" s="98" t="s">
        <v>92</v>
      </c>
      <c r="D35" s="98" t="s">
        <v>92</v>
      </c>
      <c r="E35" s="98" t="s">
        <v>93</v>
      </c>
      <c r="F35" s="98">
        <v>0.1</v>
      </c>
      <c r="G35" s="110">
        <f>40*60</f>
        <v>2400</v>
      </c>
      <c r="H35" s="97" t="s">
        <v>92</v>
      </c>
      <c r="I35" s="98">
        <v>600</v>
      </c>
      <c r="J35" s="98" t="s">
        <v>92</v>
      </c>
      <c r="K35" s="98" t="s">
        <v>125</v>
      </c>
      <c r="L35" s="98" t="s">
        <v>92</v>
      </c>
      <c r="M35" s="111" t="s">
        <v>92</v>
      </c>
      <c r="N35" s="98" t="s">
        <v>92</v>
      </c>
      <c r="O35" s="98">
        <v>9.4700000000000006</v>
      </c>
      <c r="P35" s="98">
        <v>72.510000000000005</v>
      </c>
      <c r="Q35" s="98">
        <v>1.69</v>
      </c>
      <c r="R35" s="98">
        <v>46.49</v>
      </c>
      <c r="S35" s="98">
        <v>6.22</v>
      </c>
      <c r="T35" s="98">
        <v>0.13</v>
      </c>
      <c r="U35" s="98">
        <v>45.46</v>
      </c>
      <c r="V35" s="98" t="s">
        <v>92</v>
      </c>
      <c r="W35" s="111">
        <f t="shared" si="2"/>
        <v>99.97</v>
      </c>
      <c r="X35" s="111">
        <f t="shared" si="0"/>
        <v>3.0000000000001137E-2</v>
      </c>
      <c r="Y35" s="98">
        <v>27.09</v>
      </c>
      <c r="Z35" s="98">
        <v>19.86</v>
      </c>
      <c r="AA35" s="98">
        <v>53.02</v>
      </c>
      <c r="AB35" s="111" t="s">
        <v>96</v>
      </c>
      <c r="AC35" s="111">
        <f t="shared" si="1"/>
        <v>27.12</v>
      </c>
      <c r="AE35" s="111">
        <f t="shared" si="3"/>
        <v>9.8607600000000009</v>
      </c>
      <c r="AF35" s="98">
        <f>(48.7-40)*Y35/100</f>
        <v>2.3568300000000009</v>
      </c>
      <c r="AG35" s="98">
        <v>0</v>
      </c>
      <c r="AH35" s="98">
        <f>27.7*Y35/100</f>
        <v>7.5039300000000004</v>
      </c>
      <c r="AI35" s="98" t="s">
        <v>92</v>
      </c>
      <c r="AJ35" s="98">
        <f>6.73*Y35/100</f>
        <v>1.8231570000000001</v>
      </c>
      <c r="AK35" s="98">
        <f>(78.4-66.1)*Y35/100</f>
        <v>3.332070000000003</v>
      </c>
      <c r="AL35" s="98">
        <f>(66.1-60.5)*Y35/100</f>
        <v>1.5170399999999984</v>
      </c>
      <c r="AM35" s="98">
        <f>(93-78.4)*Y35/100</f>
        <v>3.9551399999999983</v>
      </c>
      <c r="AN35" s="98" t="s">
        <v>92</v>
      </c>
      <c r="AO35" s="98">
        <f>(51.2-48.7)*Y35/100</f>
        <v>0.67724999999999991</v>
      </c>
      <c r="AP35" s="98" t="s">
        <v>92</v>
      </c>
      <c r="AQ35" s="98">
        <f>(60.5-52.9)*Y35/100</f>
        <v>2.0588400000000004</v>
      </c>
      <c r="AR35" s="98" t="s">
        <v>92</v>
      </c>
      <c r="AS35" s="98">
        <f>(52.9-51.2)*Y35/100</f>
        <v>0.46052999999999883</v>
      </c>
      <c r="AT35" s="97" t="s">
        <v>92</v>
      </c>
      <c r="AU35" s="98">
        <f>5.57*Y35/100</f>
        <v>1.5089129999999999</v>
      </c>
      <c r="AV35" s="97" t="s">
        <v>92</v>
      </c>
      <c r="AW35" s="97" t="s">
        <v>92</v>
      </c>
      <c r="AX35" s="97" t="s">
        <v>92</v>
      </c>
      <c r="AY35" s="97" t="s">
        <v>92</v>
      </c>
      <c r="AZ35" s="97" t="s">
        <v>92</v>
      </c>
      <c r="BA35" s="98">
        <f>(100-93)*Y35/100</f>
        <v>1.8962999999999999</v>
      </c>
      <c r="BB35" s="98"/>
      <c r="BC35" s="98" t="s">
        <v>126</v>
      </c>
      <c r="BD35" s="98" t="s">
        <v>122</v>
      </c>
      <c r="BE35" s="113"/>
      <c r="BF35" s="113"/>
      <c r="BG35" s="113"/>
      <c r="BH35" s="113"/>
    </row>
    <row r="36" spans="1:60" s="112" customFormat="1" x14ac:dyDescent="0.2">
      <c r="A36" s="98" t="s">
        <v>90</v>
      </c>
      <c r="B36" s="98" t="s">
        <v>124</v>
      </c>
      <c r="C36" s="98" t="s">
        <v>92</v>
      </c>
      <c r="D36" s="98" t="s">
        <v>92</v>
      </c>
      <c r="E36" s="98" t="s">
        <v>93</v>
      </c>
      <c r="F36" s="98">
        <v>0.1</v>
      </c>
      <c r="G36" s="110">
        <f>40*60</f>
        <v>2400</v>
      </c>
      <c r="H36" s="97" t="s">
        <v>92</v>
      </c>
      <c r="I36" s="98">
        <v>900</v>
      </c>
      <c r="J36" s="98" t="s">
        <v>92</v>
      </c>
      <c r="K36" s="98" t="s">
        <v>125</v>
      </c>
      <c r="L36" s="98" t="s">
        <v>92</v>
      </c>
      <c r="M36" s="111" t="s">
        <v>92</v>
      </c>
      <c r="N36" s="98" t="s">
        <v>92</v>
      </c>
      <c r="O36" s="98">
        <v>9.4700000000000006</v>
      </c>
      <c r="P36" s="98">
        <v>72.510000000000005</v>
      </c>
      <c r="Q36" s="98">
        <v>1.69</v>
      </c>
      <c r="R36" s="98">
        <v>46.49</v>
      </c>
      <c r="S36" s="98">
        <v>6.22</v>
      </c>
      <c r="T36" s="98">
        <v>0.13</v>
      </c>
      <c r="U36" s="98">
        <v>45.46</v>
      </c>
      <c r="V36" s="98" t="s">
        <v>92</v>
      </c>
      <c r="W36" s="111">
        <f t="shared" si="2"/>
        <v>102</v>
      </c>
      <c r="X36" s="111">
        <f t="shared" si="0"/>
        <v>-2</v>
      </c>
      <c r="Y36" s="98">
        <v>34.46</v>
      </c>
      <c r="Z36" s="98">
        <v>14.09</v>
      </c>
      <c r="AA36" s="98">
        <v>53.45</v>
      </c>
      <c r="AB36" s="111" t="s">
        <v>96</v>
      </c>
      <c r="AC36" s="111">
        <f t="shared" si="1"/>
        <v>32.46</v>
      </c>
      <c r="AE36" s="111">
        <f t="shared" si="3"/>
        <v>12.81912</v>
      </c>
      <c r="AF36" s="98">
        <f>(52.4-44.9)*Y36/100</f>
        <v>2.5844999999999998</v>
      </c>
      <c r="AG36" s="98">
        <v>0</v>
      </c>
      <c r="AH36" s="98">
        <f>29.7*Y36/100</f>
        <v>10.23462</v>
      </c>
      <c r="AI36" s="98" t="s">
        <v>92</v>
      </c>
      <c r="AJ36" s="98">
        <f>8.97*Y36/100</f>
        <v>3.0910620000000004</v>
      </c>
      <c r="AK36" s="98">
        <f>(80.5-67.3)*Y36/100</f>
        <v>4.5487200000000012</v>
      </c>
      <c r="AL36" s="98">
        <f>(67.3-63.7)*Y36/100</f>
        <v>1.2405599999999981</v>
      </c>
      <c r="AM36" s="98">
        <f>(92.5-80.5)*58/100</f>
        <v>6.96</v>
      </c>
      <c r="AN36" s="98" t="s">
        <v>92</v>
      </c>
      <c r="AO36" s="98">
        <f>(55-52.4)*Y36/100</f>
        <v>0.89596000000000042</v>
      </c>
      <c r="AP36" s="98" t="s">
        <v>92</v>
      </c>
      <c r="AQ36" s="98">
        <f>(63.7-58.6)*Y36/100</f>
        <v>1.7574600000000007</v>
      </c>
      <c r="AR36" s="98" t="s">
        <v>92</v>
      </c>
      <c r="AS36" s="98">
        <f>(58.6-55)*Y36/100</f>
        <v>1.2405600000000006</v>
      </c>
      <c r="AT36" s="97" t="s">
        <v>92</v>
      </c>
      <c r="AU36" s="98">
        <f>6.23*Y36/100</f>
        <v>2.1468580000000004</v>
      </c>
      <c r="AV36" s="97" t="s">
        <v>92</v>
      </c>
      <c r="AW36" s="97" t="s">
        <v>92</v>
      </c>
      <c r="AX36" s="97" t="s">
        <v>92</v>
      </c>
      <c r="AY36" s="97" t="s">
        <v>92</v>
      </c>
      <c r="AZ36" s="97" t="s">
        <v>92</v>
      </c>
      <c r="BA36" s="98">
        <f>(100-92.5)*Y36/100</f>
        <v>2.5844999999999998</v>
      </c>
      <c r="BB36" s="98"/>
      <c r="BC36" s="98" t="s">
        <v>126</v>
      </c>
      <c r="BD36" s="98" t="s">
        <v>122</v>
      </c>
      <c r="BE36" s="113"/>
      <c r="BF36" s="113"/>
      <c r="BG36" s="113"/>
      <c r="BH36" s="113"/>
    </row>
    <row r="37" spans="1:60" s="112" customFormat="1" x14ac:dyDescent="0.2">
      <c r="A37" s="97" t="s">
        <v>90</v>
      </c>
      <c r="B37" s="97" t="s">
        <v>152</v>
      </c>
      <c r="C37" s="97" t="s">
        <v>92</v>
      </c>
      <c r="D37" s="97" t="s">
        <v>92</v>
      </c>
      <c r="E37" s="97" t="s">
        <v>93</v>
      </c>
      <c r="F37" s="97">
        <v>0.05</v>
      </c>
      <c r="G37" s="114" t="s">
        <v>92</v>
      </c>
      <c r="H37" s="97" t="s">
        <v>92</v>
      </c>
      <c r="I37" s="97">
        <v>600</v>
      </c>
      <c r="J37" s="97" t="s">
        <v>92</v>
      </c>
      <c r="K37" s="97">
        <v>0.1</v>
      </c>
      <c r="L37" s="97" t="s">
        <v>92</v>
      </c>
      <c r="M37" s="97" t="s">
        <v>92</v>
      </c>
      <c r="N37" s="97" t="s">
        <v>92</v>
      </c>
      <c r="O37" s="97">
        <v>7.05</v>
      </c>
      <c r="P37" s="97">
        <v>81.400000000000006</v>
      </c>
      <c r="Q37" s="97">
        <v>3.34</v>
      </c>
      <c r="R37" s="97">
        <v>46.2</v>
      </c>
      <c r="S37" s="97">
        <v>5.63</v>
      </c>
      <c r="T37" s="97">
        <v>0.43</v>
      </c>
      <c r="U37" s="97">
        <v>47.44</v>
      </c>
      <c r="V37" s="97" t="s">
        <v>92</v>
      </c>
      <c r="W37" s="97">
        <f t="shared" si="2"/>
        <v>99.699999999999989</v>
      </c>
      <c r="X37" s="97">
        <f t="shared" si="0"/>
        <v>0.30000000000001137</v>
      </c>
      <c r="Y37" s="97">
        <v>56.9</v>
      </c>
      <c r="Z37" s="97">
        <v>20.2</v>
      </c>
      <c r="AA37" s="97">
        <v>22.6</v>
      </c>
      <c r="AB37" s="97" t="s">
        <v>96</v>
      </c>
      <c r="AC37" s="97">
        <f t="shared" si="1"/>
        <v>57.20000000000001</v>
      </c>
      <c r="AE37" s="97">
        <f>AF37+AG37+AH37</f>
        <v>12.688700000000001</v>
      </c>
      <c r="AF37" s="97">
        <v>0</v>
      </c>
      <c r="AG37" s="97">
        <v>0</v>
      </c>
      <c r="AH37" s="97">
        <f>22.3*Y37/100</f>
        <v>12.688700000000001</v>
      </c>
      <c r="AI37" s="97">
        <f>6.6*Y37/100</f>
        <v>3.7553999999999998</v>
      </c>
      <c r="AJ37" s="97">
        <f>1.8*Y37/100</f>
        <v>1.0242</v>
      </c>
      <c r="AK37" s="97">
        <f>15*Y37/100</f>
        <v>8.5350000000000001</v>
      </c>
      <c r="AL37" s="97">
        <f>2.52*Y37/100</f>
        <v>1.43388</v>
      </c>
      <c r="AM37" s="97" t="s">
        <v>92</v>
      </c>
      <c r="AN37" s="97" t="s">
        <v>92</v>
      </c>
      <c r="AO37" s="97">
        <f>13.7*Y37/100</f>
        <v>7.7953000000000001</v>
      </c>
      <c r="AP37" s="97" t="s">
        <v>92</v>
      </c>
      <c r="AQ37" s="97">
        <f>9.08*Y37/100</f>
        <v>5.1665200000000002</v>
      </c>
      <c r="AR37" s="97" t="s">
        <v>92</v>
      </c>
      <c r="AS37" s="97">
        <f>14*Y37/100</f>
        <v>7.9660000000000002</v>
      </c>
      <c r="AT37" s="97" t="s">
        <v>92</v>
      </c>
      <c r="AU37" s="97" t="s">
        <v>92</v>
      </c>
      <c r="AV37" s="97" t="s">
        <v>92</v>
      </c>
      <c r="AW37" s="97" t="s">
        <v>92</v>
      </c>
      <c r="AX37" s="97" t="s">
        <v>92</v>
      </c>
      <c r="AY37" s="97" t="s">
        <v>92</v>
      </c>
      <c r="AZ37" s="97" t="s">
        <v>92</v>
      </c>
      <c r="BA37" s="97">
        <f>21.2*Y37/100</f>
        <v>12.062799999999999</v>
      </c>
      <c r="BB37" s="97"/>
      <c r="BC37" s="97" t="s">
        <v>153</v>
      </c>
      <c r="BD37" s="97"/>
      <c r="BE37" s="113"/>
      <c r="BF37" s="113"/>
      <c r="BG37" s="113"/>
      <c r="BH37" s="113"/>
    </row>
    <row r="38" spans="1:60" s="112" customFormat="1" x14ac:dyDescent="0.2">
      <c r="A38" s="97" t="s">
        <v>90</v>
      </c>
      <c r="B38" s="97" t="s">
        <v>152</v>
      </c>
      <c r="C38" s="97" t="s">
        <v>92</v>
      </c>
      <c r="D38" s="97" t="s">
        <v>92</v>
      </c>
      <c r="E38" s="97" t="s">
        <v>93</v>
      </c>
      <c r="F38" s="97">
        <v>0.05</v>
      </c>
      <c r="G38" s="114" t="s">
        <v>92</v>
      </c>
      <c r="H38" s="97" t="s">
        <v>92</v>
      </c>
      <c r="I38" s="97">
        <v>700</v>
      </c>
      <c r="J38" s="97" t="s">
        <v>92</v>
      </c>
      <c r="K38" s="97">
        <v>0.1</v>
      </c>
      <c r="L38" s="97" t="s">
        <v>92</v>
      </c>
      <c r="M38" s="97" t="s">
        <v>92</v>
      </c>
      <c r="N38" s="97" t="s">
        <v>92</v>
      </c>
      <c r="O38" s="97">
        <v>7.05</v>
      </c>
      <c r="P38" s="97">
        <v>81.400000000000006</v>
      </c>
      <c r="Q38" s="97">
        <v>3.34</v>
      </c>
      <c r="R38" s="97">
        <v>46.2</v>
      </c>
      <c r="S38" s="97">
        <v>5.63</v>
      </c>
      <c r="T38" s="97">
        <v>0.43</v>
      </c>
      <c r="U38" s="97">
        <v>47.44</v>
      </c>
      <c r="V38" s="97" t="s">
        <v>92</v>
      </c>
      <c r="W38" s="97">
        <f t="shared" si="2"/>
        <v>100</v>
      </c>
      <c r="X38" s="97">
        <f t="shared" si="0"/>
        <v>0</v>
      </c>
      <c r="Y38" s="97">
        <v>50.5</v>
      </c>
      <c r="Z38" s="97">
        <v>17.8</v>
      </c>
      <c r="AA38" s="97">
        <v>31.7</v>
      </c>
      <c r="AB38" s="97" t="s">
        <v>96</v>
      </c>
      <c r="AC38" s="97">
        <f t="shared" si="1"/>
        <v>50.5</v>
      </c>
      <c r="AE38" s="97">
        <f>AF38+AG38+AH38</f>
        <v>11.210999999999999</v>
      </c>
      <c r="AF38" s="97">
        <v>0</v>
      </c>
      <c r="AG38" s="97">
        <v>0</v>
      </c>
      <c r="AH38" s="97">
        <f>22.2*Y38/100</f>
        <v>11.210999999999999</v>
      </c>
      <c r="AI38" s="97">
        <f>5.41*Y38/100</f>
        <v>2.7320499999999996</v>
      </c>
      <c r="AJ38" s="97">
        <f>1.83*Y38/100</f>
        <v>0.92415000000000003</v>
      </c>
      <c r="AK38" s="97">
        <f>6.32*Y38/100</f>
        <v>3.1916000000000002</v>
      </c>
      <c r="AL38" s="97">
        <f>3.56*Y38/100</f>
        <v>1.7978000000000001</v>
      </c>
      <c r="AM38" s="97" t="s">
        <v>92</v>
      </c>
      <c r="AN38" s="97" t="s">
        <v>92</v>
      </c>
      <c r="AO38" s="97">
        <f>34.2*Y38/100</f>
        <v>17.271000000000001</v>
      </c>
      <c r="AP38" s="97" t="s">
        <v>92</v>
      </c>
      <c r="AQ38" s="97">
        <f>6.67*Y38/100</f>
        <v>3.36835</v>
      </c>
      <c r="AR38" s="97" t="s">
        <v>92</v>
      </c>
      <c r="AS38" s="97">
        <f>4.06*Y38/100</f>
        <v>2.0502999999999996</v>
      </c>
      <c r="AT38" s="97" t="s">
        <v>92</v>
      </c>
      <c r="AU38" s="97" t="s">
        <v>92</v>
      </c>
      <c r="AV38" s="97" t="s">
        <v>92</v>
      </c>
      <c r="AW38" s="97" t="s">
        <v>92</v>
      </c>
      <c r="AX38" s="97" t="s">
        <v>92</v>
      </c>
      <c r="AY38" s="97" t="s">
        <v>92</v>
      </c>
      <c r="AZ38" s="97" t="s">
        <v>92</v>
      </c>
      <c r="BA38" s="97">
        <f>12.8*Y38/100</f>
        <v>6.4640000000000013</v>
      </c>
      <c r="BB38" s="97"/>
      <c r="BC38" s="97" t="s">
        <v>153</v>
      </c>
      <c r="BD38" s="97" t="s">
        <v>154</v>
      </c>
      <c r="BE38" s="113"/>
      <c r="BF38" s="113"/>
      <c r="BG38" s="113"/>
      <c r="BH38" s="113"/>
    </row>
    <row r="39" spans="1:60" s="112" customFormat="1" x14ac:dyDescent="0.2">
      <c r="A39" s="97" t="s">
        <v>90</v>
      </c>
      <c r="B39" s="97" t="s">
        <v>152</v>
      </c>
      <c r="C39" s="97" t="s">
        <v>92</v>
      </c>
      <c r="D39" s="97" t="s">
        <v>92</v>
      </c>
      <c r="E39" s="97" t="s">
        <v>93</v>
      </c>
      <c r="F39" s="97">
        <v>0.05</v>
      </c>
      <c r="G39" s="114" t="s">
        <v>92</v>
      </c>
      <c r="H39" s="97" t="s">
        <v>92</v>
      </c>
      <c r="I39" s="97">
        <v>800</v>
      </c>
      <c r="J39" s="97" t="s">
        <v>92</v>
      </c>
      <c r="K39" s="97">
        <v>0.1</v>
      </c>
      <c r="L39" s="97" t="s">
        <v>92</v>
      </c>
      <c r="M39" s="97" t="s">
        <v>92</v>
      </c>
      <c r="N39" s="97" t="s">
        <v>92</v>
      </c>
      <c r="O39" s="97">
        <v>7.05</v>
      </c>
      <c r="P39" s="97">
        <v>81.400000000000006</v>
      </c>
      <c r="Q39" s="97">
        <v>3.34</v>
      </c>
      <c r="R39" s="97">
        <v>46.2</v>
      </c>
      <c r="S39" s="97">
        <v>5.63</v>
      </c>
      <c r="T39" s="97">
        <v>0.43</v>
      </c>
      <c r="U39" s="97">
        <v>47.44</v>
      </c>
      <c r="V39" s="97" t="s">
        <v>92</v>
      </c>
      <c r="W39" s="97">
        <f t="shared" si="2"/>
        <v>100.2</v>
      </c>
      <c r="X39" s="97">
        <f t="shared" si="0"/>
        <v>-0.20000000000000284</v>
      </c>
      <c r="Y39" s="97">
        <v>45.8</v>
      </c>
      <c r="Z39" s="97">
        <v>17.2</v>
      </c>
      <c r="AA39" s="97">
        <v>37.200000000000003</v>
      </c>
      <c r="AB39" s="97" t="s">
        <v>96</v>
      </c>
      <c r="AC39" s="97">
        <f t="shared" si="1"/>
        <v>45.599999999999994</v>
      </c>
      <c r="AE39" s="97">
        <f>AF39+AG39+AH39</f>
        <v>6.87</v>
      </c>
      <c r="AF39" s="97">
        <v>0</v>
      </c>
      <c r="AG39" s="97">
        <v>0</v>
      </c>
      <c r="AH39" s="97">
        <f>15*Y39/100</f>
        <v>6.87</v>
      </c>
      <c r="AI39" s="97">
        <f>1.38*Y39/100</f>
        <v>0.63203999999999994</v>
      </c>
      <c r="AJ39" s="97">
        <f>5.31*Y39/100</f>
        <v>2.4319799999999998</v>
      </c>
      <c r="AK39" s="97">
        <f>4.94*Y39/100</f>
        <v>2.2625200000000003</v>
      </c>
      <c r="AL39" s="97">
        <f>0.737*Y39/100</f>
        <v>0.33754599999999996</v>
      </c>
      <c r="AM39" s="97" t="s">
        <v>92</v>
      </c>
      <c r="AN39" s="97" t="s">
        <v>92</v>
      </c>
      <c r="AO39" s="97">
        <f>56.7*Y39/100</f>
        <v>25.968600000000002</v>
      </c>
      <c r="AP39" s="97" t="s">
        <v>92</v>
      </c>
      <c r="AQ39" s="97">
        <f>8.24*Y39/100</f>
        <v>3.7739199999999999</v>
      </c>
      <c r="AR39" s="97" t="s">
        <v>92</v>
      </c>
      <c r="AS39" s="97">
        <f>0.642*Y39/100</f>
        <v>0.29403599999999996</v>
      </c>
      <c r="AT39" s="97" t="s">
        <v>92</v>
      </c>
      <c r="AU39" s="97" t="s">
        <v>92</v>
      </c>
      <c r="AV39" s="97" t="s">
        <v>92</v>
      </c>
      <c r="AW39" s="97" t="s">
        <v>92</v>
      </c>
      <c r="AX39" s="97" t="s">
        <v>92</v>
      </c>
      <c r="AY39" s="97" t="s">
        <v>92</v>
      </c>
      <c r="AZ39" s="97" t="s">
        <v>92</v>
      </c>
      <c r="BA39" s="97">
        <f>7.04*Y39/100</f>
        <v>3.2243199999999996</v>
      </c>
      <c r="BB39" s="97"/>
      <c r="BC39" s="97" t="s">
        <v>153</v>
      </c>
      <c r="BD39" s="97"/>
      <c r="BE39" s="113"/>
      <c r="BF39" s="113"/>
      <c r="BG39" s="113"/>
      <c r="BH39" s="113"/>
    </row>
    <row r="40" spans="1:60" s="112" customFormat="1" x14ac:dyDescent="0.2">
      <c r="A40" s="97" t="s">
        <v>90</v>
      </c>
      <c r="B40" s="97" t="s">
        <v>152</v>
      </c>
      <c r="C40" s="97" t="s">
        <v>92</v>
      </c>
      <c r="D40" s="97" t="s">
        <v>92</v>
      </c>
      <c r="E40" s="97" t="s">
        <v>93</v>
      </c>
      <c r="F40" s="97">
        <v>0.05</v>
      </c>
      <c r="G40" s="114" t="s">
        <v>92</v>
      </c>
      <c r="H40" s="97" t="s">
        <v>92</v>
      </c>
      <c r="I40" s="97">
        <v>900</v>
      </c>
      <c r="J40" s="97" t="s">
        <v>92</v>
      </c>
      <c r="K40" s="97">
        <v>0.1</v>
      </c>
      <c r="L40" s="97" t="s">
        <v>92</v>
      </c>
      <c r="M40" s="97" t="s">
        <v>92</v>
      </c>
      <c r="N40" s="97" t="s">
        <v>92</v>
      </c>
      <c r="O40" s="97">
        <v>7.05</v>
      </c>
      <c r="P40" s="97">
        <v>81.400000000000006</v>
      </c>
      <c r="Q40" s="97">
        <v>3.34</v>
      </c>
      <c r="R40" s="97">
        <v>46.2</v>
      </c>
      <c r="S40" s="97">
        <v>5.63</v>
      </c>
      <c r="T40" s="97">
        <v>0.43</v>
      </c>
      <c r="U40" s="97">
        <v>47.44</v>
      </c>
      <c r="V40" s="97" t="s">
        <v>92</v>
      </c>
      <c r="W40" s="97">
        <f t="shared" si="2"/>
        <v>99.699999999999989</v>
      </c>
      <c r="X40" s="97">
        <f t="shared" si="0"/>
        <v>0.30000000000001137</v>
      </c>
      <c r="Y40" s="97">
        <v>40.5</v>
      </c>
      <c r="Z40" s="97">
        <v>16.3</v>
      </c>
      <c r="AA40" s="97">
        <v>42.9</v>
      </c>
      <c r="AB40" s="97" t="s">
        <v>96</v>
      </c>
      <c r="AC40" s="97">
        <f t="shared" si="1"/>
        <v>40.800000000000011</v>
      </c>
      <c r="AE40" s="97">
        <f>AF40+AG40+AH40</f>
        <v>4.3334999999999999</v>
      </c>
      <c r="AF40" s="97">
        <v>0</v>
      </c>
      <c r="AG40" s="97">
        <v>0</v>
      </c>
      <c r="AH40" s="97">
        <f>10.7*Y40/100</f>
        <v>4.3334999999999999</v>
      </c>
      <c r="AI40" s="97">
        <f>1.26*Y40/100</f>
        <v>0.51029999999999998</v>
      </c>
      <c r="AJ40" s="97">
        <f>5.72*Y40/100</f>
        <v>2.3165999999999998</v>
      </c>
      <c r="AK40" s="97">
        <f>1.08*Y40/100</f>
        <v>0.43740000000000001</v>
      </c>
      <c r="AL40" s="97">
        <f>1.08*Y40/100</f>
        <v>0.43740000000000001</v>
      </c>
      <c r="AM40" s="97" t="s">
        <v>92</v>
      </c>
      <c r="AN40" s="97" t="s">
        <v>92</v>
      </c>
      <c r="AO40" s="97">
        <f>65.9*Y40/100</f>
        <v>26.689500000000002</v>
      </c>
      <c r="AP40" s="97" t="s">
        <v>92</v>
      </c>
      <c r="AQ40" s="97">
        <f>3.16*Y40/100</f>
        <v>1.2798</v>
      </c>
      <c r="AR40" s="97" t="s">
        <v>92</v>
      </c>
      <c r="AS40" s="97">
        <v>0</v>
      </c>
      <c r="AT40" s="97" t="s">
        <v>92</v>
      </c>
      <c r="AU40" s="97" t="s">
        <v>92</v>
      </c>
      <c r="AV40" s="97" t="s">
        <v>92</v>
      </c>
      <c r="AW40" s="97" t="s">
        <v>92</v>
      </c>
      <c r="AX40" s="97" t="s">
        <v>92</v>
      </c>
      <c r="AY40" s="97" t="s">
        <v>92</v>
      </c>
      <c r="AZ40" s="97" t="s">
        <v>92</v>
      </c>
      <c r="BA40" s="97">
        <f>18.1*Y40/100</f>
        <v>7.3305000000000007</v>
      </c>
      <c r="BB40" s="97"/>
      <c r="BC40" s="97" t="s">
        <v>153</v>
      </c>
      <c r="BD40" s="97"/>
      <c r="BE40" s="113"/>
      <c r="BF40" s="113"/>
      <c r="BG40" s="113"/>
      <c r="BH40" s="113"/>
    </row>
    <row r="41" spans="1:60" s="112" customFormat="1" x14ac:dyDescent="0.2">
      <c r="A41" s="97" t="s">
        <v>90</v>
      </c>
      <c r="B41" s="97" t="s">
        <v>166</v>
      </c>
      <c r="C41" s="97" t="s">
        <v>92</v>
      </c>
      <c r="D41" s="97">
        <v>59.54</v>
      </c>
      <c r="E41" s="97" t="s">
        <v>93</v>
      </c>
      <c r="F41" s="97">
        <v>0.02</v>
      </c>
      <c r="G41" s="107">
        <f>((D41/1000)/F41)*60</f>
        <v>178.62</v>
      </c>
      <c r="H41" s="97" t="s">
        <v>92</v>
      </c>
      <c r="I41" s="97">
        <v>300</v>
      </c>
      <c r="J41" s="97" t="s">
        <v>92</v>
      </c>
      <c r="K41" s="97" t="s">
        <v>92</v>
      </c>
      <c r="L41" s="97" t="s">
        <v>92</v>
      </c>
      <c r="M41" s="97" t="s">
        <v>92</v>
      </c>
      <c r="N41" s="97" t="s">
        <v>92</v>
      </c>
      <c r="O41" s="97">
        <v>10.199999999999999</v>
      </c>
      <c r="P41" s="97" t="s">
        <v>92</v>
      </c>
      <c r="Q41" s="97">
        <v>0.3</v>
      </c>
      <c r="R41" s="97">
        <v>51</v>
      </c>
      <c r="S41" s="97">
        <v>5.3</v>
      </c>
      <c r="T41" s="97">
        <v>0.09</v>
      </c>
      <c r="U41" s="97">
        <v>43.6</v>
      </c>
      <c r="V41" s="97">
        <v>15.4</v>
      </c>
      <c r="W41" s="97">
        <f t="shared" si="2"/>
        <v>100</v>
      </c>
      <c r="X41" s="97">
        <f t="shared" si="0"/>
        <v>0</v>
      </c>
      <c r="Y41" s="97">
        <v>24.1</v>
      </c>
      <c r="Z41" s="97">
        <v>63.3</v>
      </c>
      <c r="AA41" s="97">
        <v>12.6</v>
      </c>
      <c r="AB41" s="97" t="s">
        <v>96</v>
      </c>
      <c r="AC41" s="97">
        <f t="shared" si="1"/>
        <v>24.1</v>
      </c>
      <c r="AD41" s="97">
        <f>SUM(AH41:BB41)</f>
        <v>24.1</v>
      </c>
      <c r="AE41" s="97">
        <f>AF41+AG41+AH41</f>
        <v>0.72300000000000009</v>
      </c>
      <c r="AF41" s="97">
        <v>0</v>
      </c>
      <c r="AG41" s="97">
        <v>0</v>
      </c>
      <c r="AH41" s="97">
        <f>(Y41/100)*3</f>
        <v>0.72300000000000009</v>
      </c>
      <c r="AI41" s="97">
        <f>(Y41/100)*1.9</f>
        <v>0.45790000000000003</v>
      </c>
      <c r="AJ41" s="97">
        <f>(Y41/100)*3.3</f>
        <v>0.79530000000000001</v>
      </c>
      <c r="AK41" s="97">
        <f>(Y41/100)*8.5</f>
        <v>2.0485000000000002</v>
      </c>
      <c r="AL41" s="97">
        <f>4.8*(Y41/100)</f>
        <v>1.1568000000000001</v>
      </c>
      <c r="AM41" s="97">
        <f>(Y41/100)*2.9</f>
        <v>0.69890000000000008</v>
      </c>
      <c r="AN41" s="97">
        <f>(Y41/100)*0.3</f>
        <v>7.2300000000000003E-2</v>
      </c>
      <c r="AO41" s="97">
        <f>(0.2+1.2)*(Y41/100)</f>
        <v>0.33740000000000003</v>
      </c>
      <c r="AP41" s="97" t="s">
        <v>92</v>
      </c>
      <c r="AQ41" s="97" t="s">
        <v>92</v>
      </c>
      <c r="AR41" s="97" t="s">
        <v>92</v>
      </c>
      <c r="AS41" s="97">
        <f>11.8*Y41/100</f>
        <v>2.8438000000000003</v>
      </c>
      <c r="AT41" s="97" t="s">
        <v>92</v>
      </c>
      <c r="AU41" s="97">
        <f>0.5*Y41/100</f>
        <v>0.12050000000000001</v>
      </c>
      <c r="AV41" s="97" t="s">
        <v>92</v>
      </c>
      <c r="AW41" s="97" t="s">
        <v>92</v>
      </c>
      <c r="AX41" s="97">
        <f>53.7*Y41/100</f>
        <v>12.941700000000001</v>
      </c>
      <c r="AY41" s="97" t="s">
        <v>92</v>
      </c>
      <c r="AZ41" s="97" t="s">
        <v>92</v>
      </c>
      <c r="BA41" s="97">
        <f>7.9*Y41/100</f>
        <v>1.9039000000000001</v>
      </c>
      <c r="BB41" s="97"/>
      <c r="BC41" s="97" t="s">
        <v>167</v>
      </c>
      <c r="BD41" s="97"/>
      <c r="BE41" s="113"/>
      <c r="BF41" s="113"/>
      <c r="BG41" s="113"/>
      <c r="BH41" s="113"/>
    </row>
    <row r="42" spans="1:60" s="112" customFormat="1" x14ac:dyDescent="0.2">
      <c r="A42" s="97" t="s">
        <v>90</v>
      </c>
      <c r="B42" s="97" t="s">
        <v>166</v>
      </c>
      <c r="C42" s="97" t="s">
        <v>92</v>
      </c>
      <c r="D42" s="97">
        <v>59.54</v>
      </c>
      <c r="E42" s="97" t="s">
        <v>93</v>
      </c>
      <c r="F42" s="97">
        <v>0.02</v>
      </c>
      <c r="G42" s="107">
        <f>((D42/1000)/F42)*60</f>
        <v>178.62</v>
      </c>
      <c r="H42" s="97" t="s">
        <v>92</v>
      </c>
      <c r="I42" s="97">
        <v>350</v>
      </c>
      <c r="J42" s="97" t="s">
        <v>92</v>
      </c>
      <c r="K42" s="97" t="s">
        <v>92</v>
      </c>
      <c r="L42" s="97" t="s">
        <v>92</v>
      </c>
      <c r="M42" s="97" t="s">
        <v>92</v>
      </c>
      <c r="N42" s="97" t="s">
        <v>92</v>
      </c>
      <c r="O42" s="97">
        <v>11.2</v>
      </c>
      <c r="P42" s="97" t="s">
        <v>92</v>
      </c>
      <c r="Q42" s="97">
        <v>0.3</v>
      </c>
      <c r="R42" s="97">
        <v>51</v>
      </c>
      <c r="S42" s="97">
        <v>5.3</v>
      </c>
      <c r="T42" s="97">
        <v>0.1</v>
      </c>
      <c r="U42" s="97">
        <v>43.6</v>
      </c>
      <c r="V42" s="97">
        <v>15.4</v>
      </c>
      <c r="W42" s="97">
        <f t="shared" si="2"/>
        <v>100</v>
      </c>
      <c r="X42" s="97">
        <f t="shared" si="0"/>
        <v>0</v>
      </c>
      <c r="Y42" s="97">
        <v>31.2</v>
      </c>
      <c r="Z42" s="97">
        <v>56.2</v>
      </c>
      <c r="AA42" s="97">
        <v>12.6</v>
      </c>
      <c r="AB42" s="97" t="s">
        <v>96</v>
      </c>
      <c r="AC42" s="97">
        <f t="shared" si="1"/>
        <v>31.2</v>
      </c>
      <c r="AD42" s="97">
        <f>SUM(AH42:BB42)</f>
        <v>31.106400000000001</v>
      </c>
      <c r="AE42" s="97">
        <f t="shared" ref="AE42:AE50" si="5">AF42+AG42+AH42</f>
        <v>1.1544000000000001</v>
      </c>
      <c r="AF42" s="97">
        <v>0</v>
      </c>
      <c r="AG42" s="97">
        <v>0</v>
      </c>
      <c r="AH42" s="97">
        <f>(Y42/100)*3.7</f>
        <v>1.1544000000000001</v>
      </c>
      <c r="AI42" s="97">
        <f>(Y42/100)*2.2</f>
        <v>0.68640000000000001</v>
      </c>
      <c r="AJ42" s="97">
        <f>(Y42/100)*4.4</f>
        <v>1.3728</v>
      </c>
      <c r="AK42" s="97">
        <f>(Y42/100)*10.6</f>
        <v>3.3071999999999999</v>
      </c>
      <c r="AL42" s="97">
        <f>7.2*(Y42/100)</f>
        <v>2.2464</v>
      </c>
      <c r="AM42" s="97">
        <f>(Y42/100)*3</f>
        <v>0.93599999999999994</v>
      </c>
      <c r="AN42" s="97">
        <f>(Y42/100)*0.3</f>
        <v>9.3600000000000003E-2</v>
      </c>
      <c r="AO42" s="97">
        <f>(0.2+1)*(Y42/100)</f>
        <v>0.37440000000000001</v>
      </c>
      <c r="AP42" s="97" t="s">
        <v>92</v>
      </c>
      <c r="AQ42" s="97" t="s">
        <v>92</v>
      </c>
      <c r="AR42" s="97" t="s">
        <v>92</v>
      </c>
      <c r="AS42" s="97">
        <f>13.2*Y42/100</f>
        <v>4.1183999999999994</v>
      </c>
      <c r="AT42" s="97" t="s">
        <v>92</v>
      </c>
      <c r="AU42" s="97">
        <f>0.6*Y42/100</f>
        <v>0.18719999999999998</v>
      </c>
      <c r="AV42" s="97" t="s">
        <v>92</v>
      </c>
      <c r="AW42" s="97" t="s">
        <v>92</v>
      </c>
      <c r="AX42" s="97">
        <f>48.4*Y42/100</f>
        <v>15.1008</v>
      </c>
      <c r="AY42" s="97" t="s">
        <v>92</v>
      </c>
      <c r="AZ42" s="97" t="s">
        <v>92</v>
      </c>
      <c r="BA42" s="97">
        <f>4.9*Y42/100</f>
        <v>1.5287999999999999</v>
      </c>
      <c r="BB42" s="97"/>
      <c r="BC42" s="97" t="s">
        <v>167</v>
      </c>
      <c r="BD42" s="97"/>
      <c r="BE42" s="113"/>
      <c r="BF42" s="113"/>
      <c r="BG42" s="113"/>
      <c r="BH42" s="113"/>
    </row>
    <row r="43" spans="1:60" s="112" customFormat="1" x14ac:dyDescent="0.2">
      <c r="A43" s="97" t="s">
        <v>90</v>
      </c>
      <c r="B43" s="97" t="s">
        <v>166</v>
      </c>
      <c r="C43" s="97" t="s">
        <v>92</v>
      </c>
      <c r="D43" s="97">
        <v>59.54</v>
      </c>
      <c r="E43" s="97" t="s">
        <v>93</v>
      </c>
      <c r="F43" s="97">
        <v>0.02</v>
      </c>
      <c r="G43" s="107">
        <f>((D43/1000)/F43)*60</f>
        <v>178.62</v>
      </c>
      <c r="H43" s="97" t="s">
        <v>92</v>
      </c>
      <c r="I43" s="97">
        <v>550</v>
      </c>
      <c r="J43" s="97" t="s">
        <v>92</v>
      </c>
      <c r="K43" s="97" t="s">
        <v>92</v>
      </c>
      <c r="L43" s="97" t="s">
        <v>92</v>
      </c>
      <c r="M43" s="97" t="s">
        <v>92</v>
      </c>
      <c r="N43" s="97" t="s">
        <v>92</v>
      </c>
      <c r="O43" s="97">
        <v>12.2</v>
      </c>
      <c r="P43" s="97" t="s">
        <v>92</v>
      </c>
      <c r="Q43" s="97">
        <v>0.3</v>
      </c>
      <c r="R43" s="97">
        <v>51</v>
      </c>
      <c r="S43" s="97">
        <v>5.3</v>
      </c>
      <c r="T43" s="97">
        <v>0.1</v>
      </c>
      <c r="U43" s="97">
        <v>43.6</v>
      </c>
      <c r="V43" s="97">
        <v>15.4</v>
      </c>
      <c r="W43" s="97">
        <f t="shared" si="2"/>
        <v>99.999999999999986</v>
      </c>
      <c r="X43" s="97">
        <f t="shared" si="0"/>
        <v>0</v>
      </c>
      <c r="Y43" s="97">
        <v>50.3</v>
      </c>
      <c r="Z43" s="97">
        <v>28.9</v>
      </c>
      <c r="AA43" s="97">
        <v>20.8</v>
      </c>
      <c r="AB43" s="97" t="s">
        <v>96</v>
      </c>
      <c r="AC43" s="97">
        <f t="shared" si="1"/>
        <v>50.3</v>
      </c>
      <c r="AD43" s="97">
        <f>SUM(AH43:BB43)</f>
        <v>50.300000000000004</v>
      </c>
      <c r="AE43" s="97">
        <f t="shared" si="5"/>
        <v>4.1246</v>
      </c>
      <c r="AF43" s="97">
        <v>0</v>
      </c>
      <c r="AG43" s="97">
        <v>0</v>
      </c>
      <c r="AH43" s="97">
        <f>(Y43/100)*8.2</f>
        <v>4.1246</v>
      </c>
      <c r="AI43" s="97">
        <f>(Y43/100)*1.7</f>
        <v>0.85509999999999997</v>
      </c>
      <c r="AJ43" s="97">
        <f>(Y43/100)*3.2</f>
        <v>1.6096000000000001</v>
      </c>
      <c r="AK43" s="97">
        <f>(Y43/100)*5.5</f>
        <v>2.7665000000000002</v>
      </c>
      <c r="AL43" s="97">
        <f>7.2*(Y43/100)</f>
        <v>3.6215999999999999</v>
      </c>
      <c r="AM43" s="97">
        <f>(Y43/100)*2.8</f>
        <v>1.4083999999999999</v>
      </c>
      <c r="AN43" s="97">
        <f>(Y43/100)*0.4</f>
        <v>0.20120000000000002</v>
      </c>
      <c r="AO43" s="97">
        <f>(0.6+1.9)*(Y43/100)</f>
        <v>1.2575000000000001</v>
      </c>
      <c r="AP43" s="97" t="s">
        <v>92</v>
      </c>
      <c r="AQ43" s="97" t="s">
        <v>92</v>
      </c>
      <c r="AR43" s="97" t="s">
        <v>92</v>
      </c>
      <c r="AS43" s="97">
        <f>5.6*Y43/100</f>
        <v>2.8167999999999993</v>
      </c>
      <c r="AT43" s="97" t="s">
        <v>92</v>
      </c>
      <c r="AU43" s="97">
        <f>0.8*Y43/100</f>
        <v>0.40240000000000004</v>
      </c>
      <c r="AV43" s="97" t="s">
        <v>92</v>
      </c>
      <c r="AW43" s="97" t="s">
        <v>92</v>
      </c>
      <c r="AX43" s="97">
        <f>49.6*Y43/100</f>
        <v>24.948800000000002</v>
      </c>
      <c r="AY43" s="97" t="s">
        <v>92</v>
      </c>
      <c r="AZ43" s="97" t="s">
        <v>92</v>
      </c>
      <c r="BA43" s="97">
        <f>12.5*Y43/100</f>
        <v>6.2874999999999996</v>
      </c>
      <c r="BB43" s="97"/>
      <c r="BC43" s="97" t="s">
        <v>167</v>
      </c>
      <c r="BD43" s="97"/>
      <c r="BE43" s="113"/>
      <c r="BF43" s="113"/>
      <c r="BG43" s="113"/>
      <c r="BH43" s="113"/>
    </row>
    <row r="44" spans="1:60" s="112" customFormat="1" x14ac:dyDescent="0.2">
      <c r="A44" s="97" t="s">
        <v>90</v>
      </c>
      <c r="B44" s="97" t="s">
        <v>166</v>
      </c>
      <c r="C44" s="97" t="s">
        <v>92</v>
      </c>
      <c r="D44" s="97">
        <v>59.54</v>
      </c>
      <c r="E44" s="97" t="s">
        <v>93</v>
      </c>
      <c r="F44" s="97">
        <v>0.02</v>
      </c>
      <c r="G44" s="107">
        <f>((D44/1000)/F44)*60</f>
        <v>178.62</v>
      </c>
      <c r="H44" s="97" t="s">
        <v>92</v>
      </c>
      <c r="I44" s="97">
        <v>650</v>
      </c>
      <c r="J44" s="97" t="s">
        <v>92</v>
      </c>
      <c r="K44" s="97" t="s">
        <v>92</v>
      </c>
      <c r="L44" s="97" t="s">
        <v>92</v>
      </c>
      <c r="M44" s="97" t="s">
        <v>92</v>
      </c>
      <c r="N44" s="97" t="s">
        <v>92</v>
      </c>
      <c r="O44" s="97">
        <v>13.2</v>
      </c>
      <c r="P44" s="97" t="s">
        <v>92</v>
      </c>
      <c r="Q44" s="97">
        <v>0.3</v>
      </c>
      <c r="R44" s="97">
        <v>51</v>
      </c>
      <c r="S44" s="97">
        <v>5.3</v>
      </c>
      <c r="T44" s="97">
        <v>0.1</v>
      </c>
      <c r="U44" s="97">
        <v>43.6</v>
      </c>
      <c r="V44" s="97">
        <v>15.4</v>
      </c>
      <c r="W44" s="97">
        <f t="shared" si="2"/>
        <v>99.300000000000011</v>
      </c>
      <c r="X44" s="97">
        <f t="shared" si="0"/>
        <v>0.69999999999998863</v>
      </c>
      <c r="Y44" s="97">
        <v>44.7</v>
      </c>
      <c r="Z44" s="97">
        <v>32</v>
      </c>
      <c r="AA44" s="97">
        <v>22.6</v>
      </c>
      <c r="AB44" s="97" t="s">
        <v>96</v>
      </c>
      <c r="AC44" s="97">
        <f t="shared" si="1"/>
        <v>45.399999999999991</v>
      </c>
      <c r="AD44" s="97">
        <f>SUM(AH44:BB44)</f>
        <v>44.7</v>
      </c>
      <c r="AE44" s="97">
        <f t="shared" si="5"/>
        <v>3.2631000000000001</v>
      </c>
      <c r="AF44" s="97">
        <v>0</v>
      </c>
      <c r="AG44" s="97">
        <v>0</v>
      </c>
      <c r="AH44" s="97">
        <f>(Y44/100)*7.3</f>
        <v>3.2631000000000001</v>
      </c>
      <c r="AI44" s="97">
        <f>(Y44/100)*1.9</f>
        <v>0.84929999999999994</v>
      </c>
      <c r="AJ44" s="97">
        <f>(Y44/100)*2.7</f>
        <v>1.2069000000000001</v>
      </c>
      <c r="AK44" s="97">
        <f>(Y44/100)*7.2</f>
        <v>3.2183999999999999</v>
      </c>
      <c r="AL44" s="97">
        <f>11.2*(Y44/100)</f>
        <v>5.0064000000000002</v>
      </c>
      <c r="AM44" s="97">
        <f>(Y44/100)*2.3</f>
        <v>1.0281</v>
      </c>
      <c r="AN44" s="97">
        <f>(Y44/100)*1.4</f>
        <v>0.62580000000000002</v>
      </c>
      <c r="AO44" s="97">
        <f>(0.4+2.8)*(Y44/100)</f>
        <v>1.4303999999999999</v>
      </c>
      <c r="AP44" s="97" t="s">
        <v>92</v>
      </c>
      <c r="AQ44" s="97" t="s">
        <v>92</v>
      </c>
      <c r="AR44" s="97" t="s">
        <v>92</v>
      </c>
      <c r="AS44" s="97">
        <f>8.1*Y44/100</f>
        <v>3.6206999999999998</v>
      </c>
      <c r="AT44" s="97" t="s">
        <v>92</v>
      </c>
      <c r="AU44" s="97">
        <f>0.8*Y44/100</f>
        <v>0.35760000000000003</v>
      </c>
      <c r="AV44" s="97" t="s">
        <v>92</v>
      </c>
      <c r="AW44" s="97" t="s">
        <v>92</v>
      </c>
      <c r="AX44" s="97">
        <f>41*Y44/100</f>
        <v>18.327000000000002</v>
      </c>
      <c r="AY44" s="97" t="s">
        <v>92</v>
      </c>
      <c r="AZ44" s="97" t="s">
        <v>92</v>
      </c>
      <c r="BA44" s="97">
        <f>12.9*Y44/100</f>
        <v>5.7663000000000011</v>
      </c>
      <c r="BB44" s="97"/>
      <c r="BC44" s="97" t="s">
        <v>167</v>
      </c>
      <c r="BD44" s="97"/>
      <c r="BE44" s="113"/>
      <c r="BF44" s="113"/>
      <c r="BG44" s="113"/>
      <c r="BH44" s="113"/>
    </row>
    <row r="45" spans="1:60" s="112" customFormat="1" x14ac:dyDescent="0.2">
      <c r="A45" s="97" t="s">
        <v>90</v>
      </c>
      <c r="B45" s="97" t="s">
        <v>171</v>
      </c>
      <c r="C45" s="97" t="s">
        <v>92</v>
      </c>
      <c r="D45" s="97" t="s">
        <v>92</v>
      </c>
      <c r="E45" s="97" t="s">
        <v>93</v>
      </c>
      <c r="F45" s="97">
        <v>0.09</v>
      </c>
      <c r="G45" s="97" t="s">
        <v>92</v>
      </c>
      <c r="H45" s="97" t="s">
        <v>92</v>
      </c>
      <c r="I45" s="97">
        <v>500</v>
      </c>
      <c r="J45" s="97" t="s">
        <v>92</v>
      </c>
      <c r="K45" s="97" t="s">
        <v>172</v>
      </c>
      <c r="L45" s="97" t="s">
        <v>92</v>
      </c>
      <c r="M45" s="97" t="s">
        <v>92</v>
      </c>
      <c r="N45" s="97" t="s">
        <v>92</v>
      </c>
      <c r="O45" s="97" t="s">
        <v>92</v>
      </c>
      <c r="P45" s="97">
        <v>84.14</v>
      </c>
      <c r="Q45" s="97">
        <v>0.38</v>
      </c>
      <c r="R45" s="97">
        <v>53.75</v>
      </c>
      <c r="S45" s="97">
        <v>5.93</v>
      </c>
      <c r="T45" s="97">
        <v>0.13</v>
      </c>
      <c r="U45" s="97">
        <v>40.18</v>
      </c>
      <c r="V45" s="97" t="s">
        <v>92</v>
      </c>
      <c r="W45" s="97">
        <f t="shared" si="2"/>
        <v>100.26</v>
      </c>
      <c r="X45" s="97">
        <f t="shared" si="0"/>
        <v>-0.26000000000000512</v>
      </c>
      <c r="Y45" s="97">
        <f>15.26+27.1</f>
        <v>42.36</v>
      </c>
      <c r="Z45" s="97">
        <v>26.7</v>
      </c>
      <c r="AA45" s="97">
        <v>31.2</v>
      </c>
      <c r="AB45" s="97" t="s">
        <v>96</v>
      </c>
      <c r="AC45" s="97">
        <f t="shared" si="1"/>
        <v>42.099999999999994</v>
      </c>
      <c r="AD45" s="97">
        <f>SUM(AH45:AJ45)</f>
        <v>33.324611999999995</v>
      </c>
      <c r="AE45" s="97">
        <f>AF45+AG45+AH45</f>
        <v>26.021747999999999</v>
      </c>
      <c r="AF45" s="97">
        <v>0</v>
      </c>
      <c r="AG45" s="97">
        <v>0</v>
      </c>
      <c r="AH45" s="97">
        <f>(0.79+3.7+0.88+56.06)*(Y45/100)</f>
        <v>26.021747999999999</v>
      </c>
      <c r="AI45" s="97" t="s">
        <v>92</v>
      </c>
      <c r="AJ45" s="97">
        <f>(Y45/100)*17.24</f>
        <v>7.3028639999999987</v>
      </c>
      <c r="AK45" s="97" t="s">
        <v>92</v>
      </c>
      <c r="AL45" s="97" t="s">
        <v>92</v>
      </c>
      <c r="AM45" s="97" t="s">
        <v>92</v>
      </c>
      <c r="AN45" s="97" t="s">
        <v>92</v>
      </c>
      <c r="AO45" s="97" t="s">
        <v>92</v>
      </c>
      <c r="AP45" s="97" t="s">
        <v>92</v>
      </c>
      <c r="AQ45" s="97" t="s">
        <v>92</v>
      </c>
      <c r="AR45" s="97" t="s">
        <v>92</v>
      </c>
      <c r="AS45" s="97" t="s">
        <v>92</v>
      </c>
      <c r="AT45" s="97" t="s">
        <v>92</v>
      </c>
      <c r="AU45" s="97" t="s">
        <v>92</v>
      </c>
      <c r="AV45" s="97" t="s">
        <v>92</v>
      </c>
      <c r="AW45" s="97" t="s">
        <v>92</v>
      </c>
      <c r="AX45" s="97" t="s">
        <v>92</v>
      </c>
      <c r="AY45" s="97" t="s">
        <v>92</v>
      </c>
      <c r="AZ45" s="97" t="s">
        <v>92</v>
      </c>
      <c r="BA45" s="97" t="s">
        <v>92</v>
      </c>
      <c r="BB45" s="97"/>
      <c r="BC45" s="97" t="s">
        <v>173</v>
      </c>
      <c r="BD45" s="97"/>
      <c r="BE45" s="113"/>
      <c r="BF45" s="113"/>
      <c r="BG45" s="113"/>
      <c r="BH45" s="113"/>
    </row>
    <row r="46" spans="1:60" s="112" customFormat="1" x14ac:dyDescent="0.2">
      <c r="A46" s="97" t="s">
        <v>90</v>
      </c>
      <c r="B46" s="97" t="s">
        <v>171</v>
      </c>
      <c r="C46" s="97" t="s">
        <v>92</v>
      </c>
      <c r="D46" s="97" t="s">
        <v>92</v>
      </c>
      <c r="E46" s="97" t="s">
        <v>93</v>
      </c>
      <c r="F46" s="97">
        <v>0.09</v>
      </c>
      <c r="G46" s="97" t="s">
        <v>92</v>
      </c>
      <c r="H46" s="97" t="s">
        <v>92</v>
      </c>
      <c r="I46" s="97">
        <v>700</v>
      </c>
      <c r="J46" s="97" t="s">
        <v>92</v>
      </c>
      <c r="K46" s="97" t="s">
        <v>172</v>
      </c>
      <c r="L46" s="97" t="s">
        <v>92</v>
      </c>
      <c r="M46" s="97" t="s">
        <v>92</v>
      </c>
      <c r="N46" s="97" t="s">
        <v>92</v>
      </c>
      <c r="O46" s="97" t="s">
        <v>92</v>
      </c>
      <c r="P46" s="97">
        <v>84.14</v>
      </c>
      <c r="Q46" s="97">
        <v>0.38</v>
      </c>
      <c r="R46" s="97">
        <v>53.75</v>
      </c>
      <c r="S46" s="97">
        <v>5.96</v>
      </c>
      <c r="T46" s="97">
        <v>0.13</v>
      </c>
      <c r="U46" s="97">
        <v>40.18</v>
      </c>
      <c r="V46" s="97" t="s">
        <v>92</v>
      </c>
      <c r="W46" s="97" t="e">
        <f t="shared" si="2"/>
        <v>#VALUE!</v>
      </c>
      <c r="X46" s="97" t="e">
        <f t="shared" si="0"/>
        <v>#VALUE!</v>
      </c>
      <c r="Y46" s="97" t="s">
        <v>92</v>
      </c>
      <c r="Z46" s="97" t="s">
        <v>92</v>
      </c>
      <c r="AA46" s="97" t="s">
        <v>92</v>
      </c>
      <c r="AB46" s="97"/>
      <c r="AC46" s="97" t="e">
        <f t="shared" si="1"/>
        <v>#VALUE!</v>
      </c>
      <c r="AD46" s="97"/>
      <c r="AE46" s="97">
        <f t="shared" si="5"/>
        <v>27.576359999999998</v>
      </c>
      <c r="AF46" s="97">
        <v>0</v>
      </c>
      <c r="AG46" s="97">
        <v>0</v>
      </c>
      <c r="AH46" s="97">
        <f>(2.2+4.1+3.4+55.4)*(Y45/100)</f>
        <v>27.576359999999998</v>
      </c>
      <c r="AI46" s="97" t="s">
        <v>92</v>
      </c>
      <c r="AJ46" s="97">
        <f>(Y45/100)*15.9</f>
        <v>6.7352400000000001</v>
      </c>
      <c r="AK46" s="97" t="s">
        <v>92</v>
      </c>
      <c r="AL46" s="97" t="s">
        <v>92</v>
      </c>
      <c r="AM46" s="97" t="s">
        <v>92</v>
      </c>
      <c r="AN46" s="97" t="s">
        <v>92</v>
      </c>
      <c r="AO46" s="97" t="s">
        <v>92</v>
      </c>
      <c r="AP46" s="97" t="s">
        <v>92</v>
      </c>
      <c r="AQ46" s="97" t="s">
        <v>92</v>
      </c>
      <c r="AR46" s="97" t="s">
        <v>92</v>
      </c>
      <c r="AS46" s="97" t="s">
        <v>92</v>
      </c>
      <c r="AT46" s="97" t="s">
        <v>92</v>
      </c>
      <c r="AU46" s="97" t="s">
        <v>92</v>
      </c>
      <c r="AV46" s="97" t="s">
        <v>92</v>
      </c>
      <c r="AW46" s="97" t="s">
        <v>92</v>
      </c>
      <c r="AX46" s="97" t="s">
        <v>92</v>
      </c>
      <c r="AY46" s="97" t="s">
        <v>92</v>
      </c>
      <c r="AZ46" s="97" t="s">
        <v>92</v>
      </c>
      <c r="BA46" s="97" t="s">
        <v>92</v>
      </c>
      <c r="BB46" s="97"/>
      <c r="BC46" s="97" t="s">
        <v>173</v>
      </c>
      <c r="BD46" s="97"/>
      <c r="BE46" s="113"/>
      <c r="BF46" s="113"/>
      <c r="BG46" s="113"/>
      <c r="BH46" s="113"/>
    </row>
    <row r="47" spans="1:60" s="112" customFormat="1" x14ac:dyDescent="0.2">
      <c r="A47" s="97" t="s">
        <v>90</v>
      </c>
      <c r="B47" s="97" t="s">
        <v>124</v>
      </c>
      <c r="C47" s="97">
        <v>101</v>
      </c>
      <c r="D47" s="97" t="s">
        <v>92</v>
      </c>
      <c r="E47" s="97" t="s">
        <v>93</v>
      </c>
      <c r="F47" s="97">
        <v>0.16</v>
      </c>
      <c r="G47" s="107">
        <v>300</v>
      </c>
      <c r="H47" s="97" t="s">
        <v>92</v>
      </c>
      <c r="I47" s="97">
        <v>500</v>
      </c>
      <c r="J47" s="97" t="s">
        <v>92</v>
      </c>
      <c r="K47" s="97">
        <v>0.375</v>
      </c>
      <c r="L47" s="97" t="s">
        <v>92</v>
      </c>
      <c r="M47" s="97" t="s">
        <v>92</v>
      </c>
      <c r="N47" s="97" t="s">
        <v>92</v>
      </c>
      <c r="O47" s="97">
        <v>8.2100000000000009</v>
      </c>
      <c r="P47" s="97">
        <v>75.12</v>
      </c>
      <c r="Q47" s="97">
        <v>1.45</v>
      </c>
      <c r="R47" s="97">
        <v>48.12</v>
      </c>
      <c r="S47" s="97">
        <v>6.09</v>
      </c>
      <c r="T47" s="97">
        <v>0.25</v>
      </c>
      <c r="U47" s="97">
        <v>45.4</v>
      </c>
      <c r="V47" s="97" t="s">
        <v>92</v>
      </c>
      <c r="W47" s="97">
        <f t="shared" si="2"/>
        <v>99.759999999999991</v>
      </c>
      <c r="X47" s="97">
        <f t="shared" si="0"/>
        <v>0.24000000000000909</v>
      </c>
      <c r="Y47" s="97">
        <v>60</v>
      </c>
      <c r="Z47" s="97">
        <v>17.16</v>
      </c>
      <c r="AA47" s="97">
        <v>22.6</v>
      </c>
      <c r="AB47" s="97" t="s">
        <v>96</v>
      </c>
      <c r="AC47" s="97">
        <f t="shared" si="1"/>
        <v>60.240000000000009</v>
      </c>
      <c r="AD47" s="97"/>
      <c r="AE47" s="97">
        <f>AF47+AG47+AH47</f>
        <v>21.779999999999998</v>
      </c>
      <c r="AF47" s="97">
        <v>0</v>
      </c>
      <c r="AG47" s="97">
        <v>0</v>
      </c>
      <c r="AH47" s="97">
        <f>(Y47/100)*36.3</f>
        <v>21.779999999999998</v>
      </c>
      <c r="AI47" s="97" t="s">
        <v>92</v>
      </c>
      <c r="AJ47" s="97">
        <f>(Y47/100)*10.9</f>
        <v>6.54</v>
      </c>
      <c r="AK47" s="97">
        <f>(Y47/100)*25.8</f>
        <v>15.48</v>
      </c>
      <c r="AL47" s="97" t="s">
        <v>92</v>
      </c>
      <c r="AM47" s="97">
        <f>(Y47/100)*0.5</f>
        <v>0.3</v>
      </c>
      <c r="AN47" s="97" t="s">
        <v>92</v>
      </c>
      <c r="AO47" s="97">
        <f>(Y47/100)*3.8</f>
        <v>2.2799999999999998</v>
      </c>
      <c r="AP47" s="97" t="s">
        <v>92</v>
      </c>
      <c r="AQ47" s="97" t="s">
        <v>92</v>
      </c>
      <c r="AR47" s="97" t="s">
        <v>92</v>
      </c>
      <c r="AS47" s="97">
        <f>(Y47/100)*17.2</f>
        <v>10.319999999999999</v>
      </c>
      <c r="AT47" s="97" t="s">
        <v>92</v>
      </c>
      <c r="AU47" s="97" t="s">
        <v>92</v>
      </c>
      <c r="AV47" s="97" t="s">
        <v>92</v>
      </c>
      <c r="AW47" s="97" t="s">
        <v>92</v>
      </c>
      <c r="AX47" s="97" t="s">
        <v>92</v>
      </c>
      <c r="AY47" s="97" t="s">
        <v>92</v>
      </c>
      <c r="AZ47" s="97" t="s">
        <v>92</v>
      </c>
      <c r="BA47" s="97">
        <f>(Y47/100)*5.5</f>
        <v>3.3</v>
      </c>
      <c r="BB47" s="97"/>
      <c r="BC47" s="97" t="s">
        <v>178</v>
      </c>
      <c r="BD47" s="97" t="s">
        <v>122</v>
      </c>
      <c r="BE47" s="113"/>
      <c r="BF47" s="113"/>
      <c r="BG47" s="113"/>
      <c r="BH47" s="113"/>
    </row>
    <row r="48" spans="1:60" s="117" customFormat="1" x14ac:dyDescent="0.2">
      <c r="A48" s="70" t="s">
        <v>90</v>
      </c>
      <c r="B48" s="70" t="s">
        <v>124</v>
      </c>
      <c r="C48" s="70">
        <v>3534.3</v>
      </c>
      <c r="D48" s="70" t="s">
        <v>92</v>
      </c>
      <c r="E48" s="70" t="s">
        <v>93</v>
      </c>
      <c r="F48" s="70">
        <v>0.01</v>
      </c>
      <c r="G48" s="118">
        <v>3600</v>
      </c>
      <c r="H48" s="71" t="s">
        <v>92</v>
      </c>
      <c r="I48" s="70">
        <v>500</v>
      </c>
      <c r="J48" s="70" t="s">
        <v>92</v>
      </c>
      <c r="K48" s="70">
        <v>0.48</v>
      </c>
      <c r="L48" s="70" t="s">
        <v>92</v>
      </c>
      <c r="M48" s="121" t="s">
        <v>92</v>
      </c>
      <c r="N48" s="70" t="s">
        <v>92</v>
      </c>
      <c r="O48" s="70">
        <v>7.15</v>
      </c>
      <c r="P48" s="70" t="s">
        <v>92</v>
      </c>
      <c r="Q48" s="70">
        <v>0.31</v>
      </c>
      <c r="R48" s="70">
        <v>47.75</v>
      </c>
      <c r="S48" s="70">
        <v>6.3</v>
      </c>
      <c r="T48" s="70">
        <v>1.27</v>
      </c>
      <c r="U48" s="70">
        <v>44.37</v>
      </c>
      <c r="V48" s="70">
        <v>19.28</v>
      </c>
      <c r="W48" s="121">
        <f t="shared" si="2"/>
        <v>101</v>
      </c>
      <c r="X48" s="121">
        <f t="shared" si="0"/>
        <v>-1</v>
      </c>
      <c r="Y48" s="70">
        <v>49.9</v>
      </c>
      <c r="Z48" s="70">
        <v>27.1</v>
      </c>
      <c r="AA48" s="70">
        <v>24</v>
      </c>
      <c r="AB48" s="121" t="s">
        <v>96</v>
      </c>
      <c r="AC48" s="121">
        <f t="shared" si="1"/>
        <v>48.9</v>
      </c>
      <c r="AD48" s="121"/>
      <c r="AE48" s="121">
        <f t="shared" si="5"/>
        <v>13.65264</v>
      </c>
      <c r="AF48" s="70">
        <v>0</v>
      </c>
      <c r="AG48" s="70">
        <v>0</v>
      </c>
      <c r="AH48" s="71">
        <f>27.36*(Y48/100)</f>
        <v>13.65264</v>
      </c>
      <c r="AI48" s="122">
        <f>10.75*Y48/100</f>
        <v>5.3642499999999993</v>
      </c>
      <c r="AJ48" s="70" t="s">
        <v>92</v>
      </c>
      <c r="AK48" s="70">
        <f>0.94*Y48/100</f>
        <v>0.46905999999999998</v>
      </c>
      <c r="AL48" s="70">
        <f>6.71*Y48/100</f>
        <v>3.34829</v>
      </c>
      <c r="AM48" s="70">
        <f>25.26*Y48/100</f>
        <v>12.60474</v>
      </c>
      <c r="AN48" s="70">
        <f>10.92*Y48/100</f>
        <v>5.4490800000000004</v>
      </c>
      <c r="AO48" s="70">
        <f>10.76*Y48/100</f>
        <v>5.3692399999999996</v>
      </c>
      <c r="AP48" s="70" t="s">
        <v>92</v>
      </c>
      <c r="AQ48" s="70" t="s">
        <v>92</v>
      </c>
      <c r="AR48" s="70" t="s">
        <v>92</v>
      </c>
      <c r="AS48" s="70" t="s">
        <v>92</v>
      </c>
      <c r="AT48" s="71" t="s">
        <v>92</v>
      </c>
      <c r="AU48" s="70" t="s">
        <v>92</v>
      </c>
      <c r="AV48" s="71" t="s">
        <v>92</v>
      </c>
      <c r="AW48" s="71" t="s">
        <v>92</v>
      </c>
      <c r="AX48" s="71" t="s">
        <v>92</v>
      </c>
      <c r="AY48" s="71" t="s">
        <v>92</v>
      </c>
      <c r="AZ48" s="71" t="s">
        <v>92</v>
      </c>
      <c r="BA48" s="70" t="s">
        <v>92</v>
      </c>
      <c r="BB48" s="70"/>
      <c r="BC48" s="70" t="s">
        <v>130</v>
      </c>
      <c r="BD48" s="70" t="s">
        <v>131</v>
      </c>
      <c r="BE48" s="116"/>
      <c r="BF48" s="116"/>
      <c r="BG48" s="116"/>
      <c r="BH48" s="116"/>
    </row>
    <row r="49" spans="1:62" s="117" customFormat="1" x14ac:dyDescent="0.2">
      <c r="A49" s="70" t="s">
        <v>90</v>
      </c>
      <c r="B49" s="70" t="s">
        <v>124</v>
      </c>
      <c r="C49" s="70">
        <v>926.67</v>
      </c>
      <c r="D49" s="70" t="s">
        <v>92</v>
      </c>
      <c r="E49" s="70" t="s">
        <v>93</v>
      </c>
      <c r="F49" s="70">
        <v>0.01</v>
      </c>
      <c r="G49" s="118">
        <v>3600</v>
      </c>
      <c r="H49" s="71" t="s">
        <v>92</v>
      </c>
      <c r="I49" s="70">
        <v>550</v>
      </c>
      <c r="J49" s="70" t="s">
        <v>92</v>
      </c>
      <c r="K49" s="70">
        <v>0.06</v>
      </c>
      <c r="L49" s="70" t="s">
        <v>92</v>
      </c>
      <c r="M49" s="121" t="s">
        <v>92</v>
      </c>
      <c r="N49" s="70" t="s">
        <v>92</v>
      </c>
      <c r="O49" s="70">
        <v>6.06</v>
      </c>
      <c r="P49" s="70" t="s">
        <v>92</v>
      </c>
      <c r="Q49" s="70">
        <v>0.25</v>
      </c>
      <c r="R49" s="70">
        <v>47.38</v>
      </c>
      <c r="S49" s="70">
        <v>6.42</v>
      </c>
      <c r="T49" s="70">
        <v>0.99</v>
      </c>
      <c r="U49" s="70">
        <v>44.96</v>
      </c>
      <c r="V49" s="70">
        <v>16.32</v>
      </c>
      <c r="W49" s="121">
        <f t="shared" si="2"/>
        <v>99.99</v>
      </c>
      <c r="X49" s="121">
        <f t="shared" si="0"/>
        <v>1.0000000000005116E-2</v>
      </c>
      <c r="Y49" s="70">
        <f>28.85+24.04</f>
        <v>52.89</v>
      </c>
      <c r="Z49" s="70">
        <v>24.4</v>
      </c>
      <c r="AA49" s="70">
        <v>22.7</v>
      </c>
      <c r="AB49" s="121" t="s">
        <v>96</v>
      </c>
      <c r="AC49" s="121">
        <f t="shared" si="1"/>
        <v>52.900000000000006</v>
      </c>
      <c r="AD49" s="121"/>
      <c r="AE49" s="121">
        <f t="shared" si="5"/>
        <v>15.681884999999999</v>
      </c>
      <c r="AF49" s="70">
        <v>0</v>
      </c>
      <c r="AG49" s="70">
        <v>0</v>
      </c>
      <c r="AH49" s="70">
        <f>29.65*Y49/100</f>
        <v>15.681884999999999</v>
      </c>
      <c r="AI49" s="122">
        <f>18.83*Y49/100</f>
        <v>9.959187</v>
      </c>
      <c r="AJ49" s="70" t="s">
        <v>92</v>
      </c>
      <c r="AK49" s="70">
        <f>1.51*Y49/100</f>
        <v>0.79863899999999999</v>
      </c>
      <c r="AL49" s="70">
        <f>9.01*Y49/100</f>
        <v>4.7653889999999999</v>
      </c>
      <c r="AM49" s="70">
        <f>20.48*Y49/100</f>
        <v>10.831872000000001</v>
      </c>
      <c r="AN49" s="70">
        <f>1.2*Y49/100</f>
        <v>0.63467999999999991</v>
      </c>
      <c r="AO49" s="70">
        <f>13.19*Y49/100</f>
        <v>6.976191</v>
      </c>
      <c r="AP49" s="70" t="s">
        <v>92</v>
      </c>
      <c r="AQ49" s="70" t="s">
        <v>92</v>
      </c>
      <c r="AR49" s="70" t="s">
        <v>92</v>
      </c>
      <c r="AS49" s="70" t="s">
        <v>92</v>
      </c>
      <c r="AT49" s="71" t="s">
        <v>92</v>
      </c>
      <c r="AU49" s="70" t="s">
        <v>92</v>
      </c>
      <c r="AV49" s="71" t="s">
        <v>92</v>
      </c>
      <c r="AW49" s="71" t="s">
        <v>92</v>
      </c>
      <c r="AX49" s="71" t="s">
        <v>92</v>
      </c>
      <c r="AY49" s="71" t="s">
        <v>92</v>
      </c>
      <c r="AZ49" s="71" t="s">
        <v>92</v>
      </c>
      <c r="BA49" s="70" t="s">
        <v>92</v>
      </c>
      <c r="BB49" s="70"/>
      <c r="BC49" s="70" t="s">
        <v>132</v>
      </c>
      <c r="BD49" s="70" t="s">
        <v>131</v>
      </c>
      <c r="BE49" s="116"/>
      <c r="BF49" s="116"/>
      <c r="BG49" s="116"/>
      <c r="BH49" s="116"/>
    </row>
    <row r="50" spans="1:62" s="112" customFormat="1" x14ac:dyDescent="0.2">
      <c r="A50" s="97" t="s">
        <v>90</v>
      </c>
      <c r="B50" s="97" t="s">
        <v>124</v>
      </c>
      <c r="C50" s="97" t="s">
        <v>92</v>
      </c>
      <c r="D50" s="97" t="s">
        <v>92</v>
      </c>
      <c r="E50" s="97" t="s">
        <v>93</v>
      </c>
      <c r="F50" s="97">
        <v>0.15</v>
      </c>
      <c r="G50" s="97" t="s">
        <v>92</v>
      </c>
      <c r="H50" s="97" t="s">
        <v>92</v>
      </c>
      <c r="I50" s="97">
        <v>550</v>
      </c>
      <c r="J50" s="97" t="s">
        <v>92</v>
      </c>
      <c r="K50" s="97">
        <v>0.33500000000000002</v>
      </c>
      <c r="L50" s="97" t="s">
        <v>188</v>
      </c>
      <c r="M50" s="97" t="s">
        <v>92</v>
      </c>
      <c r="N50" s="97" t="s">
        <v>92</v>
      </c>
      <c r="O50" s="97">
        <v>2.12</v>
      </c>
      <c r="P50" s="97">
        <v>83.22</v>
      </c>
      <c r="Q50" s="97">
        <v>1.1200000000000001</v>
      </c>
      <c r="R50" s="97">
        <v>47.59</v>
      </c>
      <c r="S50" s="97">
        <v>6.1790000000000003</v>
      </c>
      <c r="T50" s="97">
        <v>0.09</v>
      </c>
      <c r="U50" s="97">
        <v>46.116999999999997</v>
      </c>
      <c r="V50" s="97">
        <v>19.13</v>
      </c>
      <c r="W50" s="97">
        <f t="shared" si="2"/>
        <v>100</v>
      </c>
      <c r="X50" s="97">
        <f t="shared" si="0"/>
        <v>0</v>
      </c>
      <c r="Y50" s="97">
        <f>100-63.5</f>
        <v>36.5</v>
      </c>
      <c r="Z50" s="97">
        <v>31.9</v>
      </c>
      <c r="AA50" s="97">
        <f>63.5-Z50</f>
        <v>31.6</v>
      </c>
      <c r="AB50" s="97" t="s">
        <v>96</v>
      </c>
      <c r="AC50" s="97">
        <f t="shared" si="1"/>
        <v>36.5</v>
      </c>
      <c r="AD50" s="97"/>
      <c r="AE50" s="97">
        <f t="shared" si="5"/>
        <v>13.651</v>
      </c>
      <c r="AF50" s="97">
        <v>0</v>
      </c>
      <c r="AG50" s="97">
        <v>0</v>
      </c>
      <c r="AH50" s="97">
        <f>(Y50/100)*37.4</f>
        <v>13.651</v>
      </c>
      <c r="AI50" s="97">
        <f>(Y50/100)*14.74</f>
        <v>5.3800999999999997</v>
      </c>
      <c r="AJ50" s="97">
        <f>(Y50/100)*10.25</f>
        <v>3.74125</v>
      </c>
      <c r="AK50" s="97">
        <f>(Y50/100)*1.77</f>
        <v>0.64605000000000001</v>
      </c>
      <c r="AL50" s="97">
        <f>(Y50/100)*1.68</f>
        <v>0.61319999999999997</v>
      </c>
      <c r="AM50" s="97">
        <f>(Y50/100)*5.9</f>
        <v>2.1535000000000002</v>
      </c>
      <c r="AN50" s="97" t="s">
        <v>92</v>
      </c>
      <c r="AO50" s="97">
        <f>(Y50/100)*12.23</f>
        <v>4.4639499999999996</v>
      </c>
      <c r="AP50" s="97" t="s">
        <v>92</v>
      </c>
      <c r="AQ50" s="97">
        <f>(Y50/100)*12.6</f>
        <v>4.5990000000000002</v>
      </c>
      <c r="AR50" s="97" t="s">
        <v>92</v>
      </c>
      <c r="AS50" s="97">
        <f>(Y50/100)*0.92</f>
        <v>0.33579999999999999</v>
      </c>
      <c r="AT50" s="97" t="s">
        <v>92</v>
      </c>
      <c r="AU50" s="97" t="s">
        <v>92</v>
      </c>
      <c r="AV50" s="97" t="s">
        <v>92</v>
      </c>
      <c r="AW50" s="97" t="s">
        <v>92</v>
      </c>
      <c r="AX50" s="97" t="s">
        <v>92</v>
      </c>
      <c r="AY50" s="97" t="s">
        <v>92</v>
      </c>
      <c r="AZ50" s="97" t="s">
        <v>92</v>
      </c>
      <c r="BA50" s="97">
        <f>(Y50/100)*1.79</f>
        <v>0.65334999999999999</v>
      </c>
      <c r="BB50" s="97"/>
      <c r="BC50" s="97" t="s">
        <v>189</v>
      </c>
      <c r="BD50" s="97" t="s">
        <v>122</v>
      </c>
      <c r="BE50" s="113"/>
      <c r="BF50" s="113"/>
      <c r="BG50" s="113"/>
      <c r="BH50" s="113"/>
    </row>
    <row r="51" spans="1:62" s="46" customFormat="1" x14ac:dyDescent="0.2">
      <c r="A51" s="45" t="s">
        <v>195</v>
      </c>
      <c r="B51" s="45" t="s">
        <v>124</v>
      </c>
      <c r="C51" s="45">
        <v>735</v>
      </c>
      <c r="D51" s="45" t="s">
        <v>92</v>
      </c>
      <c r="E51" s="45" t="s">
        <v>93</v>
      </c>
      <c r="F51" s="45">
        <v>0.25</v>
      </c>
      <c r="G51" s="88">
        <f>((C51/1000)/F51)*60</f>
        <v>176.4</v>
      </c>
      <c r="H51" s="45" t="s">
        <v>92</v>
      </c>
      <c r="I51" s="45">
        <v>300</v>
      </c>
      <c r="J51" s="45" t="s">
        <v>92</v>
      </c>
      <c r="K51" s="45" t="s">
        <v>179</v>
      </c>
      <c r="L51" s="71" t="s">
        <v>92</v>
      </c>
      <c r="M51" s="45" t="s">
        <v>92</v>
      </c>
      <c r="N51" s="45" t="s">
        <v>92</v>
      </c>
      <c r="O51" s="45">
        <v>7.72</v>
      </c>
      <c r="P51" s="45">
        <v>69.3</v>
      </c>
      <c r="Q51" s="45">
        <v>2.14</v>
      </c>
      <c r="R51" s="45">
        <v>48.9</v>
      </c>
      <c r="S51" s="45">
        <v>4.95</v>
      </c>
      <c r="T51" s="45">
        <v>0.21</v>
      </c>
      <c r="U51" s="45">
        <v>45.76</v>
      </c>
      <c r="V51" s="45">
        <v>18.98</v>
      </c>
      <c r="W51" s="45">
        <f t="shared" si="2"/>
        <v>81.400000000000006</v>
      </c>
      <c r="X51" s="45">
        <f t="shared" si="0"/>
        <v>18.599999999999994</v>
      </c>
      <c r="Y51" s="45">
        <f>31-29.1</f>
        <v>1.8999999999999986</v>
      </c>
      <c r="Z51" s="45">
        <f>100-31</f>
        <v>69</v>
      </c>
      <c r="AA51" s="45">
        <v>10.5</v>
      </c>
      <c r="AB51" s="45" t="s">
        <v>101</v>
      </c>
      <c r="AC51" s="45">
        <f t="shared" si="1"/>
        <v>20.499999999999993</v>
      </c>
      <c r="AD51" s="45"/>
      <c r="AE51" s="45" t="s">
        <v>92</v>
      </c>
      <c r="AF51" s="45" t="s">
        <v>92</v>
      </c>
      <c r="AG51" s="45" t="s">
        <v>92</v>
      </c>
      <c r="AH51" s="45" t="s">
        <v>92</v>
      </c>
      <c r="AI51" s="45" t="s">
        <v>92</v>
      </c>
      <c r="AJ51" s="45" t="s">
        <v>92</v>
      </c>
      <c r="AK51" s="45" t="s">
        <v>92</v>
      </c>
      <c r="AL51" s="45" t="s">
        <v>92</v>
      </c>
      <c r="AM51" s="45" t="s">
        <v>92</v>
      </c>
      <c r="AN51" s="45" t="s">
        <v>92</v>
      </c>
      <c r="AO51" s="45" t="s">
        <v>92</v>
      </c>
      <c r="AP51" s="45" t="s">
        <v>92</v>
      </c>
      <c r="AQ51" s="45" t="s">
        <v>92</v>
      </c>
      <c r="AR51" s="45" t="s">
        <v>92</v>
      </c>
      <c r="AS51" s="45" t="s">
        <v>92</v>
      </c>
      <c r="AT51" s="45" t="s">
        <v>92</v>
      </c>
      <c r="AU51" s="45" t="s">
        <v>92</v>
      </c>
      <c r="AV51" s="45" t="s">
        <v>92</v>
      </c>
      <c r="AW51" s="45" t="s">
        <v>92</v>
      </c>
      <c r="AX51" s="45" t="s">
        <v>92</v>
      </c>
      <c r="AY51" s="45" t="s">
        <v>92</v>
      </c>
      <c r="AZ51" s="45" t="s">
        <v>92</v>
      </c>
      <c r="BA51" s="45" t="s">
        <v>92</v>
      </c>
      <c r="BB51" s="45"/>
      <c r="BC51" s="30" t="s">
        <v>196</v>
      </c>
      <c r="BD51" s="45"/>
      <c r="BE51" s="47"/>
      <c r="BF51" s="47"/>
      <c r="BG51" s="47"/>
      <c r="BH51" s="47"/>
    </row>
    <row r="52" spans="1:62" s="46" customFormat="1" x14ac:dyDescent="0.2">
      <c r="A52" s="45" t="s">
        <v>195</v>
      </c>
      <c r="B52" s="45" t="s">
        <v>124</v>
      </c>
      <c r="C52" s="45">
        <v>735</v>
      </c>
      <c r="D52" s="45" t="s">
        <v>92</v>
      </c>
      <c r="E52" s="45" t="s">
        <v>93</v>
      </c>
      <c r="F52" s="45">
        <v>0.25</v>
      </c>
      <c r="G52" s="88">
        <f>((C52/1000)/F52)*60</f>
        <v>176.4</v>
      </c>
      <c r="H52" s="45" t="s">
        <v>92</v>
      </c>
      <c r="I52" s="45">
        <v>400</v>
      </c>
      <c r="J52" s="45" t="s">
        <v>92</v>
      </c>
      <c r="K52" s="45" t="s">
        <v>179</v>
      </c>
      <c r="L52" s="71" t="s">
        <v>92</v>
      </c>
      <c r="M52" s="45" t="s">
        <v>92</v>
      </c>
      <c r="N52" s="45" t="s">
        <v>92</v>
      </c>
      <c r="O52" s="45">
        <v>7.72</v>
      </c>
      <c r="P52" s="45">
        <v>69.3</v>
      </c>
      <c r="Q52" s="45">
        <v>2.14</v>
      </c>
      <c r="R52" s="45">
        <v>48.9</v>
      </c>
      <c r="S52" s="45">
        <v>4.95</v>
      </c>
      <c r="T52" s="45">
        <v>0.21</v>
      </c>
      <c r="U52" s="45">
        <v>45.76</v>
      </c>
      <c r="V52" s="45">
        <v>18.98</v>
      </c>
      <c r="W52" s="45">
        <f t="shared" si="2"/>
        <v>77</v>
      </c>
      <c r="X52" s="45">
        <f t="shared" si="0"/>
        <v>23</v>
      </c>
      <c r="Y52" s="45">
        <f>45.5-37.2</f>
        <v>8.2999999999999972</v>
      </c>
      <c r="Z52" s="45">
        <f>100-45.5</f>
        <v>54.5</v>
      </c>
      <c r="AA52" s="45">
        <v>14.2</v>
      </c>
      <c r="AB52" s="45" t="s">
        <v>101</v>
      </c>
      <c r="AC52" s="45">
        <f t="shared" si="1"/>
        <v>31.299999999999997</v>
      </c>
      <c r="AD52" s="45"/>
      <c r="AE52" s="45" t="s">
        <v>92</v>
      </c>
      <c r="AF52" s="45" t="s">
        <v>92</v>
      </c>
      <c r="AG52" s="45" t="s">
        <v>92</v>
      </c>
      <c r="AH52" s="45" t="s">
        <v>92</v>
      </c>
      <c r="AI52" s="45" t="s">
        <v>92</v>
      </c>
      <c r="AJ52" s="45" t="s">
        <v>92</v>
      </c>
      <c r="AK52" s="45" t="s">
        <v>92</v>
      </c>
      <c r="AL52" s="45" t="s">
        <v>92</v>
      </c>
      <c r="AM52" s="45" t="s">
        <v>92</v>
      </c>
      <c r="AN52" s="45" t="s">
        <v>92</v>
      </c>
      <c r="AO52" s="45" t="s">
        <v>92</v>
      </c>
      <c r="AP52" s="45" t="s">
        <v>92</v>
      </c>
      <c r="AQ52" s="45" t="s">
        <v>92</v>
      </c>
      <c r="AR52" s="45" t="s">
        <v>92</v>
      </c>
      <c r="AS52" s="45" t="s">
        <v>92</v>
      </c>
      <c r="AT52" s="45" t="s">
        <v>92</v>
      </c>
      <c r="AU52" s="45" t="s">
        <v>92</v>
      </c>
      <c r="AV52" s="45" t="s">
        <v>92</v>
      </c>
      <c r="AW52" s="45" t="s">
        <v>92</v>
      </c>
      <c r="AX52" s="45" t="s">
        <v>92</v>
      </c>
      <c r="AY52" s="45" t="s">
        <v>92</v>
      </c>
      <c r="AZ52" s="45" t="s">
        <v>92</v>
      </c>
      <c r="BA52" s="45" t="s">
        <v>92</v>
      </c>
      <c r="BB52" s="45"/>
      <c r="BC52" s="45" t="s">
        <v>196</v>
      </c>
      <c r="BD52" s="45"/>
      <c r="BE52" s="47"/>
      <c r="BF52" s="47"/>
      <c r="BG52" s="47"/>
      <c r="BH52" s="47"/>
    </row>
    <row r="53" spans="1:62" s="117" customFormat="1" x14ac:dyDescent="0.2">
      <c r="A53" s="71" t="s">
        <v>195</v>
      </c>
      <c r="B53" s="71" t="s">
        <v>124</v>
      </c>
      <c r="C53" s="71">
        <v>735</v>
      </c>
      <c r="D53" s="71" t="s">
        <v>92</v>
      </c>
      <c r="E53" s="71" t="s">
        <v>93</v>
      </c>
      <c r="F53" s="71">
        <v>0.25</v>
      </c>
      <c r="G53" s="88">
        <f>((C53/1000)/F53)*60</f>
        <v>176.4</v>
      </c>
      <c r="H53" s="71" t="s">
        <v>92</v>
      </c>
      <c r="I53" s="71">
        <v>500</v>
      </c>
      <c r="J53" s="71" t="s">
        <v>92</v>
      </c>
      <c r="K53" s="71" t="s">
        <v>179</v>
      </c>
      <c r="L53" s="71" t="s">
        <v>92</v>
      </c>
      <c r="M53" s="71" t="s">
        <v>92</v>
      </c>
      <c r="N53" s="71" t="s">
        <v>92</v>
      </c>
      <c r="O53" s="71">
        <v>7.72</v>
      </c>
      <c r="P53" s="71">
        <v>69.3</v>
      </c>
      <c r="Q53" s="71">
        <v>2.14</v>
      </c>
      <c r="R53" s="71">
        <v>48.9</v>
      </c>
      <c r="S53" s="71">
        <v>4.95</v>
      </c>
      <c r="T53" s="71">
        <v>0.21</v>
      </c>
      <c r="U53" s="71">
        <v>45.76</v>
      </c>
      <c r="V53" s="71">
        <v>18.98</v>
      </c>
      <c r="W53" s="71">
        <f>Y53+Z53+AA53</f>
        <v>73.900000000000006</v>
      </c>
      <c r="X53" s="71">
        <f>100-W53</f>
        <v>26.099999999999994</v>
      </c>
      <c r="Y53" s="71">
        <f>53.8-44.7</f>
        <v>9.0999999999999943</v>
      </c>
      <c r="Z53" s="71">
        <f>100-53.8</f>
        <v>46.2</v>
      </c>
      <c r="AA53" s="71">
        <v>18.600000000000001</v>
      </c>
      <c r="AB53" s="71" t="s">
        <v>101</v>
      </c>
      <c r="AC53" s="71">
        <f t="shared" si="1"/>
        <v>35.199999999999989</v>
      </c>
      <c r="AD53" s="71"/>
      <c r="AE53" s="71" t="s">
        <v>92</v>
      </c>
      <c r="AF53" s="71" t="s">
        <v>92</v>
      </c>
      <c r="AG53" s="71" t="s">
        <v>92</v>
      </c>
      <c r="AH53" s="71">
        <f>51.61*Y53/100</f>
        <v>4.6965099999999973</v>
      </c>
      <c r="AI53" s="71">
        <f>9.32*Y53/100</f>
        <v>0.84811999999999954</v>
      </c>
      <c r="AJ53" s="71" t="s">
        <v>92</v>
      </c>
      <c r="AK53" s="71">
        <f>14.12*Y53/100</f>
        <v>1.284919999999999</v>
      </c>
      <c r="AL53" s="71" t="s">
        <v>92</v>
      </c>
      <c r="AM53" s="71">
        <f>1.76*Y53/100</f>
        <v>0.16015999999999991</v>
      </c>
      <c r="AN53" s="71" t="s">
        <v>92</v>
      </c>
      <c r="AO53" s="71">
        <f>1.23*Y53/100</f>
        <v>0.11192999999999992</v>
      </c>
      <c r="AP53" s="71" t="s">
        <v>92</v>
      </c>
      <c r="AQ53" s="71" t="s">
        <v>92</v>
      </c>
      <c r="AR53" s="71" t="s">
        <v>92</v>
      </c>
      <c r="AS53" s="71">
        <f>3.16*Y53/100</f>
        <v>0.28755999999999982</v>
      </c>
      <c r="AT53" s="71" t="s">
        <v>92</v>
      </c>
      <c r="AU53" s="71" t="s">
        <v>92</v>
      </c>
      <c r="AV53" s="71" t="s">
        <v>92</v>
      </c>
      <c r="AW53" s="71" t="s">
        <v>92</v>
      </c>
      <c r="AX53" s="71" t="s">
        <v>92</v>
      </c>
      <c r="AY53" s="71" t="s">
        <v>92</v>
      </c>
      <c r="AZ53" s="71" t="s">
        <v>92</v>
      </c>
      <c r="BA53" s="71" t="s">
        <v>92</v>
      </c>
      <c r="BB53" s="71"/>
      <c r="BC53" s="71" t="s">
        <v>196</v>
      </c>
      <c r="BD53" s="71"/>
      <c r="BE53" s="116"/>
      <c r="BF53" s="116"/>
      <c r="BG53" s="116"/>
      <c r="BH53" s="116"/>
    </row>
    <row r="54" spans="1:62" s="46" customFormat="1" x14ac:dyDescent="0.2">
      <c r="A54" s="45" t="s">
        <v>195</v>
      </c>
      <c r="B54" s="45" t="s">
        <v>124</v>
      </c>
      <c r="C54" s="45">
        <v>735</v>
      </c>
      <c r="D54" s="45" t="s">
        <v>92</v>
      </c>
      <c r="E54" s="45" t="s">
        <v>93</v>
      </c>
      <c r="F54" s="45">
        <v>0.25</v>
      </c>
      <c r="G54" s="88">
        <f>((C54/1000)/F54)*60</f>
        <v>176.4</v>
      </c>
      <c r="H54" s="45" t="s">
        <v>92</v>
      </c>
      <c r="I54" s="45">
        <v>600</v>
      </c>
      <c r="J54" s="45" t="s">
        <v>92</v>
      </c>
      <c r="K54" s="45" t="s">
        <v>179</v>
      </c>
      <c r="L54" s="71" t="s">
        <v>92</v>
      </c>
      <c r="M54" s="45" t="s">
        <v>92</v>
      </c>
      <c r="N54" s="45" t="s">
        <v>92</v>
      </c>
      <c r="O54" s="45">
        <v>7.72</v>
      </c>
      <c r="P54" s="45">
        <v>69.3</v>
      </c>
      <c r="Q54" s="45">
        <v>2.14</v>
      </c>
      <c r="R54" s="45">
        <v>48.9</v>
      </c>
      <c r="S54" s="45">
        <v>4.95</v>
      </c>
      <c r="T54" s="45">
        <v>0.21</v>
      </c>
      <c r="U54" s="45">
        <v>45.76</v>
      </c>
      <c r="V54" s="45">
        <v>18.98</v>
      </c>
      <c r="W54" s="45">
        <f t="shared" si="2"/>
        <v>75</v>
      </c>
      <c r="X54" s="45">
        <f t="shared" si="0"/>
        <v>25</v>
      </c>
      <c r="Y54" s="45">
        <f>57.3-47.8</f>
        <v>9.5</v>
      </c>
      <c r="Z54" s="45">
        <f>100-57.3</f>
        <v>42.7</v>
      </c>
      <c r="AA54" s="45">
        <v>22.8</v>
      </c>
      <c r="AB54" s="45" t="s">
        <v>101</v>
      </c>
      <c r="AC54" s="45">
        <f t="shared" si="1"/>
        <v>34.5</v>
      </c>
      <c r="AD54" s="45"/>
      <c r="AE54" s="45" t="s">
        <v>92</v>
      </c>
      <c r="AF54" s="45" t="s">
        <v>92</v>
      </c>
      <c r="AG54" s="45" t="s">
        <v>92</v>
      </c>
      <c r="AH54" s="45" t="s">
        <v>92</v>
      </c>
      <c r="AI54" s="45" t="s">
        <v>92</v>
      </c>
      <c r="AJ54" s="45" t="s">
        <v>92</v>
      </c>
      <c r="AK54" s="45" t="s">
        <v>92</v>
      </c>
      <c r="AL54" s="45" t="s">
        <v>92</v>
      </c>
      <c r="AM54" s="45" t="s">
        <v>92</v>
      </c>
      <c r="AN54" s="45" t="s">
        <v>92</v>
      </c>
      <c r="AO54" s="45" t="s">
        <v>92</v>
      </c>
      <c r="AP54" s="45" t="s">
        <v>92</v>
      </c>
      <c r="AQ54" s="45" t="s">
        <v>92</v>
      </c>
      <c r="AR54" s="45" t="s">
        <v>92</v>
      </c>
      <c r="AS54" s="45" t="s">
        <v>92</v>
      </c>
      <c r="AT54" s="45" t="s">
        <v>92</v>
      </c>
      <c r="AU54" s="45" t="s">
        <v>92</v>
      </c>
      <c r="AV54" s="45" t="s">
        <v>92</v>
      </c>
      <c r="AW54" s="45" t="s">
        <v>92</v>
      </c>
      <c r="AX54" s="45" t="s">
        <v>92</v>
      </c>
      <c r="AY54" s="45" t="s">
        <v>92</v>
      </c>
      <c r="AZ54" s="45" t="s">
        <v>92</v>
      </c>
      <c r="BA54" s="45" t="s">
        <v>92</v>
      </c>
      <c r="BB54" s="45"/>
      <c r="BC54" s="45" t="s">
        <v>196</v>
      </c>
      <c r="BD54" s="45"/>
      <c r="BE54" s="47"/>
      <c r="BF54" s="47"/>
      <c r="BG54" s="47"/>
      <c r="BH54" s="47"/>
    </row>
    <row r="55" spans="1:62" s="46" customFormat="1" ht="16" x14ac:dyDescent="0.2">
      <c r="A55" s="45" t="s">
        <v>197</v>
      </c>
      <c r="B55" s="45" t="s">
        <v>124</v>
      </c>
      <c r="C55" s="45">
        <v>256</v>
      </c>
      <c r="D55" s="45" t="s">
        <v>92</v>
      </c>
      <c r="E55" s="45" t="s">
        <v>105</v>
      </c>
      <c r="F55" s="45">
        <v>0.3</v>
      </c>
      <c r="G55" s="88">
        <f>5*60</f>
        <v>300</v>
      </c>
      <c r="H55" s="45" t="s">
        <v>92</v>
      </c>
      <c r="I55" s="45">
        <v>300</v>
      </c>
      <c r="J55" s="45" t="s">
        <v>92</v>
      </c>
      <c r="K55" s="45" t="s">
        <v>128</v>
      </c>
      <c r="L55" s="71" t="s">
        <v>92</v>
      </c>
      <c r="M55" s="45" t="s">
        <v>92</v>
      </c>
      <c r="N55" s="45" t="s">
        <v>92</v>
      </c>
      <c r="O55" s="48">
        <v>0</v>
      </c>
      <c r="P55" s="48" t="s">
        <v>92</v>
      </c>
      <c r="Q55" s="45">
        <v>0.37</v>
      </c>
      <c r="R55" s="45">
        <v>47.4</v>
      </c>
      <c r="S55" s="45">
        <v>6.1</v>
      </c>
      <c r="T55" s="45">
        <v>0.1</v>
      </c>
      <c r="U55" s="45">
        <f>100-(R55+S55+T55)</f>
        <v>46.4</v>
      </c>
      <c r="V55" s="45" t="s">
        <v>92</v>
      </c>
      <c r="W55" s="45">
        <f t="shared" si="2"/>
        <v>100</v>
      </c>
      <c r="X55" s="45">
        <f t="shared" si="0"/>
        <v>0</v>
      </c>
      <c r="Y55" s="45">
        <v>25.8</v>
      </c>
      <c r="Z55" s="45">
        <v>64.900000000000006</v>
      </c>
      <c r="AA55" s="45">
        <v>9.3000000000000007</v>
      </c>
      <c r="AB55" s="45" t="s">
        <v>96</v>
      </c>
      <c r="AC55" s="45">
        <f t="shared" si="1"/>
        <v>25.8</v>
      </c>
      <c r="AD55" s="45"/>
      <c r="AE55" s="45" t="s">
        <v>92</v>
      </c>
      <c r="AF55" s="45" t="s">
        <v>92</v>
      </c>
      <c r="AG55" s="45" t="s">
        <v>92</v>
      </c>
      <c r="AH55" s="45" t="s">
        <v>92</v>
      </c>
      <c r="AI55" s="45" t="s">
        <v>92</v>
      </c>
      <c r="AJ55" s="45" t="s">
        <v>92</v>
      </c>
      <c r="AK55" s="45" t="s">
        <v>92</v>
      </c>
      <c r="AL55" s="45" t="s">
        <v>92</v>
      </c>
      <c r="AM55" s="45" t="s">
        <v>92</v>
      </c>
      <c r="AN55" s="45" t="s">
        <v>92</v>
      </c>
      <c r="AO55" s="45" t="s">
        <v>92</v>
      </c>
      <c r="AP55" s="45" t="s">
        <v>92</v>
      </c>
      <c r="AQ55" s="45" t="s">
        <v>92</v>
      </c>
      <c r="AR55" s="45" t="s">
        <v>92</v>
      </c>
      <c r="AS55" s="45" t="s">
        <v>92</v>
      </c>
      <c r="AT55" s="45" t="s">
        <v>92</v>
      </c>
      <c r="AU55" s="45" t="s">
        <v>92</v>
      </c>
      <c r="AV55" s="45" t="s">
        <v>92</v>
      </c>
      <c r="AW55" s="45" t="s">
        <v>92</v>
      </c>
      <c r="AX55" s="45" t="s">
        <v>92</v>
      </c>
      <c r="AY55" s="45" t="s">
        <v>92</v>
      </c>
      <c r="AZ55" s="45" t="s">
        <v>92</v>
      </c>
      <c r="BA55" s="45" t="s">
        <v>92</v>
      </c>
      <c r="BB55" s="45"/>
      <c r="BC55" s="30" t="s">
        <v>198</v>
      </c>
      <c r="BD55" s="45"/>
      <c r="BE55" s="47"/>
      <c r="BF55" s="47"/>
      <c r="BG55" s="47"/>
      <c r="BH55" s="47"/>
    </row>
    <row r="56" spans="1:62" s="46" customFormat="1" ht="16" x14ac:dyDescent="0.2">
      <c r="A56" s="45" t="s">
        <v>197</v>
      </c>
      <c r="B56" s="45" t="s">
        <v>124</v>
      </c>
      <c r="C56" s="45">
        <v>256</v>
      </c>
      <c r="D56" s="45" t="s">
        <v>92</v>
      </c>
      <c r="E56" s="45" t="s">
        <v>105</v>
      </c>
      <c r="F56" s="45">
        <v>0.3</v>
      </c>
      <c r="G56" s="88">
        <f>5*60</f>
        <v>300</v>
      </c>
      <c r="H56" s="45" t="s">
        <v>92</v>
      </c>
      <c r="I56" s="45">
        <v>350</v>
      </c>
      <c r="J56" s="45" t="s">
        <v>92</v>
      </c>
      <c r="K56" s="45" t="s">
        <v>128</v>
      </c>
      <c r="L56" s="71" t="s">
        <v>92</v>
      </c>
      <c r="M56" s="45" t="s">
        <v>92</v>
      </c>
      <c r="N56" s="45" t="s">
        <v>92</v>
      </c>
      <c r="O56" s="48">
        <v>0</v>
      </c>
      <c r="P56" s="48" t="s">
        <v>92</v>
      </c>
      <c r="Q56" s="45">
        <v>0.37</v>
      </c>
      <c r="R56" s="45">
        <v>47.4</v>
      </c>
      <c r="S56" s="45">
        <v>6.1</v>
      </c>
      <c r="T56" s="45">
        <v>0.1</v>
      </c>
      <c r="U56" s="45">
        <f>100-(R56+S56+T56)</f>
        <v>46.4</v>
      </c>
      <c r="V56" s="45" t="s">
        <v>92</v>
      </c>
      <c r="W56" s="45">
        <f t="shared" si="2"/>
        <v>100</v>
      </c>
      <c r="X56" s="45">
        <f t="shared" si="0"/>
        <v>0</v>
      </c>
      <c r="Y56" s="45">
        <v>50.6</v>
      </c>
      <c r="Z56" s="45">
        <v>34.9</v>
      </c>
      <c r="AA56" s="45">
        <v>14.5</v>
      </c>
      <c r="AB56" s="45" t="s">
        <v>96</v>
      </c>
      <c r="AC56" s="45">
        <f t="shared" si="1"/>
        <v>50.6</v>
      </c>
      <c r="AD56" s="45"/>
      <c r="AE56" s="45" t="s">
        <v>92</v>
      </c>
      <c r="AF56" s="45" t="s">
        <v>92</v>
      </c>
      <c r="AG56" s="45" t="s">
        <v>92</v>
      </c>
      <c r="AH56" s="45" t="s">
        <v>92</v>
      </c>
      <c r="AI56" s="45" t="s">
        <v>92</v>
      </c>
      <c r="AJ56" s="45" t="s">
        <v>92</v>
      </c>
      <c r="AK56" s="45" t="s">
        <v>92</v>
      </c>
      <c r="AL56" s="45" t="s">
        <v>92</v>
      </c>
      <c r="AM56" s="45" t="s">
        <v>92</v>
      </c>
      <c r="AN56" s="45" t="s">
        <v>92</v>
      </c>
      <c r="AO56" s="45" t="s">
        <v>92</v>
      </c>
      <c r="AP56" s="45" t="s">
        <v>92</v>
      </c>
      <c r="AQ56" s="45" t="s">
        <v>92</v>
      </c>
      <c r="AR56" s="45" t="s">
        <v>92</v>
      </c>
      <c r="AS56" s="45" t="s">
        <v>92</v>
      </c>
      <c r="AT56" s="45" t="s">
        <v>92</v>
      </c>
      <c r="AU56" s="45" t="s">
        <v>92</v>
      </c>
      <c r="AV56" s="45" t="s">
        <v>92</v>
      </c>
      <c r="AW56" s="45" t="s">
        <v>92</v>
      </c>
      <c r="AX56" s="45" t="s">
        <v>92</v>
      </c>
      <c r="AY56" s="45" t="s">
        <v>92</v>
      </c>
      <c r="AZ56" s="45" t="s">
        <v>92</v>
      </c>
      <c r="BA56" s="45" t="s">
        <v>92</v>
      </c>
      <c r="BB56" s="45"/>
      <c r="BC56" s="45" t="s">
        <v>198</v>
      </c>
      <c r="BD56" s="45"/>
      <c r="BE56" s="47"/>
      <c r="BF56" s="47"/>
      <c r="BG56" s="47"/>
      <c r="BH56" s="47"/>
    </row>
    <row r="57" spans="1:62" s="46" customFormat="1" ht="16" x14ac:dyDescent="0.2">
      <c r="A57" s="45" t="s">
        <v>197</v>
      </c>
      <c r="B57" s="45" t="s">
        <v>124</v>
      </c>
      <c r="C57" s="45">
        <v>256</v>
      </c>
      <c r="D57" s="45" t="s">
        <v>92</v>
      </c>
      <c r="E57" s="45" t="s">
        <v>105</v>
      </c>
      <c r="F57" s="45">
        <v>0.3</v>
      </c>
      <c r="G57" s="88">
        <f>5*60</f>
        <v>300</v>
      </c>
      <c r="H57" s="45" t="s">
        <v>92</v>
      </c>
      <c r="I57" s="45">
        <v>400</v>
      </c>
      <c r="J57" s="45" t="s">
        <v>92</v>
      </c>
      <c r="K57" s="45" t="s">
        <v>128</v>
      </c>
      <c r="L57" s="71" t="s">
        <v>92</v>
      </c>
      <c r="M57" s="45" t="s">
        <v>92</v>
      </c>
      <c r="N57" s="45" t="s">
        <v>92</v>
      </c>
      <c r="O57" s="48">
        <v>0</v>
      </c>
      <c r="P57" s="48" t="s">
        <v>92</v>
      </c>
      <c r="Q57" s="45">
        <v>0.37</v>
      </c>
      <c r="R57" s="45">
        <v>47.4</v>
      </c>
      <c r="S57" s="45">
        <v>6.1</v>
      </c>
      <c r="T57" s="45">
        <v>0.1</v>
      </c>
      <c r="U57" s="45">
        <f>100-(R57+S57+T57)</f>
        <v>46.4</v>
      </c>
      <c r="V57" s="45" t="s">
        <v>92</v>
      </c>
      <c r="W57" s="45">
        <f t="shared" si="2"/>
        <v>100</v>
      </c>
      <c r="X57" s="45">
        <f t="shared" si="0"/>
        <v>0</v>
      </c>
      <c r="Y57" s="45">
        <v>54</v>
      </c>
      <c r="Z57" s="45">
        <v>27.8</v>
      </c>
      <c r="AA57" s="45">
        <v>18.2</v>
      </c>
      <c r="AB57" s="45" t="s">
        <v>96</v>
      </c>
      <c r="AC57" s="45">
        <f t="shared" si="1"/>
        <v>54</v>
      </c>
      <c r="AD57" s="45"/>
      <c r="AE57" s="45" t="s">
        <v>92</v>
      </c>
      <c r="AF57" s="45" t="s">
        <v>92</v>
      </c>
      <c r="AG57" s="45" t="s">
        <v>92</v>
      </c>
      <c r="AH57" s="45" t="s">
        <v>92</v>
      </c>
      <c r="AI57" s="45" t="s">
        <v>92</v>
      </c>
      <c r="AJ57" s="45" t="s">
        <v>92</v>
      </c>
      <c r="AK57" s="45" t="s">
        <v>92</v>
      </c>
      <c r="AL57" s="45" t="s">
        <v>92</v>
      </c>
      <c r="AM57" s="45" t="s">
        <v>92</v>
      </c>
      <c r="AN57" s="45" t="s">
        <v>92</v>
      </c>
      <c r="AO57" s="45" t="s">
        <v>92</v>
      </c>
      <c r="AP57" s="45" t="s">
        <v>92</v>
      </c>
      <c r="AQ57" s="45" t="s">
        <v>92</v>
      </c>
      <c r="AR57" s="45" t="s">
        <v>92</v>
      </c>
      <c r="AS57" s="45" t="s">
        <v>92</v>
      </c>
      <c r="AT57" s="45" t="s">
        <v>92</v>
      </c>
      <c r="AU57" s="45" t="s">
        <v>92</v>
      </c>
      <c r="AV57" s="45" t="s">
        <v>92</v>
      </c>
      <c r="AW57" s="45" t="s">
        <v>92</v>
      </c>
      <c r="AX57" s="45" t="s">
        <v>92</v>
      </c>
      <c r="AY57" s="45" t="s">
        <v>92</v>
      </c>
      <c r="AZ57" s="45" t="s">
        <v>92</v>
      </c>
      <c r="BA57" s="45" t="s">
        <v>92</v>
      </c>
      <c r="BB57" s="45"/>
      <c r="BC57" s="45" t="s">
        <v>198</v>
      </c>
      <c r="BD57" s="45"/>
      <c r="BE57" s="47"/>
      <c r="BF57" s="47"/>
      <c r="BG57" s="47"/>
      <c r="BH57" s="47"/>
    </row>
    <row r="58" spans="1:62" s="112" customFormat="1" ht="16" x14ac:dyDescent="0.2">
      <c r="A58" s="97" t="s">
        <v>197</v>
      </c>
      <c r="B58" s="97" t="s">
        <v>124</v>
      </c>
      <c r="C58" s="97">
        <v>256</v>
      </c>
      <c r="D58" s="97" t="s">
        <v>92</v>
      </c>
      <c r="E58" s="97" t="s">
        <v>105</v>
      </c>
      <c r="F58" s="97">
        <v>0.3</v>
      </c>
      <c r="G58" s="110">
        <f>5*60</f>
        <v>300</v>
      </c>
      <c r="H58" s="97" t="s">
        <v>92</v>
      </c>
      <c r="I58" s="97">
        <v>700</v>
      </c>
      <c r="J58" s="97" t="s">
        <v>92</v>
      </c>
      <c r="K58" s="97" t="s">
        <v>128</v>
      </c>
      <c r="L58" s="97" t="s">
        <v>92</v>
      </c>
      <c r="M58" s="97" t="s">
        <v>92</v>
      </c>
      <c r="N58" s="97" t="s">
        <v>92</v>
      </c>
      <c r="O58" s="119">
        <v>0</v>
      </c>
      <c r="P58" s="119" t="s">
        <v>92</v>
      </c>
      <c r="Q58" s="97">
        <v>0.37</v>
      </c>
      <c r="R58" s="97">
        <v>47.4</v>
      </c>
      <c r="S58" s="97">
        <v>6.1</v>
      </c>
      <c r="T58" s="97">
        <v>0.1</v>
      </c>
      <c r="U58" s="97">
        <f>100-(R58+S58+T58)</f>
        <v>46.4</v>
      </c>
      <c r="V58" s="97" t="s">
        <v>92</v>
      </c>
      <c r="W58" s="97">
        <f t="shared" si="2"/>
        <v>100</v>
      </c>
      <c r="X58" s="97">
        <f t="shared" si="0"/>
        <v>0</v>
      </c>
      <c r="Y58" s="97">
        <v>57</v>
      </c>
      <c r="Z58" s="97">
        <v>19.600000000000001</v>
      </c>
      <c r="AA58" s="97">
        <v>23.4</v>
      </c>
      <c r="AB58" s="97" t="s">
        <v>96</v>
      </c>
      <c r="AC58" s="97">
        <f t="shared" si="1"/>
        <v>57</v>
      </c>
      <c r="AD58" s="97"/>
      <c r="AE58" s="97" t="s">
        <v>92</v>
      </c>
      <c r="AF58" s="97">
        <v>30.44</v>
      </c>
      <c r="AG58" s="97" t="s">
        <v>92</v>
      </c>
      <c r="AH58" s="97">
        <v>25.6</v>
      </c>
      <c r="AI58" s="97">
        <v>19.3</v>
      </c>
      <c r="AJ58" s="97">
        <v>13.86</v>
      </c>
      <c r="AK58" s="97">
        <v>3.056</v>
      </c>
      <c r="AL58" s="97">
        <v>8.23</v>
      </c>
      <c r="AM58" s="97" t="s">
        <v>92</v>
      </c>
      <c r="AN58" s="97" t="s">
        <v>92</v>
      </c>
      <c r="AO58" s="97">
        <v>14.85</v>
      </c>
      <c r="AP58" s="97" t="s">
        <v>92</v>
      </c>
      <c r="AQ58" s="97">
        <v>9.44</v>
      </c>
      <c r="AR58" s="97" t="s">
        <v>92</v>
      </c>
      <c r="AS58" s="97">
        <v>13.994999999999999</v>
      </c>
      <c r="AT58" s="97" t="s">
        <v>92</v>
      </c>
      <c r="AU58" s="97" t="s">
        <v>92</v>
      </c>
      <c r="AV58" s="97" t="s">
        <v>92</v>
      </c>
      <c r="AW58" s="97" t="s">
        <v>92</v>
      </c>
      <c r="AX58" s="97" t="s">
        <v>92</v>
      </c>
      <c r="AY58" s="97" t="s">
        <v>92</v>
      </c>
      <c r="AZ58" s="97" t="s">
        <v>92</v>
      </c>
      <c r="BA58" s="97" t="s">
        <v>92</v>
      </c>
      <c r="BB58" s="97"/>
      <c r="BC58" s="97" t="s">
        <v>198</v>
      </c>
      <c r="BD58" s="97"/>
      <c r="BE58" s="113"/>
      <c r="BF58" s="113"/>
      <c r="BG58" s="113"/>
      <c r="BH58" s="113"/>
    </row>
    <row r="59" spans="1:62" x14ac:dyDescent="0.2">
      <c r="A59" s="65" t="s">
        <v>127</v>
      </c>
      <c r="B59" s="65" t="s">
        <v>115</v>
      </c>
      <c r="C59" s="65" t="s">
        <v>92</v>
      </c>
      <c r="D59" s="65" t="s">
        <v>92</v>
      </c>
      <c r="E59" s="65" t="s">
        <v>93</v>
      </c>
      <c r="F59" s="65">
        <v>0.03</v>
      </c>
      <c r="G59" s="86">
        <f>8*60</f>
        <v>480</v>
      </c>
      <c r="H59" s="65"/>
      <c r="I59" s="65">
        <v>450</v>
      </c>
      <c r="J59" s="65" t="s">
        <v>92</v>
      </c>
      <c r="K59" s="65" t="s">
        <v>128</v>
      </c>
      <c r="L59" s="73">
        <v>416.7</v>
      </c>
      <c r="M59" s="5" t="s">
        <v>92</v>
      </c>
      <c r="N59" s="65" t="s">
        <v>92</v>
      </c>
      <c r="O59" s="65">
        <v>7</v>
      </c>
      <c r="P59" s="65" t="s">
        <v>92</v>
      </c>
      <c r="Q59" s="65">
        <v>2.6</v>
      </c>
      <c r="R59" s="65">
        <v>45.29</v>
      </c>
      <c r="S59" s="65">
        <v>6.24</v>
      </c>
      <c r="T59" s="65">
        <v>0.2</v>
      </c>
      <c r="U59" s="65">
        <v>48.26</v>
      </c>
      <c r="V59" s="65" t="s">
        <v>92</v>
      </c>
      <c r="W59" s="5">
        <f>Y59+Z59+AA59</f>
        <v>100</v>
      </c>
      <c r="X59" s="5">
        <f>100-W59</f>
        <v>0</v>
      </c>
      <c r="Y59" s="65">
        <v>30.2</v>
      </c>
      <c r="Z59" s="65">
        <v>45.1</v>
      </c>
      <c r="AA59" s="65">
        <v>24.7</v>
      </c>
      <c r="AB59" s="5" t="s">
        <v>96</v>
      </c>
      <c r="AC59" s="5">
        <f>Y59+X59</f>
        <v>30.2</v>
      </c>
      <c r="AD59" s="5"/>
      <c r="AE59" s="45" t="s">
        <v>92</v>
      </c>
      <c r="AF59" s="65">
        <v>0</v>
      </c>
      <c r="AG59" s="65">
        <v>0</v>
      </c>
      <c r="AH59" s="65">
        <v>0</v>
      </c>
      <c r="AI59" s="65" t="s">
        <v>92</v>
      </c>
      <c r="AJ59" s="65" t="s">
        <v>92</v>
      </c>
      <c r="AK59" s="65" t="s">
        <v>92</v>
      </c>
      <c r="AL59" s="65" t="s">
        <v>92</v>
      </c>
      <c r="AM59" s="65" t="s">
        <v>92</v>
      </c>
      <c r="AN59" s="65" t="s">
        <v>92</v>
      </c>
      <c r="AO59" s="65" t="s">
        <v>92</v>
      </c>
      <c r="AP59" s="65" t="s">
        <v>92</v>
      </c>
      <c r="AQ59" s="65" t="s">
        <v>92</v>
      </c>
      <c r="AR59" s="65" t="s">
        <v>92</v>
      </c>
      <c r="AS59" s="65" t="s">
        <v>92</v>
      </c>
      <c r="AT59" s="66" t="s">
        <v>92</v>
      </c>
      <c r="AU59" s="65" t="s">
        <v>92</v>
      </c>
      <c r="AV59" s="66" t="s">
        <v>92</v>
      </c>
      <c r="AW59" s="66" t="s">
        <v>92</v>
      </c>
      <c r="AX59" s="66" t="s">
        <v>92</v>
      </c>
      <c r="AY59" s="66" t="s">
        <v>92</v>
      </c>
      <c r="AZ59" s="66" t="s">
        <v>92</v>
      </c>
      <c r="BA59" s="65" t="s">
        <v>92</v>
      </c>
      <c r="BB59" s="65"/>
      <c r="BC59" s="28" t="s">
        <v>129</v>
      </c>
      <c r="BD59" s="65" t="s">
        <v>122</v>
      </c>
      <c r="BI59" s="23"/>
      <c r="BJ59" s="23"/>
    </row>
    <row r="60" spans="1:62" x14ac:dyDescent="0.2">
      <c r="A60" s="65" t="s">
        <v>127</v>
      </c>
      <c r="B60" s="65" t="s">
        <v>115</v>
      </c>
      <c r="C60" s="65" t="s">
        <v>92</v>
      </c>
      <c r="D60" s="65" t="s">
        <v>92</v>
      </c>
      <c r="E60" s="65" t="s">
        <v>93</v>
      </c>
      <c r="F60" s="65">
        <v>0.03</v>
      </c>
      <c r="G60" s="86">
        <f>8*60</f>
        <v>480</v>
      </c>
      <c r="H60" s="65"/>
      <c r="I60" s="65">
        <v>550</v>
      </c>
      <c r="J60" s="65" t="s">
        <v>92</v>
      </c>
      <c r="K60" s="65" t="s">
        <v>128</v>
      </c>
      <c r="L60" s="73">
        <v>416.7</v>
      </c>
      <c r="M60" s="5" t="s">
        <v>92</v>
      </c>
      <c r="N60" s="65" t="s">
        <v>92</v>
      </c>
      <c r="O60" s="65">
        <v>7</v>
      </c>
      <c r="P60" s="65" t="s">
        <v>92</v>
      </c>
      <c r="Q60" s="65">
        <v>2.6</v>
      </c>
      <c r="R60" s="65">
        <v>45.29</v>
      </c>
      <c r="S60" s="65">
        <v>6.24</v>
      </c>
      <c r="T60" s="65">
        <v>0.2</v>
      </c>
      <c r="U60" s="65">
        <v>48.26</v>
      </c>
      <c r="V60" s="65" t="s">
        <v>92</v>
      </c>
      <c r="W60" s="5">
        <f>Y60+Z60+AA60</f>
        <v>100</v>
      </c>
      <c r="X60" s="5">
        <f>100-W60</f>
        <v>0</v>
      </c>
      <c r="Y60" s="65">
        <v>34</v>
      </c>
      <c r="Z60" s="65">
        <v>30.3</v>
      </c>
      <c r="AA60" s="65">
        <v>35.700000000000003</v>
      </c>
      <c r="AB60" s="5" t="s">
        <v>96</v>
      </c>
      <c r="AC60" s="5">
        <f>Y60+X60</f>
        <v>34</v>
      </c>
      <c r="AD60" s="5"/>
      <c r="AE60" s="45" t="s">
        <v>92</v>
      </c>
      <c r="AF60" s="65">
        <v>0</v>
      </c>
      <c r="AG60" s="65">
        <v>0</v>
      </c>
      <c r="AH60" s="65">
        <v>0</v>
      </c>
      <c r="AI60" s="65" t="s">
        <v>92</v>
      </c>
      <c r="AJ60" s="65" t="s">
        <v>92</v>
      </c>
      <c r="AK60" s="65" t="s">
        <v>92</v>
      </c>
      <c r="AL60" s="65" t="s">
        <v>92</v>
      </c>
      <c r="AM60" s="65" t="s">
        <v>92</v>
      </c>
      <c r="AN60" s="65" t="s">
        <v>92</v>
      </c>
      <c r="AO60" s="65" t="s">
        <v>92</v>
      </c>
      <c r="AP60" s="65" t="s">
        <v>92</v>
      </c>
      <c r="AQ60" s="65" t="s">
        <v>92</v>
      </c>
      <c r="AR60" s="65" t="s">
        <v>92</v>
      </c>
      <c r="AS60" s="65" t="s">
        <v>92</v>
      </c>
      <c r="AT60" s="66" t="s">
        <v>92</v>
      </c>
      <c r="AU60" s="65" t="s">
        <v>92</v>
      </c>
      <c r="AV60" s="66" t="s">
        <v>92</v>
      </c>
      <c r="AW60" s="66" t="s">
        <v>92</v>
      </c>
      <c r="AX60" s="66" t="s">
        <v>92</v>
      </c>
      <c r="AY60" s="66" t="s">
        <v>92</v>
      </c>
      <c r="AZ60" s="66" t="s">
        <v>92</v>
      </c>
      <c r="BA60" s="65" t="s">
        <v>92</v>
      </c>
      <c r="BB60" s="65"/>
      <c r="BC60" s="49" t="s">
        <v>129</v>
      </c>
      <c r="BD60" s="65" t="s">
        <v>122</v>
      </c>
      <c r="BI60" s="23"/>
      <c r="BJ60" s="23"/>
    </row>
    <row r="61" spans="1:62" s="100" customFormat="1" x14ac:dyDescent="0.2">
      <c r="A61" s="90" t="s">
        <v>127</v>
      </c>
      <c r="B61" s="90" t="s">
        <v>115</v>
      </c>
      <c r="C61" s="90" t="s">
        <v>92</v>
      </c>
      <c r="D61" s="90" t="s">
        <v>92</v>
      </c>
      <c r="E61" s="90" t="s">
        <v>93</v>
      </c>
      <c r="F61" s="90">
        <v>0.03</v>
      </c>
      <c r="G61" s="106">
        <f>8*60</f>
        <v>480</v>
      </c>
      <c r="H61" s="90"/>
      <c r="I61" s="90">
        <v>650</v>
      </c>
      <c r="J61" s="90" t="s">
        <v>92</v>
      </c>
      <c r="K61" s="90" t="s">
        <v>128</v>
      </c>
      <c r="L61" s="90">
        <v>416.7</v>
      </c>
      <c r="M61" s="92" t="s">
        <v>92</v>
      </c>
      <c r="N61" s="90" t="s">
        <v>92</v>
      </c>
      <c r="O61" s="90">
        <v>7</v>
      </c>
      <c r="P61" s="90" t="s">
        <v>92</v>
      </c>
      <c r="Q61" s="90">
        <v>2.6</v>
      </c>
      <c r="R61" s="90">
        <v>45.29</v>
      </c>
      <c r="S61" s="90">
        <v>6.24</v>
      </c>
      <c r="T61" s="90">
        <v>0.2</v>
      </c>
      <c r="U61" s="90">
        <v>48.26</v>
      </c>
      <c r="V61" s="90" t="s">
        <v>92</v>
      </c>
      <c r="W61" s="92">
        <f>Y61+Z61+AA61</f>
        <v>100</v>
      </c>
      <c r="X61" s="92">
        <f>100-W61</f>
        <v>0</v>
      </c>
      <c r="Y61" s="90">
        <v>33.1</v>
      </c>
      <c r="Z61" s="90">
        <v>25.2</v>
      </c>
      <c r="AA61" s="90">
        <v>41.7</v>
      </c>
      <c r="AB61" s="92" t="s">
        <v>96</v>
      </c>
      <c r="AC61" s="92">
        <f>Y61+X61</f>
        <v>33.1</v>
      </c>
      <c r="AD61" s="92"/>
      <c r="AE61" s="92">
        <f>AF61+AG61+AH61</f>
        <v>4.3923700000000006</v>
      </c>
      <c r="AF61" s="90">
        <v>0</v>
      </c>
      <c r="AG61" s="90">
        <v>0</v>
      </c>
      <c r="AH61" s="90">
        <f>(1.88+1.39+1.01+2.79+2.03+4.17)*Y61/100</f>
        <v>4.3923700000000006</v>
      </c>
      <c r="AI61" s="90" t="s">
        <v>92</v>
      </c>
      <c r="AJ61" s="90">
        <f>(1.17+2.95)*Y61/100</f>
        <v>1.36372</v>
      </c>
      <c r="AK61" s="90" t="s">
        <v>92</v>
      </c>
      <c r="AL61" s="93">
        <f>1.55*Y61/100</f>
        <v>0.51305000000000012</v>
      </c>
      <c r="AM61" s="90" t="s">
        <v>92</v>
      </c>
      <c r="AN61" s="90" t="s">
        <v>92</v>
      </c>
      <c r="AO61" s="90">
        <f>(7.05+1.35+1.32+2.48)*Y61/100</f>
        <v>4.0382000000000007</v>
      </c>
      <c r="AP61" s="90" t="s">
        <v>92</v>
      </c>
      <c r="AQ61" s="90" t="s">
        <v>92</v>
      </c>
      <c r="AR61" s="90" t="s">
        <v>92</v>
      </c>
      <c r="AS61" s="93">
        <f>(33.07+1.9+2.61)*Y61/100</f>
        <v>12.438979999999999</v>
      </c>
      <c r="AT61" s="93" t="s">
        <v>92</v>
      </c>
      <c r="AU61" s="90" t="s">
        <v>92</v>
      </c>
      <c r="AV61" s="93" t="s">
        <v>92</v>
      </c>
      <c r="AW61" s="93" t="s">
        <v>92</v>
      </c>
      <c r="AX61" s="93" t="s">
        <v>92</v>
      </c>
      <c r="AY61" s="93" t="s">
        <v>92</v>
      </c>
      <c r="AZ61" s="93" t="s">
        <v>92</v>
      </c>
      <c r="BA61" s="90">
        <f>(1.02+7.21)*Y61/100</f>
        <v>2.7241300000000002</v>
      </c>
      <c r="BB61" s="90"/>
      <c r="BC61" s="90" t="s">
        <v>129</v>
      </c>
      <c r="BD61" s="90" t="s">
        <v>122</v>
      </c>
      <c r="BE61" s="115"/>
      <c r="BF61" s="115"/>
      <c r="BG61" s="115"/>
      <c r="BH61" s="115"/>
      <c r="BI61" s="115"/>
      <c r="BJ61" s="115"/>
    </row>
  </sheetData>
  <mergeCells count="17">
    <mergeCell ref="H2:H3"/>
    <mergeCell ref="A1:V1"/>
    <mergeCell ref="Y1:AS1"/>
    <mergeCell ref="A2:A3"/>
    <mergeCell ref="B2:B3"/>
    <mergeCell ref="D2:D3"/>
    <mergeCell ref="E2:E3"/>
    <mergeCell ref="I2:I3"/>
    <mergeCell ref="J2:J3"/>
    <mergeCell ref="K2:K3"/>
    <mergeCell ref="L2:L3"/>
    <mergeCell ref="M2:M3"/>
    <mergeCell ref="N2:N3"/>
    <mergeCell ref="O2:U2"/>
    <mergeCell ref="Y2:AA2"/>
    <mergeCell ref="AF2:AS2"/>
    <mergeCell ref="G2:G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8EF6-6934-459D-8AC8-D8821E85377C}">
  <dimension ref="A1:BE117"/>
  <sheetViews>
    <sheetView workbookViewId="0">
      <selection sqref="A1:U1"/>
    </sheetView>
  </sheetViews>
  <sheetFormatPr baseColWidth="10" defaultColWidth="8.83203125" defaultRowHeight="15" x14ac:dyDescent="0.2"/>
  <cols>
    <col min="1" max="1" width="12.5" bestFit="1" customWidth="1"/>
    <col min="2" max="2" width="13" bestFit="1" customWidth="1"/>
    <col min="3" max="3" width="12.5" customWidth="1"/>
    <col min="4" max="4" width="17.83203125" bestFit="1" customWidth="1"/>
    <col min="5" max="5" width="10.5" bestFit="1" customWidth="1"/>
    <col min="6" max="6" width="15.1640625" bestFit="1" customWidth="1"/>
    <col min="7" max="7" width="22.6640625" style="26" customWidth="1"/>
    <col min="8" max="8" width="14.5" bestFit="1" customWidth="1"/>
    <col min="9" max="9" width="7.83203125" bestFit="1" customWidth="1"/>
    <col min="10" max="10" width="16.5" bestFit="1" customWidth="1"/>
    <col min="11" max="11" width="16.1640625" customWidth="1"/>
    <col min="12" max="12" width="24.5" bestFit="1" customWidth="1"/>
    <col min="13" max="13" width="22.5" bestFit="1" customWidth="1"/>
    <col min="14" max="14" width="8.33203125" bestFit="1" customWidth="1"/>
    <col min="15" max="15" width="13.33203125" bestFit="1" customWidth="1"/>
    <col min="21" max="21" width="11.6640625" bestFit="1" customWidth="1"/>
    <col min="28" max="28" width="17.5" bestFit="1" customWidth="1"/>
    <col min="29" max="29" width="17.5" customWidth="1"/>
    <col min="40" max="40" width="19.83203125" bestFit="1" customWidth="1"/>
    <col min="45" max="45" width="11.1640625" bestFit="1" customWidth="1"/>
    <col min="46" max="46" width="22.5" bestFit="1" customWidth="1"/>
    <col min="47" max="48" width="17.6640625" bestFit="1" customWidth="1"/>
    <col min="50" max="50" width="20.1640625" bestFit="1" customWidth="1"/>
    <col min="51" max="51" width="15.1640625" bestFit="1" customWidth="1"/>
    <col min="54" max="54" width="48.5" bestFit="1" customWidth="1"/>
    <col min="55" max="55" width="112.83203125" bestFit="1" customWidth="1"/>
  </cols>
  <sheetData>
    <row r="1" spans="1:57" s="1" customFormat="1" ht="15" customHeight="1" x14ac:dyDescent="0.1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X1" s="136" t="s">
        <v>1</v>
      </c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62"/>
      <c r="AT1" s="62"/>
      <c r="AU1" s="62"/>
      <c r="AV1" s="62"/>
      <c r="AW1" s="62"/>
      <c r="AX1" s="62"/>
      <c r="AY1" s="62"/>
      <c r="AZ1" s="62"/>
      <c r="BB1" s="1" t="s">
        <v>2</v>
      </c>
      <c r="BC1" s="1" t="s">
        <v>245</v>
      </c>
      <c r="BE1" s="1" t="s">
        <v>242</v>
      </c>
    </row>
    <row r="2" spans="1:57" s="1" customFormat="1" ht="15" customHeight="1" x14ac:dyDescent="0.15">
      <c r="A2" s="133" t="s">
        <v>6</v>
      </c>
      <c r="B2" s="133"/>
      <c r="C2" s="60" t="s">
        <v>171</v>
      </c>
      <c r="D2" s="133" t="s">
        <v>8</v>
      </c>
      <c r="E2" s="133" t="s">
        <v>9</v>
      </c>
      <c r="F2" s="60" t="s">
        <v>9</v>
      </c>
      <c r="G2" s="144" t="s">
        <v>219</v>
      </c>
      <c r="H2" s="133" t="s">
        <v>11</v>
      </c>
      <c r="I2" s="133" t="s">
        <v>12</v>
      </c>
      <c r="J2" s="133" t="s">
        <v>13</v>
      </c>
      <c r="K2" s="133" t="s">
        <v>16</v>
      </c>
      <c r="L2" s="133" t="s">
        <v>17</v>
      </c>
      <c r="M2" s="133" t="s">
        <v>18</v>
      </c>
      <c r="N2" s="132" t="s">
        <v>19</v>
      </c>
      <c r="O2" s="132"/>
      <c r="P2" s="132"/>
      <c r="Q2" s="132"/>
      <c r="R2" s="132"/>
      <c r="S2" s="132"/>
      <c r="T2" s="132"/>
      <c r="X2" s="132" t="s">
        <v>20</v>
      </c>
      <c r="Y2" s="132"/>
      <c r="Z2" s="132"/>
      <c r="AD2" s="8"/>
      <c r="AE2" s="132" t="s">
        <v>21</v>
      </c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</row>
    <row r="3" spans="1:57" s="2" customFormat="1" ht="12.75" customHeight="1" x14ac:dyDescent="0.15">
      <c r="A3" s="134"/>
      <c r="B3" s="134"/>
      <c r="C3" s="61" t="s">
        <v>22</v>
      </c>
      <c r="D3" s="134"/>
      <c r="E3" s="134"/>
      <c r="F3" s="61" t="s">
        <v>23</v>
      </c>
      <c r="G3" s="145"/>
      <c r="H3" s="134"/>
      <c r="I3" s="134"/>
      <c r="J3" s="134"/>
      <c r="K3" s="134"/>
      <c r="L3" s="134"/>
      <c r="M3" s="134"/>
      <c r="N3" s="2" t="s">
        <v>27</v>
      </c>
      <c r="O3" s="2" t="s">
        <v>31</v>
      </c>
      <c r="P3" s="2" t="s">
        <v>39</v>
      </c>
      <c r="Q3" s="2" t="s">
        <v>43</v>
      </c>
      <c r="R3" s="2" t="s">
        <v>47</v>
      </c>
      <c r="S3" s="2" t="s">
        <v>51</v>
      </c>
      <c r="T3" s="2" t="s">
        <v>55</v>
      </c>
      <c r="U3" s="2" t="s">
        <v>56</v>
      </c>
      <c r="W3" s="2" t="s">
        <v>60</v>
      </c>
      <c r="X3" s="2" t="s">
        <v>61</v>
      </c>
      <c r="Y3" s="2" t="s">
        <v>62</v>
      </c>
      <c r="Z3" s="2" t="s">
        <v>63</v>
      </c>
      <c r="AA3" s="2" t="s">
        <v>64</v>
      </c>
      <c r="AB3" s="2" t="s">
        <v>65</v>
      </c>
      <c r="AD3" s="9" t="s">
        <v>66</v>
      </c>
      <c r="AE3" s="6" t="s">
        <v>67</v>
      </c>
      <c r="AF3" s="6" t="s">
        <v>68</v>
      </c>
      <c r="AG3" s="6" t="s">
        <v>69</v>
      </c>
      <c r="AH3" s="9" t="s">
        <v>70</v>
      </c>
      <c r="AI3" s="2" t="s">
        <v>71</v>
      </c>
      <c r="AJ3" s="9" t="s">
        <v>72</v>
      </c>
      <c r="AK3" s="9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79</v>
      </c>
      <c r="AR3" s="2" t="s">
        <v>80</v>
      </c>
      <c r="AS3" s="2" t="s">
        <v>81</v>
      </c>
      <c r="AT3" s="2" t="s">
        <v>82</v>
      </c>
      <c r="AU3" s="2" t="s">
        <v>83</v>
      </c>
      <c r="AV3" s="2" t="s">
        <v>84</v>
      </c>
      <c r="AW3" s="2" t="s">
        <v>85</v>
      </c>
      <c r="AX3" s="2" t="s">
        <v>86</v>
      </c>
      <c r="AY3" s="2" t="s">
        <v>87</v>
      </c>
      <c r="AZ3" s="2" t="s">
        <v>88</v>
      </c>
      <c r="BC3" s="2" t="s">
        <v>89</v>
      </c>
    </row>
    <row r="4" spans="1:57" s="67" customFormat="1" ht="13" x14ac:dyDescent="0.15">
      <c r="A4" s="67" t="s">
        <v>90</v>
      </c>
      <c r="B4" s="67" t="s">
        <v>115</v>
      </c>
      <c r="C4" s="67" t="s">
        <v>92</v>
      </c>
      <c r="D4" s="67" t="s">
        <v>92</v>
      </c>
      <c r="E4" s="67" t="s">
        <v>93</v>
      </c>
      <c r="F4" s="67">
        <v>1</v>
      </c>
      <c r="G4" s="67">
        <f>10*60</f>
        <v>600</v>
      </c>
      <c r="H4" s="67">
        <v>500</v>
      </c>
      <c r="I4" s="67" t="s">
        <v>92</v>
      </c>
      <c r="J4" s="67">
        <v>0.75</v>
      </c>
      <c r="L4" s="68" t="s">
        <v>92</v>
      </c>
      <c r="M4" s="67" t="s">
        <v>92</v>
      </c>
      <c r="N4" s="67">
        <v>1.93</v>
      </c>
      <c r="O4" s="67">
        <v>81.59</v>
      </c>
      <c r="P4" s="67">
        <v>0.52</v>
      </c>
      <c r="Q4" s="67">
        <v>46.631999999999998</v>
      </c>
      <c r="R4" s="67">
        <v>6.4340000000000002</v>
      </c>
      <c r="S4" s="67">
        <v>0.19700000000000001</v>
      </c>
      <c r="T4" s="67">
        <v>46.737000000000002</v>
      </c>
      <c r="U4" s="67" t="s">
        <v>92</v>
      </c>
      <c r="V4" s="68">
        <f t="shared" ref="V4:V41" si="0">X4+Y4+Z4</f>
        <v>100.5</v>
      </c>
      <c r="W4" s="68">
        <f t="shared" ref="W4:W41" si="1">100-V4</f>
        <v>-0.5</v>
      </c>
      <c r="X4" s="67">
        <v>54.2</v>
      </c>
      <c r="Y4" s="67">
        <v>23</v>
      </c>
      <c r="Z4" s="67">
        <v>23.3</v>
      </c>
      <c r="AA4" s="68" t="s">
        <v>96</v>
      </c>
      <c r="AB4" s="68">
        <f>X4+W4</f>
        <v>53.7</v>
      </c>
      <c r="AC4" s="68"/>
      <c r="AD4" s="68">
        <f>AE4+AF4+AG4</f>
        <v>39.985019999999999</v>
      </c>
      <c r="AE4" s="67">
        <v>0</v>
      </c>
      <c r="AF4" s="67">
        <v>0</v>
      </c>
      <c r="AG4" s="68">
        <f>(AB4/100)*74.46</f>
        <v>39.985019999999999</v>
      </c>
      <c r="AH4" s="67">
        <f>AB4/100*4.23</f>
        <v>2.2715100000000006</v>
      </c>
      <c r="AI4" s="67">
        <f>AB4/100*9.31</f>
        <v>4.9994700000000005</v>
      </c>
      <c r="AJ4" s="67">
        <v>0</v>
      </c>
      <c r="AK4" s="67">
        <f>AB4/100*1.51</f>
        <v>0.81087000000000009</v>
      </c>
      <c r="AL4" s="68" t="s">
        <v>92</v>
      </c>
      <c r="AM4" s="68" t="s">
        <v>92</v>
      </c>
      <c r="AN4" s="68" t="s">
        <v>92</v>
      </c>
      <c r="AO4" s="68" t="s">
        <v>92</v>
      </c>
      <c r="AP4" s="67">
        <f>AB4/100*6.23</f>
        <v>3.3455100000000004</v>
      </c>
      <c r="AR4" s="67">
        <v>0</v>
      </c>
      <c r="AS4" s="69" t="s">
        <v>92</v>
      </c>
      <c r="AT4" s="69" t="s">
        <v>92</v>
      </c>
      <c r="AU4" s="69" t="s">
        <v>92</v>
      </c>
      <c r="AV4" s="69" t="s">
        <v>92</v>
      </c>
      <c r="AW4" s="69" t="s">
        <v>92</v>
      </c>
      <c r="AX4" s="69" t="s">
        <v>92</v>
      </c>
      <c r="AY4" s="69" t="s">
        <v>92</v>
      </c>
      <c r="AZ4" s="67">
        <f>AB4/100*1.37</f>
        <v>0.73569000000000007</v>
      </c>
      <c r="BB4" s="67" t="s">
        <v>116</v>
      </c>
    </row>
    <row r="5" spans="1:57" s="67" customFormat="1" ht="13" x14ac:dyDescent="0.15">
      <c r="A5" s="67" t="s">
        <v>90</v>
      </c>
      <c r="B5" s="67" t="s">
        <v>115</v>
      </c>
      <c r="C5" s="67" t="s">
        <v>92</v>
      </c>
      <c r="D5" s="67" t="s">
        <v>92</v>
      </c>
      <c r="E5" s="67" t="s">
        <v>93</v>
      </c>
      <c r="F5" s="67">
        <v>1</v>
      </c>
      <c r="G5" s="67">
        <f>10*60</f>
        <v>600</v>
      </c>
      <c r="H5" s="67">
        <v>550</v>
      </c>
      <c r="I5" s="67" t="s">
        <v>92</v>
      </c>
      <c r="J5" s="67">
        <v>0.75</v>
      </c>
      <c r="L5" s="68" t="s">
        <v>92</v>
      </c>
      <c r="M5" s="67" t="s">
        <v>92</v>
      </c>
      <c r="N5" s="67">
        <v>1.93</v>
      </c>
      <c r="O5" s="67">
        <v>81.59</v>
      </c>
      <c r="P5" s="67">
        <v>0.52</v>
      </c>
      <c r="Q5" s="67">
        <v>46.631999999999998</v>
      </c>
      <c r="R5" s="67">
        <v>6.4340000000000002</v>
      </c>
      <c r="S5" s="67">
        <v>0.19700000000000001</v>
      </c>
      <c r="T5" s="67">
        <v>46.737000000000002</v>
      </c>
      <c r="U5" s="67" t="s">
        <v>92</v>
      </c>
      <c r="V5" s="68">
        <f t="shared" si="0"/>
        <v>100.7</v>
      </c>
      <c r="W5" s="68">
        <f t="shared" si="1"/>
        <v>-0.70000000000000284</v>
      </c>
      <c r="X5" s="67">
        <v>54.7</v>
      </c>
      <c r="Y5" s="67">
        <v>21.8</v>
      </c>
      <c r="Z5" s="67">
        <v>24.2</v>
      </c>
      <c r="AA5" s="68" t="s">
        <v>96</v>
      </c>
      <c r="AB5" s="68">
        <f t="shared" ref="AB5:AB41" si="2">X5+W5</f>
        <v>54</v>
      </c>
      <c r="AC5" s="68"/>
      <c r="AD5" s="68">
        <f>AE5+AF5+AG5</f>
        <v>42.217200000000005</v>
      </c>
      <c r="AE5" s="67">
        <v>0</v>
      </c>
      <c r="AF5" s="67">
        <v>0</v>
      </c>
      <c r="AG5" s="68">
        <f>AB5/100*78.18</f>
        <v>42.217200000000005</v>
      </c>
      <c r="AH5" s="67">
        <f>AB5/100*5.2</f>
        <v>2.8080000000000003</v>
      </c>
      <c r="AI5" s="67">
        <f>AB5/100*5.8</f>
        <v>3.1320000000000001</v>
      </c>
      <c r="AJ5" s="67">
        <f>AB5/100*1.18</f>
        <v>0.63719999999999999</v>
      </c>
      <c r="AK5" s="67">
        <f>AB5/100*0.5</f>
        <v>0.27</v>
      </c>
      <c r="AL5" s="68" t="s">
        <v>92</v>
      </c>
      <c r="AM5" s="68" t="s">
        <v>92</v>
      </c>
      <c r="AN5" s="68" t="s">
        <v>92</v>
      </c>
      <c r="AO5" s="68" t="s">
        <v>92</v>
      </c>
      <c r="AP5" s="67">
        <f>AB5/100*5.86</f>
        <v>3.1644000000000005</v>
      </c>
      <c r="AR5" s="67">
        <f>AB5/100*0.39</f>
        <v>0.21060000000000001</v>
      </c>
      <c r="AS5" s="69" t="s">
        <v>92</v>
      </c>
      <c r="AT5" s="69" t="s">
        <v>92</v>
      </c>
      <c r="AU5" s="69" t="s">
        <v>92</v>
      </c>
      <c r="AV5" s="69" t="s">
        <v>92</v>
      </c>
      <c r="AW5" s="69" t="s">
        <v>92</v>
      </c>
      <c r="AX5" s="69" t="s">
        <v>92</v>
      </c>
      <c r="AY5" s="69" t="s">
        <v>92</v>
      </c>
      <c r="AZ5" s="67">
        <f>AB5/100*1.87</f>
        <v>1.0098</v>
      </c>
      <c r="BB5" s="67" t="s">
        <v>116</v>
      </c>
      <c r="BC5" s="67" t="s">
        <v>98</v>
      </c>
    </row>
    <row r="6" spans="1:57" s="67" customFormat="1" ht="13" x14ac:dyDescent="0.15">
      <c r="A6" s="67" t="s">
        <v>90</v>
      </c>
      <c r="B6" s="67" t="s">
        <v>115</v>
      </c>
      <c r="C6" s="67" t="s">
        <v>92</v>
      </c>
      <c r="D6" s="67" t="s">
        <v>92</v>
      </c>
      <c r="E6" s="67" t="s">
        <v>93</v>
      </c>
      <c r="F6" s="67">
        <v>1</v>
      </c>
      <c r="G6" s="67">
        <f>10*60</f>
        <v>600</v>
      </c>
      <c r="H6" s="67">
        <v>600</v>
      </c>
      <c r="I6" s="67" t="s">
        <v>92</v>
      </c>
      <c r="J6" s="67">
        <v>0.75</v>
      </c>
      <c r="L6" s="68" t="s">
        <v>92</v>
      </c>
      <c r="M6" s="67" t="s">
        <v>92</v>
      </c>
      <c r="N6" s="67">
        <v>1.93</v>
      </c>
      <c r="O6" s="67">
        <v>81.59</v>
      </c>
      <c r="P6" s="67">
        <v>0.52</v>
      </c>
      <c r="Q6" s="67">
        <v>46.631999999999998</v>
      </c>
      <c r="R6" s="67">
        <v>6.4340000000000002</v>
      </c>
      <c r="S6" s="67">
        <v>0.19700000000000001</v>
      </c>
      <c r="T6" s="67">
        <v>46.737000000000002</v>
      </c>
      <c r="U6" s="67" t="s">
        <v>92</v>
      </c>
      <c r="V6" s="68">
        <f t="shared" si="0"/>
        <v>100.3</v>
      </c>
      <c r="W6" s="68">
        <f t="shared" si="1"/>
        <v>-0.29999999999999716</v>
      </c>
      <c r="X6" s="67">
        <v>55.6</v>
      </c>
      <c r="Y6" s="67">
        <v>19.399999999999999</v>
      </c>
      <c r="Z6" s="67">
        <v>25.3</v>
      </c>
      <c r="AA6" s="68" t="s">
        <v>96</v>
      </c>
      <c r="AB6" s="68">
        <f t="shared" si="2"/>
        <v>55.300000000000004</v>
      </c>
      <c r="AC6" s="68"/>
      <c r="AD6" s="68">
        <f>AE6+AF6+AG6</f>
        <v>28.706230000000001</v>
      </c>
      <c r="AE6" s="67">
        <v>0</v>
      </c>
      <c r="AF6" s="67">
        <v>0</v>
      </c>
      <c r="AG6" s="68">
        <f>AB6/100*51.91</f>
        <v>28.706230000000001</v>
      </c>
      <c r="AH6" s="67">
        <f>AB6/100*10.92</f>
        <v>6.0387600000000008</v>
      </c>
      <c r="AI6" s="67">
        <v>0</v>
      </c>
      <c r="AJ6" s="67">
        <f>AB6/100*15.19</f>
        <v>8.4000700000000013</v>
      </c>
      <c r="AK6" s="67">
        <f>AB6/100*3.38</f>
        <v>1.86914</v>
      </c>
      <c r="AL6" s="68" t="s">
        <v>92</v>
      </c>
      <c r="AM6" s="68" t="s">
        <v>92</v>
      </c>
      <c r="AN6" s="68" t="s">
        <v>92</v>
      </c>
      <c r="AO6" s="68" t="s">
        <v>92</v>
      </c>
      <c r="AP6" s="67">
        <f>AB6/100*7.74</f>
        <v>4.2802200000000008</v>
      </c>
      <c r="AR6" s="67">
        <f>AB6/100*1.54</f>
        <v>0.85162000000000004</v>
      </c>
      <c r="AS6" s="69" t="s">
        <v>92</v>
      </c>
      <c r="AT6" s="69" t="s">
        <v>92</v>
      </c>
      <c r="AU6" s="69" t="s">
        <v>92</v>
      </c>
      <c r="AV6" s="69" t="s">
        <v>92</v>
      </c>
      <c r="AW6" s="69" t="s">
        <v>92</v>
      </c>
      <c r="AX6" s="69" t="s">
        <v>92</v>
      </c>
      <c r="AY6" s="69" t="s">
        <v>92</v>
      </c>
      <c r="AZ6" s="67">
        <f>AB6/100*9.32</f>
        <v>5.1539600000000005</v>
      </c>
      <c r="BB6" s="67" t="s">
        <v>116</v>
      </c>
    </row>
    <row r="7" spans="1:57" s="67" customFormat="1" ht="13" x14ac:dyDescent="0.15">
      <c r="A7" s="67" t="s">
        <v>90</v>
      </c>
      <c r="B7" s="67" t="s">
        <v>115</v>
      </c>
      <c r="C7" s="67" t="s">
        <v>92</v>
      </c>
      <c r="D7" s="67" t="s">
        <v>92</v>
      </c>
      <c r="E7" s="67" t="s">
        <v>93</v>
      </c>
      <c r="F7" s="67">
        <v>1</v>
      </c>
      <c r="G7" s="67">
        <f>10*60</f>
        <v>600</v>
      </c>
      <c r="H7" s="67">
        <v>650</v>
      </c>
      <c r="I7" s="67" t="s">
        <v>92</v>
      </c>
      <c r="J7" s="67">
        <v>0.75</v>
      </c>
      <c r="L7" s="68" t="s">
        <v>92</v>
      </c>
      <c r="M7" s="67" t="s">
        <v>92</v>
      </c>
      <c r="N7" s="67">
        <v>1.93</v>
      </c>
      <c r="O7" s="67">
        <v>81.59</v>
      </c>
      <c r="P7" s="67">
        <v>0.52</v>
      </c>
      <c r="Q7" s="67">
        <v>46.631999999999998</v>
      </c>
      <c r="R7" s="67">
        <v>6.4340000000000002</v>
      </c>
      <c r="S7" s="67">
        <v>0.19700000000000001</v>
      </c>
      <c r="T7" s="67">
        <v>46.737000000000002</v>
      </c>
      <c r="U7" s="67" t="s">
        <v>92</v>
      </c>
      <c r="V7" s="68">
        <f t="shared" si="0"/>
        <v>100.7</v>
      </c>
      <c r="W7" s="68">
        <f t="shared" si="1"/>
        <v>-0.70000000000000284</v>
      </c>
      <c r="X7" s="67">
        <v>52.9</v>
      </c>
      <c r="Y7" s="67">
        <v>19.600000000000001</v>
      </c>
      <c r="Z7" s="67">
        <v>28.2</v>
      </c>
      <c r="AA7" s="68" t="s">
        <v>96</v>
      </c>
      <c r="AB7" s="68">
        <f t="shared" si="2"/>
        <v>52.199999999999996</v>
      </c>
      <c r="AC7" s="68"/>
      <c r="AD7" s="68">
        <f>AE7+AF7+AG7</f>
        <v>39.369239999999991</v>
      </c>
      <c r="AE7" s="67">
        <v>0</v>
      </c>
      <c r="AF7" s="67">
        <v>0</v>
      </c>
      <c r="AG7" s="68">
        <f>AB7/100*75.42</f>
        <v>39.369239999999991</v>
      </c>
      <c r="AH7" s="67">
        <f>AB7/100*9.27</f>
        <v>4.8389399999999991</v>
      </c>
      <c r="AI7" s="67">
        <f>AB7/100*7.01</f>
        <v>3.659219999999999</v>
      </c>
      <c r="AJ7" s="67">
        <v>0</v>
      </c>
      <c r="AK7" s="67">
        <v>0</v>
      </c>
      <c r="AL7" s="68" t="s">
        <v>92</v>
      </c>
      <c r="AM7" s="68" t="s">
        <v>92</v>
      </c>
      <c r="AN7" s="68" t="s">
        <v>92</v>
      </c>
      <c r="AO7" s="68" t="s">
        <v>92</v>
      </c>
      <c r="AP7" s="67">
        <f>AB7/100*8.3</f>
        <v>4.3325999999999993</v>
      </c>
      <c r="AR7" s="67">
        <f>AB7/100*10.27</f>
        <v>5.3609399999999985</v>
      </c>
      <c r="AS7" s="69" t="s">
        <v>92</v>
      </c>
      <c r="AT7" s="69" t="s">
        <v>92</v>
      </c>
      <c r="AU7" s="69" t="s">
        <v>92</v>
      </c>
      <c r="AV7" s="69" t="s">
        <v>92</v>
      </c>
      <c r="AW7" s="69" t="s">
        <v>92</v>
      </c>
      <c r="AX7" s="69" t="s">
        <v>92</v>
      </c>
      <c r="AY7" s="69" t="s">
        <v>92</v>
      </c>
      <c r="AZ7" s="67">
        <v>0</v>
      </c>
      <c r="BB7" s="67" t="s">
        <v>116</v>
      </c>
    </row>
    <row r="8" spans="1:57" s="67" customFormat="1" ht="13.5" customHeight="1" x14ac:dyDescent="0.15">
      <c r="A8" s="67" t="s">
        <v>90</v>
      </c>
      <c r="B8" s="67" t="s">
        <v>115</v>
      </c>
      <c r="C8" s="67" t="s">
        <v>92</v>
      </c>
      <c r="D8" s="67" t="s">
        <v>92</v>
      </c>
      <c r="E8" s="67" t="s">
        <v>93</v>
      </c>
      <c r="F8" s="67">
        <v>1</v>
      </c>
      <c r="G8" s="67">
        <f>10*60</f>
        <v>600</v>
      </c>
      <c r="H8" s="67">
        <v>700</v>
      </c>
      <c r="I8" s="67" t="s">
        <v>92</v>
      </c>
      <c r="J8" s="67">
        <v>0.75</v>
      </c>
      <c r="L8" s="68" t="s">
        <v>92</v>
      </c>
      <c r="M8" s="67" t="s">
        <v>92</v>
      </c>
      <c r="N8" s="67">
        <v>1.93</v>
      </c>
      <c r="O8" s="67">
        <v>81.59</v>
      </c>
      <c r="P8" s="67">
        <v>0.52</v>
      </c>
      <c r="Q8" s="67">
        <v>46.631999999999998</v>
      </c>
      <c r="R8" s="67">
        <v>6.4340000000000002</v>
      </c>
      <c r="S8" s="67">
        <v>0.19700000000000001</v>
      </c>
      <c r="T8" s="67">
        <v>46.737000000000002</v>
      </c>
      <c r="U8" s="67" t="s">
        <v>92</v>
      </c>
      <c r="V8" s="68">
        <f t="shared" si="0"/>
        <v>100.30000000000001</v>
      </c>
      <c r="W8" s="68">
        <f t="shared" si="1"/>
        <v>-0.30000000000001137</v>
      </c>
      <c r="X8" s="67">
        <v>51.8</v>
      </c>
      <c r="Y8" s="67">
        <v>19.600000000000001</v>
      </c>
      <c r="Z8" s="67">
        <v>28.9</v>
      </c>
      <c r="AA8" s="68" t="s">
        <v>96</v>
      </c>
      <c r="AB8" s="68">
        <f t="shared" si="2"/>
        <v>51.499999999999986</v>
      </c>
      <c r="AC8" s="68"/>
      <c r="AD8" s="68">
        <f>AE8+AF8+AG8</f>
        <v>33.346249999999991</v>
      </c>
      <c r="AE8" s="67">
        <v>0</v>
      </c>
      <c r="AF8" s="67">
        <v>0</v>
      </c>
      <c r="AG8" s="68">
        <f>AB8/100*64.75</f>
        <v>33.346249999999991</v>
      </c>
      <c r="AH8" s="67">
        <f>AB8/100*16.42</f>
        <v>8.4562999999999988</v>
      </c>
      <c r="AI8" s="67">
        <f>AB8/100*2.8</f>
        <v>1.4419999999999997</v>
      </c>
      <c r="AJ8" s="67">
        <v>0</v>
      </c>
      <c r="AK8" s="67">
        <f>AB8/100*1.63</f>
        <v>0.83944999999999981</v>
      </c>
      <c r="AL8" s="68" t="s">
        <v>92</v>
      </c>
      <c r="AM8" s="68" t="s">
        <v>92</v>
      </c>
      <c r="AN8" s="68" t="s">
        <v>92</v>
      </c>
      <c r="AO8" s="68" t="s">
        <v>92</v>
      </c>
      <c r="AP8" s="67">
        <f>AB8/100*7.68</f>
        <v>3.9551999999999992</v>
      </c>
      <c r="AR8" s="67">
        <f>AB8/100*1.6</f>
        <v>0.82399999999999984</v>
      </c>
      <c r="AS8" s="69" t="s">
        <v>92</v>
      </c>
      <c r="AT8" s="69" t="s">
        <v>92</v>
      </c>
      <c r="AU8" s="69" t="s">
        <v>92</v>
      </c>
      <c r="AV8" s="69" t="s">
        <v>92</v>
      </c>
      <c r="AW8" s="69" t="s">
        <v>92</v>
      </c>
      <c r="AX8" s="69" t="s">
        <v>92</v>
      </c>
      <c r="AY8" s="69" t="s">
        <v>92</v>
      </c>
      <c r="AZ8" s="67">
        <f>AB8/100*5.11</f>
        <v>2.6316499999999996</v>
      </c>
      <c r="BB8" s="67" t="s">
        <v>116</v>
      </c>
    </row>
    <row r="9" spans="1:57" s="67" customFormat="1" ht="13" x14ac:dyDescent="0.15">
      <c r="A9" s="67" t="s">
        <v>90</v>
      </c>
      <c r="B9" s="67" t="s">
        <v>115</v>
      </c>
      <c r="C9" s="67" t="s">
        <v>92</v>
      </c>
      <c r="D9" s="67" t="s">
        <v>92</v>
      </c>
      <c r="E9" s="67" t="s">
        <v>93</v>
      </c>
      <c r="F9" s="67">
        <v>0.03</v>
      </c>
      <c r="G9" s="130">
        <f>3*60</f>
        <v>180</v>
      </c>
      <c r="H9" s="67">
        <v>500</v>
      </c>
      <c r="I9" s="67" t="s">
        <v>92</v>
      </c>
      <c r="J9" s="67">
        <v>0.375</v>
      </c>
      <c r="K9" s="67">
        <v>5</v>
      </c>
      <c r="L9" s="68" t="s">
        <v>92</v>
      </c>
      <c r="M9" s="67" t="s">
        <v>92</v>
      </c>
      <c r="N9" s="67">
        <v>5.01</v>
      </c>
      <c r="O9" s="67">
        <v>77.709999999999994</v>
      </c>
      <c r="P9" s="67">
        <v>0.34</v>
      </c>
      <c r="Q9" s="67">
        <v>50.26</v>
      </c>
      <c r="R9" s="67">
        <v>6.72</v>
      </c>
      <c r="S9" s="67">
        <v>0.16</v>
      </c>
      <c r="T9" s="67">
        <v>42.66</v>
      </c>
      <c r="U9" s="67" t="s">
        <v>92</v>
      </c>
      <c r="V9" s="68">
        <f t="shared" si="0"/>
        <v>98.2</v>
      </c>
      <c r="W9" s="68">
        <f t="shared" si="1"/>
        <v>1.7999999999999972</v>
      </c>
      <c r="X9" s="67">
        <f>13.9+26.7</f>
        <v>40.6</v>
      </c>
      <c r="Y9" s="67">
        <v>17.3</v>
      </c>
      <c r="Z9" s="67">
        <v>40.299999999999997</v>
      </c>
      <c r="AA9" s="68" t="s">
        <v>96</v>
      </c>
      <c r="AB9" s="68">
        <f t="shared" si="2"/>
        <v>42.4</v>
      </c>
      <c r="AC9" s="68"/>
      <c r="AD9" s="68"/>
      <c r="AH9" s="67" t="s">
        <v>92</v>
      </c>
      <c r="AI9" s="67" t="s">
        <v>92</v>
      </c>
      <c r="AJ9" s="67" t="s">
        <v>92</v>
      </c>
      <c r="AK9" s="67" t="s">
        <v>92</v>
      </c>
      <c r="AL9" s="67" t="s">
        <v>92</v>
      </c>
      <c r="AM9" s="67" t="s">
        <v>92</v>
      </c>
      <c r="AN9" s="67" t="s">
        <v>92</v>
      </c>
      <c r="AO9" s="67" t="s">
        <v>92</v>
      </c>
      <c r="AP9" s="67" t="s">
        <v>92</v>
      </c>
      <c r="AQ9" s="67" t="s">
        <v>92</v>
      </c>
      <c r="AR9" s="67" t="s">
        <v>92</v>
      </c>
      <c r="AS9" s="69" t="s">
        <v>92</v>
      </c>
      <c r="AT9" s="67" t="s">
        <v>92</v>
      </c>
      <c r="AU9" s="67" t="s">
        <v>92</v>
      </c>
      <c r="AV9" s="67" t="s">
        <v>92</v>
      </c>
      <c r="AW9" s="67" t="s">
        <v>92</v>
      </c>
      <c r="AX9" s="67" t="s">
        <v>92</v>
      </c>
      <c r="AY9" s="67" t="s">
        <v>92</v>
      </c>
      <c r="AZ9" s="67" t="s">
        <v>92</v>
      </c>
      <c r="BB9" s="67" t="s">
        <v>139</v>
      </c>
      <c r="BC9" s="67" t="s">
        <v>140</v>
      </c>
    </row>
    <row r="10" spans="1:57" s="67" customFormat="1" ht="13" x14ac:dyDescent="0.15">
      <c r="A10" s="67" t="s">
        <v>90</v>
      </c>
      <c r="B10" s="67" t="s">
        <v>115</v>
      </c>
      <c r="C10" s="67" t="s">
        <v>92</v>
      </c>
      <c r="D10" s="67" t="s">
        <v>92</v>
      </c>
      <c r="E10" s="67" t="s">
        <v>93</v>
      </c>
      <c r="F10" s="67">
        <v>0.03</v>
      </c>
      <c r="G10" s="130">
        <f t="shared" ref="G10:G21" si="3">3*60</f>
        <v>180</v>
      </c>
      <c r="H10" s="67">
        <v>600</v>
      </c>
      <c r="I10" s="67" t="s">
        <v>92</v>
      </c>
      <c r="J10" s="67">
        <v>0.375</v>
      </c>
      <c r="K10" s="67">
        <v>5</v>
      </c>
      <c r="L10" s="68" t="s">
        <v>92</v>
      </c>
      <c r="M10" s="67" t="s">
        <v>92</v>
      </c>
      <c r="N10" s="67">
        <v>5.01</v>
      </c>
      <c r="O10" s="67">
        <v>77.709999999999994</v>
      </c>
      <c r="P10" s="67">
        <v>0.34</v>
      </c>
      <c r="Q10" s="67">
        <v>50.26</v>
      </c>
      <c r="R10" s="67">
        <v>6.72</v>
      </c>
      <c r="S10" s="67">
        <v>0.16</v>
      </c>
      <c r="T10" s="67">
        <v>42.66</v>
      </c>
      <c r="U10" s="67" t="s">
        <v>92</v>
      </c>
      <c r="V10" s="68">
        <f t="shared" si="0"/>
        <v>99.7</v>
      </c>
      <c r="W10" s="68">
        <f t="shared" si="1"/>
        <v>0.29999999999999716</v>
      </c>
      <c r="X10" s="67">
        <f>8.7+22.7</f>
        <v>31.4</v>
      </c>
      <c r="Y10" s="67">
        <v>10.8</v>
      </c>
      <c r="Z10" s="67">
        <v>57.5</v>
      </c>
      <c r="AA10" s="68" t="s">
        <v>96</v>
      </c>
      <c r="AB10" s="68">
        <f t="shared" si="2"/>
        <v>31.699999999999996</v>
      </c>
      <c r="AC10" s="68"/>
      <c r="AD10" s="68"/>
      <c r="AH10" s="67" t="s">
        <v>92</v>
      </c>
      <c r="AI10" s="67" t="s">
        <v>92</v>
      </c>
      <c r="AJ10" s="67" t="s">
        <v>92</v>
      </c>
      <c r="AK10" s="67" t="s">
        <v>92</v>
      </c>
      <c r="AL10" s="67" t="s">
        <v>92</v>
      </c>
      <c r="AM10" s="67" t="s">
        <v>92</v>
      </c>
      <c r="AN10" s="67" t="s">
        <v>92</v>
      </c>
      <c r="AO10" s="67" t="s">
        <v>92</v>
      </c>
      <c r="AP10" s="67" t="s">
        <v>92</v>
      </c>
      <c r="AQ10" s="67" t="s">
        <v>92</v>
      </c>
      <c r="AR10" s="67" t="s">
        <v>92</v>
      </c>
      <c r="AS10" s="69" t="s">
        <v>92</v>
      </c>
      <c r="AT10" s="67" t="s">
        <v>92</v>
      </c>
      <c r="AU10" s="67" t="s">
        <v>92</v>
      </c>
      <c r="AV10" s="67" t="s">
        <v>92</v>
      </c>
      <c r="AW10" s="67" t="s">
        <v>92</v>
      </c>
      <c r="AX10" s="67" t="s">
        <v>92</v>
      </c>
      <c r="AY10" s="67" t="s">
        <v>92</v>
      </c>
      <c r="AZ10" s="67" t="s">
        <v>92</v>
      </c>
      <c r="BB10" s="67" t="s">
        <v>139</v>
      </c>
    </row>
    <row r="11" spans="1:57" s="67" customFormat="1" ht="13" x14ac:dyDescent="0.15">
      <c r="A11" s="67" t="s">
        <v>90</v>
      </c>
      <c r="B11" s="67" t="s">
        <v>115</v>
      </c>
      <c r="C11" s="67" t="s">
        <v>92</v>
      </c>
      <c r="D11" s="67" t="s">
        <v>92</v>
      </c>
      <c r="E11" s="67" t="s">
        <v>93</v>
      </c>
      <c r="F11" s="67">
        <v>0.03</v>
      </c>
      <c r="G11" s="130">
        <f t="shared" si="3"/>
        <v>180</v>
      </c>
      <c r="H11" s="67">
        <v>700</v>
      </c>
      <c r="I11" s="67" t="s">
        <v>92</v>
      </c>
      <c r="J11" s="67">
        <v>0.375</v>
      </c>
      <c r="K11" s="67">
        <v>5</v>
      </c>
      <c r="L11" s="68" t="s">
        <v>92</v>
      </c>
      <c r="M11" s="67" t="s">
        <v>92</v>
      </c>
      <c r="N11" s="67">
        <v>5.01</v>
      </c>
      <c r="O11" s="67">
        <v>77.709999999999994</v>
      </c>
      <c r="P11" s="67">
        <v>0.34</v>
      </c>
      <c r="Q11" s="67">
        <v>50.26</v>
      </c>
      <c r="R11" s="67">
        <v>6.72</v>
      </c>
      <c r="S11" s="67">
        <v>0.16</v>
      </c>
      <c r="T11" s="67">
        <v>42.66</v>
      </c>
      <c r="U11" s="67" t="s">
        <v>92</v>
      </c>
      <c r="V11" s="68">
        <f t="shared" si="0"/>
        <v>101.22999999999999</v>
      </c>
      <c r="W11" s="68">
        <f t="shared" si="1"/>
        <v>-1.2299999999999898</v>
      </c>
      <c r="X11" s="67">
        <f>4.15+21.6</f>
        <v>25.75</v>
      </c>
      <c r="Y11" s="67">
        <v>5.38</v>
      </c>
      <c r="Z11" s="67">
        <v>70.099999999999994</v>
      </c>
      <c r="AA11" s="68" t="s">
        <v>96</v>
      </c>
      <c r="AB11" s="68">
        <f t="shared" si="2"/>
        <v>24.52000000000001</v>
      </c>
      <c r="AC11" s="68"/>
      <c r="AD11" s="68"/>
      <c r="AH11" s="67" t="s">
        <v>92</v>
      </c>
      <c r="AI11" s="67" t="s">
        <v>92</v>
      </c>
      <c r="AJ11" s="67" t="s">
        <v>92</v>
      </c>
      <c r="AK11" s="67" t="s">
        <v>92</v>
      </c>
      <c r="AL11" s="67" t="s">
        <v>92</v>
      </c>
      <c r="AM11" s="67" t="s">
        <v>92</v>
      </c>
      <c r="AN11" s="67" t="s">
        <v>92</v>
      </c>
      <c r="AO11" s="67" t="s">
        <v>92</v>
      </c>
      <c r="AP11" s="67" t="s">
        <v>92</v>
      </c>
      <c r="AQ11" s="67" t="s">
        <v>92</v>
      </c>
      <c r="AR11" s="67" t="s">
        <v>92</v>
      </c>
      <c r="AS11" s="69" t="s">
        <v>92</v>
      </c>
      <c r="AT11" s="67" t="s">
        <v>92</v>
      </c>
      <c r="AU11" s="67" t="s">
        <v>92</v>
      </c>
      <c r="AV11" s="67" t="s">
        <v>92</v>
      </c>
      <c r="AW11" s="67" t="s">
        <v>92</v>
      </c>
      <c r="AX11" s="67" t="s">
        <v>92</v>
      </c>
      <c r="AY11" s="67" t="s">
        <v>92</v>
      </c>
      <c r="AZ11" s="67" t="s">
        <v>92</v>
      </c>
      <c r="BB11" s="67" t="s">
        <v>139</v>
      </c>
    </row>
    <row r="12" spans="1:57" s="67" customFormat="1" ht="13" x14ac:dyDescent="0.15">
      <c r="A12" s="67" t="s">
        <v>90</v>
      </c>
      <c r="B12" s="67" t="s">
        <v>115</v>
      </c>
      <c r="C12" s="67" t="s">
        <v>92</v>
      </c>
      <c r="D12" s="67" t="s">
        <v>92</v>
      </c>
      <c r="E12" s="67" t="s">
        <v>93</v>
      </c>
      <c r="F12" s="67">
        <v>0.03</v>
      </c>
      <c r="G12" s="130">
        <f t="shared" si="3"/>
        <v>180</v>
      </c>
      <c r="H12" s="67">
        <v>800</v>
      </c>
      <c r="I12" s="67" t="s">
        <v>92</v>
      </c>
      <c r="J12" s="67">
        <v>0.375</v>
      </c>
      <c r="K12" s="67">
        <v>5</v>
      </c>
      <c r="L12" s="68" t="s">
        <v>92</v>
      </c>
      <c r="M12" s="67" t="s">
        <v>92</v>
      </c>
      <c r="N12" s="67">
        <v>5.01</v>
      </c>
      <c r="O12" s="67">
        <v>77.709999999999994</v>
      </c>
      <c r="P12" s="67">
        <v>0.34</v>
      </c>
      <c r="Q12" s="67">
        <v>50.26</v>
      </c>
      <c r="R12" s="67">
        <v>6.72</v>
      </c>
      <c r="S12" s="67">
        <v>0.16</v>
      </c>
      <c r="T12" s="67">
        <v>42.66</v>
      </c>
      <c r="U12" s="67" t="s">
        <v>92</v>
      </c>
      <c r="V12" s="68">
        <f t="shared" si="0"/>
        <v>96.7</v>
      </c>
      <c r="W12" s="68">
        <f t="shared" si="1"/>
        <v>3.2999999999999972</v>
      </c>
      <c r="X12" s="67">
        <f>3.69+17.9</f>
        <v>21.59</v>
      </c>
      <c r="Y12" s="67">
        <v>3.41</v>
      </c>
      <c r="Z12" s="67">
        <v>71.7</v>
      </c>
      <c r="AA12" s="68" t="s">
        <v>96</v>
      </c>
      <c r="AB12" s="68">
        <f t="shared" si="2"/>
        <v>24.889999999999997</v>
      </c>
      <c r="AC12" s="68"/>
      <c r="AD12" s="68"/>
      <c r="AH12" s="67" t="s">
        <v>92</v>
      </c>
      <c r="AI12" s="67" t="s">
        <v>92</v>
      </c>
      <c r="AJ12" s="67" t="s">
        <v>92</v>
      </c>
      <c r="AK12" s="67" t="s">
        <v>92</v>
      </c>
      <c r="AL12" s="67" t="s">
        <v>92</v>
      </c>
      <c r="AM12" s="67" t="s">
        <v>92</v>
      </c>
      <c r="AN12" s="67" t="s">
        <v>92</v>
      </c>
      <c r="AO12" s="67" t="s">
        <v>92</v>
      </c>
      <c r="AP12" s="67" t="s">
        <v>92</v>
      </c>
      <c r="AQ12" s="67" t="s">
        <v>92</v>
      </c>
      <c r="AR12" s="67" t="s">
        <v>92</v>
      </c>
      <c r="AS12" s="69" t="s">
        <v>92</v>
      </c>
      <c r="AT12" s="67" t="s">
        <v>92</v>
      </c>
      <c r="AU12" s="67" t="s">
        <v>92</v>
      </c>
      <c r="AV12" s="67" t="s">
        <v>92</v>
      </c>
      <c r="AW12" s="67" t="s">
        <v>92</v>
      </c>
      <c r="AX12" s="67" t="s">
        <v>92</v>
      </c>
      <c r="AY12" s="67" t="s">
        <v>92</v>
      </c>
      <c r="AZ12" s="67" t="s">
        <v>92</v>
      </c>
      <c r="BB12" s="67" t="s">
        <v>139</v>
      </c>
    </row>
    <row r="13" spans="1:57" s="67" customFormat="1" ht="13" x14ac:dyDescent="0.15">
      <c r="A13" s="67" t="s">
        <v>90</v>
      </c>
      <c r="B13" s="67" t="s">
        <v>115</v>
      </c>
      <c r="C13" s="67" t="s">
        <v>92</v>
      </c>
      <c r="D13" s="67" t="s">
        <v>92</v>
      </c>
      <c r="E13" s="67" t="s">
        <v>93</v>
      </c>
      <c r="F13" s="67">
        <v>0.03</v>
      </c>
      <c r="G13" s="130">
        <f t="shared" si="3"/>
        <v>180</v>
      </c>
      <c r="H13" s="67">
        <v>800</v>
      </c>
      <c r="I13" s="67" t="s">
        <v>92</v>
      </c>
      <c r="J13" s="67">
        <v>1.05</v>
      </c>
      <c r="K13" s="67">
        <v>5</v>
      </c>
      <c r="L13" s="68" t="s">
        <v>92</v>
      </c>
      <c r="M13" s="67" t="s">
        <v>92</v>
      </c>
      <c r="N13" s="67">
        <v>5.01</v>
      </c>
      <c r="O13" s="67">
        <v>77.709999999999994</v>
      </c>
      <c r="P13" s="67">
        <v>0.34</v>
      </c>
      <c r="Q13" s="67">
        <v>50.26</v>
      </c>
      <c r="R13" s="67">
        <v>6.72</v>
      </c>
      <c r="S13" s="67">
        <v>0.16</v>
      </c>
      <c r="T13" s="67">
        <v>42.66</v>
      </c>
      <c r="U13" s="67" t="s">
        <v>92</v>
      </c>
      <c r="V13" s="68">
        <f t="shared" si="0"/>
        <v>98.2</v>
      </c>
      <c r="W13" s="68">
        <f t="shared" si="1"/>
        <v>1.7999999999999972</v>
      </c>
      <c r="X13" s="67">
        <f>12.1+22.6</f>
        <v>34.700000000000003</v>
      </c>
      <c r="Y13" s="67">
        <v>10.199999999999999</v>
      </c>
      <c r="Z13" s="67">
        <v>53.3</v>
      </c>
      <c r="AA13" s="68" t="s">
        <v>96</v>
      </c>
      <c r="AB13" s="68">
        <f t="shared" si="2"/>
        <v>36.5</v>
      </c>
      <c r="AC13" s="68"/>
      <c r="AD13" s="68"/>
      <c r="AH13" s="67" t="s">
        <v>92</v>
      </c>
      <c r="AI13" s="67" t="s">
        <v>92</v>
      </c>
      <c r="AJ13" s="67" t="s">
        <v>92</v>
      </c>
      <c r="AK13" s="67" t="s">
        <v>92</v>
      </c>
      <c r="AL13" s="67" t="s">
        <v>92</v>
      </c>
      <c r="AM13" s="67" t="s">
        <v>92</v>
      </c>
      <c r="AN13" s="67" t="s">
        <v>92</v>
      </c>
      <c r="AO13" s="67" t="s">
        <v>92</v>
      </c>
      <c r="AP13" s="67" t="s">
        <v>92</v>
      </c>
      <c r="AQ13" s="67" t="s">
        <v>92</v>
      </c>
      <c r="AR13" s="67" t="s">
        <v>92</v>
      </c>
      <c r="AS13" s="69" t="s">
        <v>92</v>
      </c>
      <c r="AT13" s="67" t="s">
        <v>92</v>
      </c>
      <c r="AU13" s="67" t="s">
        <v>92</v>
      </c>
      <c r="AV13" s="67" t="s">
        <v>92</v>
      </c>
      <c r="AW13" s="67" t="s">
        <v>92</v>
      </c>
      <c r="AX13" s="67" t="s">
        <v>92</v>
      </c>
      <c r="AY13" s="67" t="s">
        <v>92</v>
      </c>
      <c r="AZ13" s="67" t="s">
        <v>92</v>
      </c>
      <c r="BB13" s="67" t="s">
        <v>139</v>
      </c>
      <c r="BC13" s="67" t="s">
        <v>141</v>
      </c>
    </row>
    <row r="14" spans="1:57" s="67" customFormat="1" ht="13" x14ac:dyDescent="0.15">
      <c r="A14" s="67" t="s">
        <v>90</v>
      </c>
      <c r="B14" s="67" t="s">
        <v>115</v>
      </c>
      <c r="C14" s="67" t="s">
        <v>92</v>
      </c>
      <c r="D14" s="67" t="s">
        <v>92</v>
      </c>
      <c r="E14" s="67" t="s">
        <v>93</v>
      </c>
      <c r="F14" s="67">
        <v>0.03</v>
      </c>
      <c r="G14" s="130">
        <f t="shared" si="3"/>
        <v>180</v>
      </c>
      <c r="H14" s="67">
        <v>800</v>
      </c>
      <c r="I14" s="67" t="s">
        <v>92</v>
      </c>
      <c r="J14" s="67">
        <v>0.67500000000000004</v>
      </c>
      <c r="K14" s="67">
        <v>5</v>
      </c>
      <c r="L14" s="68" t="s">
        <v>92</v>
      </c>
      <c r="M14" s="67" t="s">
        <v>92</v>
      </c>
      <c r="N14" s="67">
        <v>5.01</v>
      </c>
      <c r="O14" s="67">
        <v>77.709999999999994</v>
      </c>
      <c r="P14" s="67">
        <v>0.34</v>
      </c>
      <c r="Q14" s="67">
        <v>50.26</v>
      </c>
      <c r="R14" s="67">
        <v>6.72</v>
      </c>
      <c r="S14" s="67">
        <v>0.16</v>
      </c>
      <c r="T14" s="67">
        <v>42.66</v>
      </c>
      <c r="U14" s="67" t="s">
        <v>92</v>
      </c>
      <c r="V14" s="68">
        <f t="shared" si="0"/>
        <v>100.97999999999999</v>
      </c>
      <c r="W14" s="68">
        <f t="shared" si="1"/>
        <v>-0.97999999999998977</v>
      </c>
      <c r="X14" s="67">
        <f>8.47+17.2</f>
        <v>25.67</v>
      </c>
      <c r="Y14" s="67">
        <v>5.51</v>
      </c>
      <c r="Z14" s="67">
        <v>69.8</v>
      </c>
      <c r="AA14" s="68" t="s">
        <v>96</v>
      </c>
      <c r="AB14" s="68">
        <f t="shared" si="2"/>
        <v>24.690000000000012</v>
      </c>
      <c r="AC14" s="68"/>
      <c r="AD14" s="68"/>
      <c r="AH14" s="67" t="s">
        <v>92</v>
      </c>
      <c r="AI14" s="67" t="s">
        <v>92</v>
      </c>
      <c r="AJ14" s="67" t="s">
        <v>92</v>
      </c>
      <c r="AK14" s="67" t="s">
        <v>92</v>
      </c>
      <c r="AL14" s="67" t="s">
        <v>92</v>
      </c>
      <c r="AM14" s="67" t="s">
        <v>92</v>
      </c>
      <c r="AN14" s="67" t="s">
        <v>92</v>
      </c>
      <c r="AO14" s="67" t="s">
        <v>92</v>
      </c>
      <c r="AP14" s="67" t="s">
        <v>92</v>
      </c>
      <c r="AQ14" s="67" t="s">
        <v>92</v>
      </c>
      <c r="AR14" s="67" t="s">
        <v>92</v>
      </c>
      <c r="AS14" s="69" t="s">
        <v>92</v>
      </c>
      <c r="AT14" s="67" t="s">
        <v>92</v>
      </c>
      <c r="AU14" s="67" t="s">
        <v>92</v>
      </c>
      <c r="AV14" s="67" t="s">
        <v>92</v>
      </c>
      <c r="AW14" s="67" t="s">
        <v>92</v>
      </c>
      <c r="AX14" s="67" t="s">
        <v>92</v>
      </c>
      <c r="AY14" s="67" t="s">
        <v>92</v>
      </c>
      <c r="AZ14" s="67" t="s">
        <v>92</v>
      </c>
      <c r="BB14" s="67" t="s">
        <v>139</v>
      </c>
    </row>
    <row r="15" spans="1:57" s="67" customFormat="1" ht="13" x14ac:dyDescent="0.15">
      <c r="A15" s="67" t="s">
        <v>90</v>
      </c>
      <c r="B15" s="67" t="s">
        <v>115</v>
      </c>
      <c r="C15" s="67" t="s">
        <v>92</v>
      </c>
      <c r="D15" s="67" t="s">
        <v>92</v>
      </c>
      <c r="E15" s="67" t="s">
        <v>93</v>
      </c>
      <c r="F15" s="67">
        <v>0.03</v>
      </c>
      <c r="G15" s="130">
        <f t="shared" si="3"/>
        <v>180</v>
      </c>
      <c r="H15" s="67">
        <v>800</v>
      </c>
      <c r="I15" s="67" t="s">
        <v>92</v>
      </c>
      <c r="J15" s="67">
        <v>0.375</v>
      </c>
      <c r="K15" s="67">
        <v>5</v>
      </c>
      <c r="L15" s="68" t="s">
        <v>92</v>
      </c>
      <c r="M15" s="67" t="s">
        <v>92</v>
      </c>
      <c r="N15" s="67">
        <v>5.01</v>
      </c>
      <c r="O15" s="67">
        <v>77.709999999999994</v>
      </c>
      <c r="P15" s="67">
        <v>0.34</v>
      </c>
      <c r="Q15" s="67">
        <v>50.26</v>
      </c>
      <c r="R15" s="67">
        <v>6.72</v>
      </c>
      <c r="S15" s="67">
        <v>0.16</v>
      </c>
      <c r="T15" s="67">
        <v>42.66</v>
      </c>
      <c r="U15" s="67" t="s">
        <v>92</v>
      </c>
      <c r="V15" s="68">
        <f t="shared" si="0"/>
        <v>96.78</v>
      </c>
      <c r="W15" s="68">
        <f t="shared" si="1"/>
        <v>3.2199999999999989</v>
      </c>
      <c r="X15" s="67">
        <f>3.63+17.6</f>
        <v>21.23</v>
      </c>
      <c r="Y15" s="67">
        <v>3.45</v>
      </c>
      <c r="Z15" s="67">
        <v>72.099999999999994</v>
      </c>
      <c r="AA15" s="68" t="s">
        <v>96</v>
      </c>
      <c r="AB15" s="68">
        <f t="shared" si="2"/>
        <v>24.45</v>
      </c>
      <c r="AC15" s="68"/>
      <c r="AD15" s="68"/>
      <c r="AH15" s="67" t="s">
        <v>92</v>
      </c>
      <c r="AI15" s="67" t="s">
        <v>92</v>
      </c>
      <c r="AJ15" s="67" t="s">
        <v>92</v>
      </c>
      <c r="AK15" s="67" t="s">
        <v>92</v>
      </c>
      <c r="AL15" s="67" t="s">
        <v>92</v>
      </c>
      <c r="AM15" s="67" t="s">
        <v>92</v>
      </c>
      <c r="AN15" s="67" t="s">
        <v>92</v>
      </c>
      <c r="AO15" s="67" t="s">
        <v>92</v>
      </c>
      <c r="AP15" s="67" t="s">
        <v>92</v>
      </c>
      <c r="AQ15" s="67" t="s">
        <v>92</v>
      </c>
      <c r="AR15" s="67" t="s">
        <v>92</v>
      </c>
      <c r="AS15" s="69" t="s">
        <v>92</v>
      </c>
      <c r="AT15" s="67" t="s">
        <v>92</v>
      </c>
      <c r="AU15" s="67" t="s">
        <v>92</v>
      </c>
      <c r="AV15" s="67" t="s">
        <v>92</v>
      </c>
      <c r="AW15" s="67" t="s">
        <v>92</v>
      </c>
      <c r="AX15" s="67" t="s">
        <v>92</v>
      </c>
      <c r="AY15" s="67" t="s">
        <v>92</v>
      </c>
      <c r="AZ15" s="67" t="s">
        <v>92</v>
      </c>
      <c r="BB15" s="67" t="s">
        <v>139</v>
      </c>
    </row>
    <row r="16" spans="1:57" s="67" customFormat="1" ht="13" x14ac:dyDescent="0.15">
      <c r="A16" s="67" t="s">
        <v>90</v>
      </c>
      <c r="B16" s="67" t="s">
        <v>115</v>
      </c>
      <c r="C16" s="67" t="s">
        <v>92</v>
      </c>
      <c r="D16" s="67" t="s">
        <v>92</v>
      </c>
      <c r="E16" s="67" t="s">
        <v>93</v>
      </c>
      <c r="F16" s="67">
        <v>0.03</v>
      </c>
      <c r="G16" s="130">
        <f t="shared" si="3"/>
        <v>180</v>
      </c>
      <c r="H16" s="67">
        <v>800</v>
      </c>
      <c r="I16" s="67" t="s">
        <v>92</v>
      </c>
      <c r="J16" s="67">
        <v>0.25</v>
      </c>
      <c r="K16" s="67">
        <v>5</v>
      </c>
      <c r="L16" s="68" t="s">
        <v>92</v>
      </c>
      <c r="M16" s="67" t="s">
        <v>92</v>
      </c>
      <c r="N16" s="67">
        <v>5.01</v>
      </c>
      <c r="O16" s="67">
        <v>77.709999999999994</v>
      </c>
      <c r="P16" s="67">
        <v>0.34</v>
      </c>
      <c r="Q16" s="67">
        <v>50.26</v>
      </c>
      <c r="R16" s="67">
        <v>6.72</v>
      </c>
      <c r="S16" s="67">
        <v>0.16</v>
      </c>
      <c r="T16" s="67">
        <v>42.66</v>
      </c>
      <c r="U16" s="67" t="s">
        <v>92</v>
      </c>
      <c r="V16" s="68">
        <f t="shared" si="0"/>
        <v>100.74</v>
      </c>
      <c r="W16" s="68">
        <f t="shared" si="1"/>
        <v>-0.73999999999999488</v>
      </c>
      <c r="X16" s="67">
        <f>2.34+10.3</f>
        <v>12.64</v>
      </c>
      <c r="Y16" s="67">
        <v>3.8</v>
      </c>
      <c r="Z16" s="67">
        <v>84.3</v>
      </c>
      <c r="AA16" s="68" t="s">
        <v>96</v>
      </c>
      <c r="AB16" s="68">
        <f t="shared" si="2"/>
        <v>11.900000000000006</v>
      </c>
      <c r="AC16" s="68"/>
      <c r="AD16" s="68"/>
      <c r="AH16" s="67" t="s">
        <v>92</v>
      </c>
      <c r="AI16" s="67" t="s">
        <v>92</v>
      </c>
      <c r="AJ16" s="67" t="s">
        <v>92</v>
      </c>
      <c r="AK16" s="67" t="s">
        <v>92</v>
      </c>
      <c r="AL16" s="67" t="s">
        <v>92</v>
      </c>
      <c r="AM16" s="67" t="s">
        <v>92</v>
      </c>
      <c r="AN16" s="67" t="s">
        <v>92</v>
      </c>
      <c r="AO16" s="67" t="s">
        <v>92</v>
      </c>
      <c r="AP16" s="67" t="s">
        <v>92</v>
      </c>
      <c r="AQ16" s="67" t="s">
        <v>92</v>
      </c>
      <c r="AR16" s="67" t="s">
        <v>92</v>
      </c>
      <c r="AS16" s="69" t="s">
        <v>92</v>
      </c>
      <c r="AT16" s="67" t="s">
        <v>92</v>
      </c>
      <c r="AU16" s="67" t="s">
        <v>92</v>
      </c>
      <c r="AV16" s="67" t="s">
        <v>92</v>
      </c>
      <c r="AW16" s="67" t="s">
        <v>92</v>
      </c>
      <c r="AX16" s="67" t="s">
        <v>92</v>
      </c>
      <c r="AY16" s="67" t="s">
        <v>92</v>
      </c>
      <c r="AZ16" s="67" t="s">
        <v>92</v>
      </c>
      <c r="BB16" s="67" t="s">
        <v>139</v>
      </c>
    </row>
    <row r="17" spans="1:55" s="67" customFormat="1" ht="13" x14ac:dyDescent="0.15">
      <c r="A17" s="67" t="s">
        <v>90</v>
      </c>
      <c r="B17" s="67" t="s">
        <v>115</v>
      </c>
      <c r="C17" s="67" t="s">
        <v>92</v>
      </c>
      <c r="D17" s="67" t="s">
        <v>92</v>
      </c>
      <c r="E17" s="67" t="s">
        <v>93</v>
      </c>
      <c r="F17" s="67">
        <v>0.03</v>
      </c>
      <c r="G17" s="130">
        <f t="shared" si="3"/>
        <v>180</v>
      </c>
      <c r="H17" s="67">
        <v>800</v>
      </c>
      <c r="I17" s="67" t="s">
        <v>92</v>
      </c>
      <c r="J17" s="67">
        <v>0.15</v>
      </c>
      <c r="K17" s="67">
        <v>5</v>
      </c>
      <c r="L17" s="68" t="s">
        <v>92</v>
      </c>
      <c r="M17" s="67" t="s">
        <v>92</v>
      </c>
      <c r="N17" s="67">
        <v>5.01</v>
      </c>
      <c r="O17" s="67">
        <v>77.709999999999994</v>
      </c>
      <c r="P17" s="67">
        <v>0.34</v>
      </c>
      <c r="Q17" s="67">
        <v>50.26</v>
      </c>
      <c r="R17" s="67">
        <v>6.72</v>
      </c>
      <c r="S17" s="67">
        <v>0.16</v>
      </c>
      <c r="T17" s="67">
        <v>42.66</v>
      </c>
      <c r="U17" s="67" t="s">
        <v>92</v>
      </c>
      <c r="V17" s="68">
        <f t="shared" si="0"/>
        <v>99.9</v>
      </c>
      <c r="W17" s="68">
        <f t="shared" si="1"/>
        <v>9.9999999999994316E-2</v>
      </c>
      <c r="X17" s="67">
        <f>1.94+7.27</f>
        <v>9.2099999999999991</v>
      </c>
      <c r="Y17" s="67">
        <v>3.49</v>
      </c>
      <c r="Z17" s="67">
        <v>87.2</v>
      </c>
      <c r="AA17" s="68" t="s">
        <v>96</v>
      </c>
      <c r="AB17" s="68">
        <f t="shared" si="2"/>
        <v>9.3099999999999934</v>
      </c>
      <c r="AC17" s="68"/>
      <c r="AD17" s="68"/>
      <c r="AH17" s="67" t="s">
        <v>92</v>
      </c>
      <c r="AI17" s="67" t="s">
        <v>92</v>
      </c>
      <c r="AJ17" s="67" t="s">
        <v>92</v>
      </c>
      <c r="AK17" s="67" t="s">
        <v>92</v>
      </c>
      <c r="AL17" s="67" t="s">
        <v>92</v>
      </c>
      <c r="AM17" s="67" t="s">
        <v>92</v>
      </c>
      <c r="AN17" s="67" t="s">
        <v>92</v>
      </c>
      <c r="AO17" s="67" t="s">
        <v>92</v>
      </c>
      <c r="AP17" s="67" t="s">
        <v>92</v>
      </c>
      <c r="AQ17" s="67" t="s">
        <v>92</v>
      </c>
      <c r="AR17" s="67" t="s">
        <v>92</v>
      </c>
      <c r="AS17" s="69" t="s">
        <v>92</v>
      </c>
      <c r="AT17" s="67" t="s">
        <v>92</v>
      </c>
      <c r="AU17" s="67" t="s">
        <v>92</v>
      </c>
      <c r="AV17" s="67" t="s">
        <v>92</v>
      </c>
      <c r="AW17" s="67" t="s">
        <v>92</v>
      </c>
      <c r="AX17" s="67" t="s">
        <v>92</v>
      </c>
      <c r="AY17" s="67" t="s">
        <v>92</v>
      </c>
      <c r="AZ17" s="67" t="s">
        <v>92</v>
      </c>
      <c r="BB17" s="67" t="s">
        <v>139</v>
      </c>
    </row>
    <row r="18" spans="1:55" s="67" customFormat="1" ht="13" x14ac:dyDescent="0.15">
      <c r="A18" s="67" t="s">
        <v>90</v>
      </c>
      <c r="B18" s="67" t="s">
        <v>115</v>
      </c>
      <c r="C18" s="67" t="s">
        <v>92</v>
      </c>
      <c r="D18" s="67" t="s">
        <v>92</v>
      </c>
      <c r="E18" s="67" t="s">
        <v>93</v>
      </c>
      <c r="F18" s="67">
        <v>0.03</v>
      </c>
      <c r="G18" s="130">
        <f t="shared" si="3"/>
        <v>180</v>
      </c>
      <c r="H18" s="67">
        <v>800</v>
      </c>
      <c r="I18" s="67" t="s">
        <v>92</v>
      </c>
      <c r="J18" s="67" t="s">
        <v>142</v>
      </c>
      <c r="K18" s="67">
        <v>5</v>
      </c>
      <c r="L18" s="68" t="s">
        <v>92</v>
      </c>
      <c r="M18" s="67" t="s">
        <v>92</v>
      </c>
      <c r="N18" s="67">
        <v>5.01</v>
      </c>
      <c r="O18" s="67">
        <v>77.709999999999994</v>
      </c>
      <c r="P18" s="67">
        <v>0.34</v>
      </c>
      <c r="Q18" s="67">
        <v>50.26</v>
      </c>
      <c r="R18" s="67">
        <v>6.72</v>
      </c>
      <c r="S18" s="67">
        <v>0.16</v>
      </c>
      <c r="T18" s="67">
        <v>42.66</v>
      </c>
      <c r="U18" s="67" t="s">
        <v>92</v>
      </c>
      <c r="V18" s="68">
        <f t="shared" si="0"/>
        <v>99.81</v>
      </c>
      <c r="W18" s="68">
        <f t="shared" si="1"/>
        <v>0.18999999999999773</v>
      </c>
      <c r="X18" s="67">
        <f>1.85+6.74</f>
        <v>8.59</v>
      </c>
      <c r="Y18" s="67">
        <v>3.52</v>
      </c>
      <c r="Z18" s="67">
        <v>87.7</v>
      </c>
      <c r="AA18" s="68" t="s">
        <v>96</v>
      </c>
      <c r="AB18" s="68">
        <f t="shared" si="2"/>
        <v>8.7799999999999976</v>
      </c>
      <c r="AC18" s="68"/>
      <c r="AD18" s="68"/>
      <c r="AH18" s="67" t="s">
        <v>92</v>
      </c>
      <c r="AI18" s="67" t="s">
        <v>92</v>
      </c>
      <c r="AJ18" s="67" t="s">
        <v>92</v>
      </c>
      <c r="AK18" s="67" t="s">
        <v>92</v>
      </c>
      <c r="AL18" s="67" t="s">
        <v>92</v>
      </c>
      <c r="AM18" s="67" t="s">
        <v>92</v>
      </c>
      <c r="AN18" s="67" t="s">
        <v>92</v>
      </c>
      <c r="AO18" s="67" t="s">
        <v>92</v>
      </c>
      <c r="AP18" s="67" t="s">
        <v>92</v>
      </c>
      <c r="AQ18" s="67" t="s">
        <v>92</v>
      </c>
      <c r="AR18" s="67" t="s">
        <v>92</v>
      </c>
      <c r="AS18" s="69" t="s">
        <v>92</v>
      </c>
      <c r="AT18" s="67" t="s">
        <v>92</v>
      </c>
      <c r="AU18" s="67" t="s">
        <v>92</v>
      </c>
      <c r="AV18" s="67" t="s">
        <v>92</v>
      </c>
      <c r="AW18" s="67" t="s">
        <v>92</v>
      </c>
      <c r="AX18" s="67" t="s">
        <v>92</v>
      </c>
      <c r="AY18" s="67" t="s">
        <v>92</v>
      </c>
      <c r="AZ18" s="67" t="s">
        <v>92</v>
      </c>
      <c r="BB18" s="67" t="s">
        <v>139</v>
      </c>
    </row>
    <row r="19" spans="1:55" s="67" customFormat="1" ht="13" x14ac:dyDescent="0.15">
      <c r="A19" s="67" t="s">
        <v>90</v>
      </c>
      <c r="B19" s="67" t="s">
        <v>115</v>
      </c>
      <c r="C19" s="67" t="s">
        <v>92</v>
      </c>
      <c r="D19" s="67" t="s">
        <v>92</v>
      </c>
      <c r="E19" s="67" t="s">
        <v>93</v>
      </c>
      <c r="F19" s="67">
        <v>0.03</v>
      </c>
      <c r="G19" s="130">
        <f t="shared" si="3"/>
        <v>180</v>
      </c>
      <c r="H19" s="67">
        <v>800</v>
      </c>
      <c r="I19" s="67" t="s">
        <v>92</v>
      </c>
      <c r="J19" s="67">
        <v>0.375</v>
      </c>
      <c r="K19" s="67">
        <v>5</v>
      </c>
      <c r="L19" s="67">
        <v>0</v>
      </c>
      <c r="M19" s="67" t="s">
        <v>92</v>
      </c>
      <c r="N19" s="67">
        <v>5.01</v>
      </c>
      <c r="O19" s="67">
        <v>77.709999999999994</v>
      </c>
      <c r="P19" s="67">
        <v>0.34</v>
      </c>
      <c r="Q19" s="67">
        <v>50.26</v>
      </c>
      <c r="R19" s="67">
        <v>6.72</v>
      </c>
      <c r="S19" s="67">
        <v>0.16</v>
      </c>
      <c r="T19" s="67">
        <v>42.66</v>
      </c>
      <c r="U19" s="67" t="s">
        <v>92</v>
      </c>
      <c r="V19" s="68">
        <f t="shared" si="0"/>
        <v>86.91</v>
      </c>
      <c r="W19" s="68">
        <f t="shared" si="1"/>
        <v>13.090000000000003</v>
      </c>
      <c r="X19" s="67">
        <v>5.44</v>
      </c>
      <c r="Y19" s="67">
        <v>7.27</v>
      </c>
      <c r="Z19" s="67">
        <v>74.2</v>
      </c>
      <c r="AA19" s="68" t="s">
        <v>101</v>
      </c>
      <c r="AB19" s="68">
        <f t="shared" si="2"/>
        <v>18.530000000000005</v>
      </c>
      <c r="AC19" s="68"/>
      <c r="AD19" s="68"/>
      <c r="AH19" s="67" t="s">
        <v>92</v>
      </c>
      <c r="AI19" s="67" t="s">
        <v>92</v>
      </c>
      <c r="AJ19" s="67" t="s">
        <v>92</v>
      </c>
      <c r="AK19" s="67" t="s">
        <v>92</v>
      </c>
      <c r="AL19" s="67" t="s">
        <v>92</v>
      </c>
      <c r="AM19" s="67" t="s">
        <v>92</v>
      </c>
      <c r="AN19" s="67" t="s">
        <v>92</v>
      </c>
      <c r="AO19" s="67" t="s">
        <v>92</v>
      </c>
      <c r="AP19" s="67" t="s">
        <v>92</v>
      </c>
      <c r="AQ19" s="67" t="s">
        <v>92</v>
      </c>
      <c r="AR19" s="67" t="s">
        <v>92</v>
      </c>
      <c r="AS19" s="69" t="s">
        <v>92</v>
      </c>
      <c r="AT19" s="67" t="s">
        <v>92</v>
      </c>
      <c r="AU19" s="67" t="s">
        <v>92</v>
      </c>
      <c r="AV19" s="67" t="s">
        <v>92</v>
      </c>
      <c r="AW19" s="67" t="s">
        <v>92</v>
      </c>
      <c r="AX19" s="67" t="s">
        <v>92</v>
      </c>
      <c r="AY19" s="67" t="s">
        <v>92</v>
      </c>
      <c r="AZ19" s="67" t="s">
        <v>92</v>
      </c>
      <c r="BB19" s="67" t="s">
        <v>139</v>
      </c>
      <c r="BC19" s="67" t="s">
        <v>143</v>
      </c>
    </row>
    <row r="20" spans="1:55" s="67" customFormat="1" ht="13" x14ac:dyDescent="0.15">
      <c r="A20" s="67" t="s">
        <v>90</v>
      </c>
      <c r="B20" s="67" t="s">
        <v>115</v>
      </c>
      <c r="C20" s="67" t="s">
        <v>92</v>
      </c>
      <c r="D20" s="67" t="s">
        <v>92</v>
      </c>
      <c r="E20" s="67" t="s">
        <v>93</v>
      </c>
      <c r="F20" s="67">
        <v>0.03</v>
      </c>
      <c r="G20" s="130">
        <f t="shared" si="3"/>
        <v>180</v>
      </c>
      <c r="H20" s="67">
        <v>800</v>
      </c>
      <c r="I20" s="67" t="s">
        <v>92</v>
      </c>
      <c r="J20" s="67">
        <v>0.375</v>
      </c>
      <c r="K20" s="67">
        <v>5</v>
      </c>
      <c r="L20" s="67">
        <v>1.6</v>
      </c>
      <c r="M20" s="67" t="s">
        <v>92</v>
      </c>
      <c r="N20" s="67">
        <v>5.01</v>
      </c>
      <c r="O20" s="67">
        <v>77.709999999999994</v>
      </c>
      <c r="P20" s="67">
        <v>0.34</v>
      </c>
      <c r="Q20" s="67">
        <v>50.26</v>
      </c>
      <c r="R20" s="67">
        <v>6.72</v>
      </c>
      <c r="S20" s="67">
        <v>0.16</v>
      </c>
      <c r="T20" s="67">
        <v>42.66</v>
      </c>
      <c r="U20" s="67" t="s">
        <v>92</v>
      </c>
      <c r="V20" s="68">
        <f t="shared" si="0"/>
        <v>92.47</v>
      </c>
      <c r="W20" s="68">
        <f t="shared" si="1"/>
        <v>7.5300000000000011</v>
      </c>
      <c r="X20" s="67">
        <v>3.32</v>
      </c>
      <c r="Y20" s="67">
        <v>5.55</v>
      </c>
      <c r="Z20" s="67">
        <v>83.6</v>
      </c>
      <c r="AA20" s="68" t="s">
        <v>101</v>
      </c>
      <c r="AB20" s="68">
        <f t="shared" si="2"/>
        <v>10.850000000000001</v>
      </c>
      <c r="AC20" s="68"/>
      <c r="AD20" s="68"/>
      <c r="AH20" s="67" t="s">
        <v>92</v>
      </c>
      <c r="AI20" s="67" t="s">
        <v>92</v>
      </c>
      <c r="AJ20" s="67" t="s">
        <v>92</v>
      </c>
      <c r="AK20" s="67" t="s">
        <v>92</v>
      </c>
      <c r="AL20" s="67" t="s">
        <v>92</v>
      </c>
      <c r="AM20" s="67" t="s">
        <v>92</v>
      </c>
      <c r="AN20" s="67" t="s">
        <v>92</v>
      </c>
      <c r="AO20" s="67" t="s">
        <v>92</v>
      </c>
      <c r="AP20" s="67" t="s">
        <v>92</v>
      </c>
      <c r="AQ20" s="67" t="s">
        <v>92</v>
      </c>
      <c r="AR20" s="67" t="s">
        <v>92</v>
      </c>
      <c r="AS20" s="69" t="s">
        <v>92</v>
      </c>
      <c r="AT20" s="67" t="s">
        <v>92</v>
      </c>
      <c r="AU20" s="67" t="s">
        <v>92</v>
      </c>
      <c r="AV20" s="67" t="s">
        <v>92</v>
      </c>
      <c r="AW20" s="67" t="s">
        <v>92</v>
      </c>
      <c r="AX20" s="67" t="s">
        <v>92</v>
      </c>
      <c r="AY20" s="67" t="s">
        <v>92</v>
      </c>
      <c r="AZ20" s="67" t="s">
        <v>92</v>
      </c>
      <c r="BB20" s="67" t="s">
        <v>139</v>
      </c>
    </row>
    <row r="21" spans="1:55" s="67" customFormat="1" ht="13" x14ac:dyDescent="0.15">
      <c r="A21" s="67" t="s">
        <v>90</v>
      </c>
      <c r="B21" s="67" t="s">
        <v>115</v>
      </c>
      <c r="C21" s="67" t="s">
        <v>92</v>
      </c>
      <c r="D21" s="67" t="s">
        <v>92</v>
      </c>
      <c r="E21" s="67" t="s">
        <v>93</v>
      </c>
      <c r="F21" s="67">
        <v>0.03</v>
      </c>
      <c r="G21" s="130">
        <f t="shared" si="3"/>
        <v>180</v>
      </c>
      <c r="H21" s="67">
        <v>800</v>
      </c>
      <c r="I21" s="67" t="s">
        <v>92</v>
      </c>
      <c r="J21" s="67">
        <v>0.375</v>
      </c>
      <c r="K21" s="67">
        <v>5</v>
      </c>
      <c r="L21" s="67">
        <v>2.4</v>
      </c>
      <c r="M21" s="67" t="s">
        <v>92</v>
      </c>
      <c r="N21" s="67">
        <v>5.01</v>
      </c>
      <c r="O21" s="67">
        <v>77.709999999999994</v>
      </c>
      <c r="P21" s="67">
        <v>0.34</v>
      </c>
      <c r="Q21" s="67">
        <v>50.26</v>
      </c>
      <c r="R21" s="67">
        <v>6.72</v>
      </c>
      <c r="S21" s="67">
        <v>0.16</v>
      </c>
      <c r="T21" s="67">
        <v>42.66</v>
      </c>
      <c r="U21" s="67" t="s">
        <v>92</v>
      </c>
      <c r="V21" s="68">
        <f t="shared" si="0"/>
        <v>101.4</v>
      </c>
      <c r="W21" s="68">
        <f t="shared" si="1"/>
        <v>-1.4000000000000057</v>
      </c>
      <c r="X21" s="67">
        <v>2.82</v>
      </c>
      <c r="Y21" s="67">
        <v>4.18</v>
      </c>
      <c r="Z21" s="67">
        <v>94.4</v>
      </c>
      <c r="AA21" s="68" t="s">
        <v>96</v>
      </c>
      <c r="AB21" s="68">
        <f t="shared" si="2"/>
        <v>1.4199999999999942</v>
      </c>
      <c r="AC21" s="68"/>
      <c r="AD21" s="68"/>
      <c r="AH21" s="67" t="s">
        <v>92</v>
      </c>
      <c r="AI21" s="67" t="s">
        <v>92</v>
      </c>
      <c r="AJ21" s="67" t="s">
        <v>92</v>
      </c>
      <c r="AK21" s="67" t="s">
        <v>92</v>
      </c>
      <c r="AL21" s="67" t="s">
        <v>92</v>
      </c>
      <c r="AM21" s="67" t="s">
        <v>92</v>
      </c>
      <c r="AN21" s="67" t="s">
        <v>92</v>
      </c>
      <c r="AO21" s="67" t="s">
        <v>92</v>
      </c>
      <c r="AP21" s="67" t="s">
        <v>92</v>
      </c>
      <c r="AQ21" s="67" t="s">
        <v>92</v>
      </c>
      <c r="AR21" s="67" t="s">
        <v>92</v>
      </c>
      <c r="AS21" s="69" t="s">
        <v>92</v>
      </c>
      <c r="AT21" s="67" t="s">
        <v>92</v>
      </c>
      <c r="AU21" s="67" t="s">
        <v>92</v>
      </c>
      <c r="AV21" s="67" t="s">
        <v>92</v>
      </c>
      <c r="AW21" s="67" t="s">
        <v>92</v>
      </c>
      <c r="AX21" s="67" t="s">
        <v>92</v>
      </c>
      <c r="AY21" s="67" t="s">
        <v>92</v>
      </c>
      <c r="AZ21" s="67" t="s">
        <v>92</v>
      </c>
      <c r="BB21" s="67" t="s">
        <v>139</v>
      </c>
    </row>
    <row r="22" spans="1:55" s="69" customFormat="1" ht="13" x14ac:dyDescent="0.15">
      <c r="A22" s="69" t="s">
        <v>90</v>
      </c>
      <c r="B22" s="69" t="s">
        <v>115</v>
      </c>
      <c r="C22" s="69" t="s">
        <v>92</v>
      </c>
      <c r="D22" s="69">
        <v>2950</v>
      </c>
      <c r="E22" s="69" t="s">
        <v>93</v>
      </c>
      <c r="F22" s="69">
        <v>0.1</v>
      </c>
      <c r="G22" s="69">
        <f>30*60</f>
        <v>1800</v>
      </c>
      <c r="H22" s="69">
        <v>900</v>
      </c>
      <c r="I22" s="69" t="s">
        <v>92</v>
      </c>
      <c r="J22" s="69">
        <v>0.75</v>
      </c>
      <c r="K22" s="69">
        <v>16</v>
      </c>
      <c r="L22" s="69" t="s">
        <v>92</v>
      </c>
      <c r="M22" s="69" t="s">
        <v>92</v>
      </c>
      <c r="N22" s="69">
        <v>6.24</v>
      </c>
      <c r="O22" s="69">
        <v>73.650000000000006</v>
      </c>
      <c r="P22" s="69">
        <v>5.73</v>
      </c>
      <c r="Q22" s="69">
        <v>49.52</v>
      </c>
      <c r="R22" s="69">
        <v>7.085</v>
      </c>
      <c r="S22" s="69">
        <v>0.28999999999999998</v>
      </c>
      <c r="T22" s="69">
        <v>42.68</v>
      </c>
      <c r="U22" s="69" t="s">
        <v>92</v>
      </c>
      <c r="V22" s="69">
        <f t="shared" si="0"/>
        <v>100.18</v>
      </c>
      <c r="W22" s="69">
        <f t="shared" si="1"/>
        <v>-0.18000000000000682</v>
      </c>
      <c r="X22" s="69">
        <v>24.9</v>
      </c>
      <c r="Y22" s="69">
        <v>14.8</v>
      </c>
      <c r="Z22" s="69">
        <v>60.48</v>
      </c>
      <c r="AA22" s="69" t="s">
        <v>96</v>
      </c>
      <c r="AB22" s="69">
        <f t="shared" si="2"/>
        <v>24.719999999999992</v>
      </c>
      <c r="AD22" s="69">
        <f>AE22+AF22+AG22</f>
        <v>0</v>
      </c>
      <c r="AE22" s="69">
        <v>0</v>
      </c>
      <c r="AF22" s="69">
        <v>0</v>
      </c>
      <c r="AH22" s="69">
        <f>(95.1-87.2)*X22/100</f>
        <v>1.9670999999999979</v>
      </c>
      <c r="AI22" s="69" t="s">
        <v>92</v>
      </c>
      <c r="AJ22" s="69" t="s">
        <v>92</v>
      </c>
      <c r="AK22" s="69">
        <f>(98.4-95.1)*X22/100</f>
        <v>0.82170000000000276</v>
      </c>
      <c r="AL22" s="69">
        <f>(87.2-65.3)*X22/100</f>
        <v>5.4531000000000009</v>
      </c>
      <c r="AM22" s="69" t="s">
        <v>92</v>
      </c>
      <c r="AN22" s="69">
        <f>9.3*X22/100</f>
        <v>2.3157000000000001</v>
      </c>
      <c r="AO22" s="69" t="s">
        <v>92</v>
      </c>
      <c r="AP22" s="69" t="s">
        <v>92</v>
      </c>
      <c r="AQ22" s="69" t="s">
        <v>92</v>
      </c>
      <c r="AR22" s="69">
        <f>(65.3-35.4)*X22/100</f>
        <v>7.4450999999999992</v>
      </c>
      <c r="AS22" s="69" t="s">
        <v>92</v>
      </c>
      <c r="AT22" s="69" t="s">
        <v>92</v>
      </c>
      <c r="AU22" s="69" t="s">
        <v>92</v>
      </c>
      <c r="AV22" s="69" t="s">
        <v>92</v>
      </c>
      <c r="AW22" s="69" t="s">
        <v>92</v>
      </c>
      <c r="AX22" s="69" t="s">
        <v>92</v>
      </c>
      <c r="AY22" s="69" t="s">
        <v>92</v>
      </c>
      <c r="AZ22" s="69">
        <f>(35.4-9.3)*X22/100</f>
        <v>6.498899999999999</v>
      </c>
      <c r="BB22" s="69" t="s">
        <v>186</v>
      </c>
    </row>
    <row r="23" spans="1:55" s="69" customFormat="1" ht="13" x14ac:dyDescent="0.15">
      <c r="A23" s="69" t="s">
        <v>90</v>
      </c>
      <c r="B23" s="69" t="s">
        <v>115</v>
      </c>
      <c r="C23" s="69" t="s">
        <v>92</v>
      </c>
      <c r="D23" s="69">
        <v>3770</v>
      </c>
      <c r="E23" s="69" t="s">
        <v>93</v>
      </c>
      <c r="F23" s="69">
        <v>0.2</v>
      </c>
      <c r="G23" s="69">
        <f>20*60</f>
        <v>1200</v>
      </c>
      <c r="H23" s="69">
        <v>500</v>
      </c>
      <c r="I23" s="69" t="s">
        <v>92</v>
      </c>
      <c r="J23" s="69">
        <v>0.5</v>
      </c>
      <c r="L23" s="69" t="s">
        <v>92</v>
      </c>
      <c r="M23" s="69" t="s">
        <v>92</v>
      </c>
      <c r="N23" s="69">
        <v>12.27</v>
      </c>
      <c r="O23" s="69">
        <v>70.55</v>
      </c>
      <c r="P23" s="69">
        <v>0.83</v>
      </c>
      <c r="Q23" s="69">
        <v>45.66</v>
      </c>
      <c r="R23" s="69">
        <v>4.8600000000000003</v>
      </c>
      <c r="S23" s="69">
        <v>1.38</v>
      </c>
      <c r="T23" s="69">
        <v>34.94</v>
      </c>
      <c r="U23" s="69">
        <v>18.064</v>
      </c>
      <c r="V23" s="69">
        <f t="shared" si="0"/>
        <v>100</v>
      </c>
      <c r="W23" s="69">
        <f t="shared" si="1"/>
        <v>0</v>
      </c>
      <c r="X23" s="69">
        <f>23+18</f>
        <v>41</v>
      </c>
      <c r="Y23" s="69">
        <v>24</v>
      </c>
      <c r="Z23" s="69">
        <v>35</v>
      </c>
      <c r="AA23" s="69" t="s">
        <v>96</v>
      </c>
      <c r="AB23" s="69">
        <f t="shared" si="2"/>
        <v>41</v>
      </c>
      <c r="AD23" s="69">
        <f>AE23+AF23+AG23</f>
        <v>0</v>
      </c>
      <c r="AE23" s="69">
        <v>0</v>
      </c>
      <c r="AF23" s="69">
        <v>0</v>
      </c>
      <c r="AG23" s="69">
        <v>0</v>
      </c>
      <c r="AH23" s="69" t="s">
        <v>92</v>
      </c>
      <c r="AI23" s="69" t="s">
        <v>92</v>
      </c>
      <c r="AJ23" s="69" t="s">
        <v>92</v>
      </c>
      <c r="AK23" s="69" t="s">
        <v>92</v>
      </c>
      <c r="AL23" s="69" t="s">
        <v>92</v>
      </c>
      <c r="AM23" s="69" t="s">
        <v>92</v>
      </c>
      <c r="AN23" s="69" t="s">
        <v>92</v>
      </c>
      <c r="AO23" s="69" t="s">
        <v>92</v>
      </c>
      <c r="AP23" s="69" t="s">
        <v>92</v>
      </c>
      <c r="AQ23" s="69" t="s">
        <v>92</v>
      </c>
      <c r="AR23" s="69" t="s">
        <v>92</v>
      </c>
      <c r="AS23" s="69" t="s">
        <v>92</v>
      </c>
      <c r="AT23" s="69" t="s">
        <v>92</v>
      </c>
      <c r="AU23" s="69" t="s">
        <v>92</v>
      </c>
      <c r="AV23" s="69" t="s">
        <v>92</v>
      </c>
      <c r="AW23" s="69" t="s">
        <v>92</v>
      </c>
      <c r="AX23" s="69" t="s">
        <v>92</v>
      </c>
      <c r="AY23" s="69" t="s">
        <v>92</v>
      </c>
      <c r="AZ23" s="69" t="s">
        <v>92</v>
      </c>
      <c r="BB23" s="69" t="s">
        <v>187</v>
      </c>
    </row>
    <row r="24" spans="1:55" s="3" customFormat="1" ht="13" x14ac:dyDescent="0.15">
      <c r="A24" s="3" t="s">
        <v>90</v>
      </c>
      <c r="B24" s="3" t="s">
        <v>115</v>
      </c>
      <c r="C24" s="3" t="s">
        <v>92</v>
      </c>
      <c r="D24" s="3">
        <v>3770</v>
      </c>
      <c r="E24" s="3" t="s">
        <v>93</v>
      </c>
      <c r="F24" s="3">
        <v>0.2</v>
      </c>
      <c r="G24" s="3">
        <f>20*60</f>
        <v>1200</v>
      </c>
      <c r="H24" s="3">
        <v>750</v>
      </c>
      <c r="I24" s="3" t="s">
        <v>92</v>
      </c>
      <c r="J24" s="3">
        <v>0.5</v>
      </c>
      <c r="K24" s="66"/>
      <c r="L24" s="3" t="s">
        <v>92</v>
      </c>
      <c r="M24" s="3" t="s">
        <v>92</v>
      </c>
      <c r="N24" s="3">
        <v>12.27</v>
      </c>
      <c r="O24" s="3">
        <v>70.55</v>
      </c>
      <c r="P24" s="3">
        <v>0.83</v>
      </c>
      <c r="Q24" s="3">
        <v>45.66</v>
      </c>
      <c r="R24" s="3">
        <v>4.8600000000000003</v>
      </c>
      <c r="S24" s="3">
        <v>1.38</v>
      </c>
      <c r="T24" s="3">
        <v>34.94</v>
      </c>
      <c r="U24" s="3">
        <v>18.064</v>
      </c>
      <c r="V24" s="3">
        <f t="shared" si="0"/>
        <v>100</v>
      </c>
      <c r="W24" s="3">
        <f t="shared" si="1"/>
        <v>0</v>
      </c>
      <c r="X24" s="3">
        <f>17.8+18</f>
        <v>35.799999999999997</v>
      </c>
      <c r="Y24" s="3">
        <v>22</v>
      </c>
      <c r="Z24" s="3">
        <v>42.2</v>
      </c>
      <c r="AA24" s="3" t="s">
        <v>96</v>
      </c>
      <c r="AB24" s="3">
        <f t="shared" si="2"/>
        <v>35.799999999999997</v>
      </c>
      <c r="AD24" s="3">
        <f>AE24+AF24+AG24</f>
        <v>0</v>
      </c>
      <c r="AE24" s="3">
        <v>0</v>
      </c>
      <c r="AF24" s="3">
        <v>0</v>
      </c>
      <c r="AG24" s="3">
        <v>0</v>
      </c>
      <c r="AH24" s="3" t="s">
        <v>92</v>
      </c>
      <c r="AI24" s="3" t="s">
        <v>92</v>
      </c>
      <c r="AJ24" s="3" t="s">
        <v>92</v>
      </c>
      <c r="AK24" s="3" t="s">
        <v>92</v>
      </c>
      <c r="AL24" s="3" t="s">
        <v>92</v>
      </c>
      <c r="AM24" s="3" t="s">
        <v>92</v>
      </c>
      <c r="AN24" s="3" t="s">
        <v>92</v>
      </c>
      <c r="AO24" s="3" t="s">
        <v>92</v>
      </c>
      <c r="AP24" s="3" t="s">
        <v>92</v>
      </c>
      <c r="AQ24" s="3" t="s">
        <v>92</v>
      </c>
      <c r="AR24" s="3" t="s">
        <v>92</v>
      </c>
      <c r="AS24" s="3" t="s">
        <v>92</v>
      </c>
      <c r="AT24" s="3" t="s">
        <v>92</v>
      </c>
      <c r="AU24" s="3" t="s">
        <v>92</v>
      </c>
      <c r="AV24" s="3" t="s">
        <v>92</v>
      </c>
      <c r="AW24" s="3" t="s">
        <v>92</v>
      </c>
      <c r="AX24" s="3" t="s">
        <v>92</v>
      </c>
      <c r="AY24" s="3" t="s">
        <v>92</v>
      </c>
      <c r="AZ24" s="3" t="s">
        <v>92</v>
      </c>
      <c r="BB24" s="50" t="s">
        <v>187</v>
      </c>
    </row>
    <row r="25" spans="1:55" s="3" customFormat="1" ht="13" x14ac:dyDescent="0.15">
      <c r="A25" s="3" t="s">
        <v>90</v>
      </c>
      <c r="B25" s="3" t="s">
        <v>115</v>
      </c>
      <c r="C25" s="3" t="s">
        <v>92</v>
      </c>
      <c r="D25" s="3">
        <v>3770</v>
      </c>
      <c r="E25" s="3" t="s">
        <v>93</v>
      </c>
      <c r="F25" s="3">
        <v>0.2</v>
      </c>
      <c r="G25" s="3">
        <f>20*60</f>
        <v>1200</v>
      </c>
      <c r="H25" s="3">
        <v>850</v>
      </c>
      <c r="I25" s="3" t="s">
        <v>92</v>
      </c>
      <c r="J25" s="3">
        <v>0.5</v>
      </c>
      <c r="K25" s="66"/>
      <c r="L25" s="3" t="s">
        <v>92</v>
      </c>
      <c r="M25" s="3" t="s">
        <v>92</v>
      </c>
      <c r="N25" s="3">
        <v>12.27</v>
      </c>
      <c r="O25" s="3">
        <v>70.55</v>
      </c>
      <c r="P25" s="3">
        <v>0.83</v>
      </c>
      <c r="Q25" s="3">
        <v>45.66</v>
      </c>
      <c r="R25" s="3">
        <v>4.8600000000000003</v>
      </c>
      <c r="S25" s="3">
        <v>1.38</v>
      </c>
      <c r="T25" s="3">
        <v>34.94</v>
      </c>
      <c r="U25" s="3">
        <v>18.064</v>
      </c>
      <c r="V25" s="3">
        <f t="shared" si="0"/>
        <v>100</v>
      </c>
      <c r="W25" s="3">
        <f t="shared" si="1"/>
        <v>0</v>
      </c>
      <c r="X25" s="3">
        <f>15.5+17</f>
        <v>32.5</v>
      </c>
      <c r="Y25" s="3">
        <v>21</v>
      </c>
      <c r="Z25" s="3">
        <v>46.5</v>
      </c>
      <c r="AA25" s="3" t="s">
        <v>96</v>
      </c>
      <c r="AB25" s="3">
        <f t="shared" si="2"/>
        <v>32.5</v>
      </c>
      <c r="AD25" s="3">
        <f>AE25+AF25+AG25</f>
        <v>0</v>
      </c>
      <c r="AE25" s="3">
        <v>0</v>
      </c>
      <c r="AF25" s="3">
        <v>0</v>
      </c>
      <c r="AG25" s="3">
        <v>0</v>
      </c>
      <c r="AH25" s="3" t="s">
        <v>92</v>
      </c>
      <c r="AI25" s="3" t="s">
        <v>92</v>
      </c>
      <c r="AJ25" s="3" t="s">
        <v>92</v>
      </c>
      <c r="AK25" s="3" t="s">
        <v>92</v>
      </c>
      <c r="AL25" s="3" t="s">
        <v>92</v>
      </c>
      <c r="AM25" s="3" t="s">
        <v>92</v>
      </c>
      <c r="AN25" s="3" t="s">
        <v>92</v>
      </c>
      <c r="AO25" s="3" t="s">
        <v>92</v>
      </c>
      <c r="AP25" s="3" t="s">
        <v>92</v>
      </c>
      <c r="AQ25" s="3" t="s">
        <v>92</v>
      </c>
      <c r="AR25" s="3" t="s">
        <v>92</v>
      </c>
      <c r="AS25" s="3" t="s">
        <v>92</v>
      </c>
      <c r="AT25" s="3" t="s">
        <v>92</v>
      </c>
      <c r="AU25" s="3" t="s">
        <v>92</v>
      </c>
      <c r="AV25" s="3" t="s">
        <v>92</v>
      </c>
      <c r="AW25" s="3" t="s">
        <v>92</v>
      </c>
      <c r="AX25" s="3" t="s">
        <v>92</v>
      </c>
      <c r="AY25" s="3" t="s">
        <v>92</v>
      </c>
      <c r="AZ25" s="3" t="s">
        <v>92</v>
      </c>
      <c r="BB25" s="3" t="s">
        <v>187</v>
      </c>
    </row>
    <row r="26" spans="1:55" s="129" customFormat="1" ht="13" x14ac:dyDescent="0.15">
      <c r="A26" s="129" t="s">
        <v>190</v>
      </c>
      <c r="B26" s="129" t="s">
        <v>115</v>
      </c>
      <c r="C26" s="129" t="s">
        <v>92</v>
      </c>
      <c r="D26" s="129" t="s">
        <v>92</v>
      </c>
      <c r="E26" s="129" t="s">
        <v>92</v>
      </c>
      <c r="F26" s="129" t="s">
        <v>92</v>
      </c>
      <c r="G26" s="129">
        <f>2*60</f>
        <v>120</v>
      </c>
      <c r="H26" s="129">
        <v>330</v>
      </c>
      <c r="I26" s="129" t="s">
        <v>92</v>
      </c>
      <c r="J26" s="131">
        <f>(0.6+0.85)/2</f>
        <v>0.72499999999999998</v>
      </c>
      <c r="L26" s="129" t="s">
        <v>92</v>
      </c>
      <c r="M26" s="129">
        <v>2</v>
      </c>
      <c r="N26" s="129">
        <v>4.09</v>
      </c>
      <c r="O26" s="129" t="s">
        <v>92</v>
      </c>
      <c r="P26" s="129">
        <v>0.9</v>
      </c>
      <c r="Q26" s="129">
        <v>48.54</v>
      </c>
      <c r="R26" s="129">
        <v>6.82</v>
      </c>
      <c r="S26" s="129">
        <f>100-(Q26+R26+T26)</f>
        <v>5.8900000000000006</v>
      </c>
      <c r="T26" s="129">
        <v>38.75</v>
      </c>
      <c r="U26" s="129">
        <v>20</v>
      </c>
      <c r="V26" s="129">
        <f t="shared" si="0"/>
        <v>99.999999999999986</v>
      </c>
      <c r="W26" s="129">
        <f t="shared" si="1"/>
        <v>0</v>
      </c>
      <c r="X26" s="129">
        <v>4.21</v>
      </c>
      <c r="Y26" s="129">
        <v>91.63</v>
      </c>
      <c r="Z26" s="129">
        <v>4.16</v>
      </c>
      <c r="AA26" s="129" t="s">
        <v>96</v>
      </c>
      <c r="AB26" s="129">
        <f t="shared" si="2"/>
        <v>4.21</v>
      </c>
      <c r="AD26" s="129" t="s">
        <v>92</v>
      </c>
      <c r="AE26" s="129" t="s">
        <v>92</v>
      </c>
      <c r="AF26" s="129" t="s">
        <v>92</v>
      </c>
      <c r="AG26" s="129" t="s">
        <v>92</v>
      </c>
      <c r="AH26" s="129" t="s">
        <v>92</v>
      </c>
      <c r="AI26" s="129" t="s">
        <v>92</v>
      </c>
      <c r="AJ26" s="129" t="s">
        <v>92</v>
      </c>
      <c r="AK26" s="129" t="s">
        <v>92</v>
      </c>
      <c r="AL26" s="129" t="s">
        <v>92</v>
      </c>
      <c r="AM26" s="129" t="s">
        <v>92</v>
      </c>
      <c r="AN26" s="129" t="s">
        <v>92</v>
      </c>
      <c r="AO26" s="129" t="s">
        <v>92</v>
      </c>
      <c r="AP26" s="129" t="s">
        <v>92</v>
      </c>
      <c r="AQ26" s="129" t="s">
        <v>92</v>
      </c>
      <c r="AR26" s="129" t="s">
        <v>92</v>
      </c>
      <c r="AS26" s="129" t="s">
        <v>92</v>
      </c>
      <c r="AT26" s="129" t="s">
        <v>92</v>
      </c>
      <c r="AU26" s="129" t="s">
        <v>92</v>
      </c>
      <c r="AV26" s="129" t="s">
        <v>92</v>
      </c>
      <c r="AW26" s="129" t="s">
        <v>92</v>
      </c>
      <c r="AX26" s="129" t="s">
        <v>92</v>
      </c>
      <c r="AY26" s="129" t="s">
        <v>92</v>
      </c>
      <c r="AZ26" s="129" t="s">
        <v>92</v>
      </c>
      <c r="BB26" s="129" t="s">
        <v>191</v>
      </c>
    </row>
    <row r="27" spans="1:55" s="129" customFormat="1" ht="13" x14ac:dyDescent="0.15">
      <c r="A27" s="129" t="s">
        <v>190</v>
      </c>
      <c r="B27" s="129" t="s">
        <v>115</v>
      </c>
      <c r="C27" s="129" t="s">
        <v>92</v>
      </c>
      <c r="D27" s="129" t="s">
        <v>92</v>
      </c>
      <c r="E27" s="129" t="s">
        <v>92</v>
      </c>
      <c r="F27" s="129" t="s">
        <v>92</v>
      </c>
      <c r="G27" s="129">
        <f>4*60</f>
        <v>240</v>
      </c>
      <c r="H27" s="129">
        <v>330</v>
      </c>
      <c r="I27" s="129" t="s">
        <v>92</v>
      </c>
      <c r="J27" s="131">
        <f t="shared" ref="J27:J40" si="4">(0.6+0.85)/2</f>
        <v>0.72499999999999998</v>
      </c>
      <c r="L27" s="129" t="s">
        <v>92</v>
      </c>
      <c r="M27" s="129">
        <v>4</v>
      </c>
      <c r="N27" s="129">
        <v>4.09</v>
      </c>
      <c r="O27" s="129" t="s">
        <v>92</v>
      </c>
      <c r="P27" s="129">
        <v>0.9</v>
      </c>
      <c r="Q27" s="129">
        <v>48.54</v>
      </c>
      <c r="R27" s="129">
        <v>6.82</v>
      </c>
      <c r="S27" s="129">
        <f t="shared" ref="S27:S40" si="5">100-(Q27+R27+T27)</f>
        <v>5.8900000000000006</v>
      </c>
      <c r="T27" s="129">
        <v>38.75</v>
      </c>
      <c r="U27" s="129">
        <v>20</v>
      </c>
      <c r="V27" s="129">
        <f t="shared" si="0"/>
        <v>97</v>
      </c>
      <c r="W27" s="129">
        <f t="shared" si="1"/>
        <v>3</v>
      </c>
      <c r="X27" s="129">
        <v>6.17</v>
      </c>
      <c r="Y27" s="129">
        <v>81.33</v>
      </c>
      <c r="Z27" s="129">
        <v>9.5</v>
      </c>
      <c r="AA27" s="129" t="s">
        <v>96</v>
      </c>
      <c r="AB27" s="129">
        <f t="shared" si="2"/>
        <v>9.17</v>
      </c>
      <c r="AD27" s="129" t="s">
        <v>92</v>
      </c>
      <c r="AE27" s="129" t="s">
        <v>92</v>
      </c>
      <c r="AF27" s="129" t="s">
        <v>92</v>
      </c>
      <c r="AG27" s="129" t="s">
        <v>92</v>
      </c>
      <c r="AH27" s="129" t="s">
        <v>92</v>
      </c>
      <c r="AI27" s="129" t="s">
        <v>92</v>
      </c>
      <c r="AJ27" s="129" t="s">
        <v>92</v>
      </c>
      <c r="AK27" s="129" t="s">
        <v>92</v>
      </c>
      <c r="AL27" s="129" t="s">
        <v>92</v>
      </c>
      <c r="AM27" s="129" t="s">
        <v>92</v>
      </c>
      <c r="AN27" s="129" t="s">
        <v>92</v>
      </c>
      <c r="AO27" s="129" t="s">
        <v>92</v>
      </c>
      <c r="AP27" s="129" t="s">
        <v>92</v>
      </c>
      <c r="AQ27" s="129" t="s">
        <v>92</v>
      </c>
      <c r="AR27" s="129" t="s">
        <v>92</v>
      </c>
      <c r="AS27" s="129" t="s">
        <v>92</v>
      </c>
      <c r="AT27" s="129" t="s">
        <v>92</v>
      </c>
      <c r="AU27" s="129" t="s">
        <v>92</v>
      </c>
      <c r="AV27" s="129" t="s">
        <v>92</v>
      </c>
      <c r="AW27" s="129" t="s">
        <v>92</v>
      </c>
      <c r="AX27" s="129" t="s">
        <v>92</v>
      </c>
      <c r="AY27" s="129" t="s">
        <v>92</v>
      </c>
      <c r="AZ27" s="129" t="s">
        <v>92</v>
      </c>
      <c r="BB27" s="129" t="s">
        <v>191</v>
      </c>
    </row>
    <row r="28" spans="1:55" s="129" customFormat="1" ht="13" x14ac:dyDescent="0.15">
      <c r="A28" s="129" t="s">
        <v>190</v>
      </c>
      <c r="B28" s="129" t="s">
        <v>115</v>
      </c>
      <c r="C28" s="129" t="s">
        <v>92</v>
      </c>
      <c r="D28" s="129" t="s">
        <v>92</v>
      </c>
      <c r="E28" s="129" t="s">
        <v>92</v>
      </c>
      <c r="F28" s="129" t="s">
        <v>92</v>
      </c>
      <c r="G28" s="129">
        <f>M28*60</f>
        <v>300</v>
      </c>
      <c r="H28" s="129">
        <v>330</v>
      </c>
      <c r="I28" s="129" t="s">
        <v>92</v>
      </c>
      <c r="J28" s="131">
        <f t="shared" si="4"/>
        <v>0.72499999999999998</v>
      </c>
      <c r="L28" s="129" t="s">
        <v>92</v>
      </c>
      <c r="M28" s="129">
        <v>5</v>
      </c>
      <c r="N28" s="129">
        <v>4.09</v>
      </c>
      <c r="O28" s="129" t="s">
        <v>92</v>
      </c>
      <c r="P28" s="129">
        <v>0.9</v>
      </c>
      <c r="Q28" s="129">
        <v>48.54</v>
      </c>
      <c r="R28" s="129">
        <v>6.82</v>
      </c>
      <c r="S28" s="129">
        <f t="shared" si="5"/>
        <v>5.8900000000000006</v>
      </c>
      <c r="T28" s="129">
        <v>38.75</v>
      </c>
      <c r="U28" s="129">
        <v>20</v>
      </c>
      <c r="V28" s="129">
        <f t="shared" si="0"/>
        <v>100</v>
      </c>
      <c r="W28" s="129">
        <f t="shared" si="1"/>
        <v>0</v>
      </c>
      <c r="X28" s="129">
        <v>18.5</v>
      </c>
      <c r="Y28" s="129">
        <v>70.75</v>
      </c>
      <c r="Z28" s="129">
        <v>10.75</v>
      </c>
      <c r="AA28" s="129" t="s">
        <v>96</v>
      </c>
      <c r="AB28" s="129">
        <f t="shared" si="2"/>
        <v>18.5</v>
      </c>
      <c r="AD28" s="129" t="s">
        <v>92</v>
      </c>
      <c r="AE28" s="129" t="s">
        <v>92</v>
      </c>
      <c r="AF28" s="129" t="s">
        <v>92</v>
      </c>
      <c r="AG28" s="129" t="s">
        <v>92</v>
      </c>
      <c r="AH28" s="129" t="s">
        <v>92</v>
      </c>
      <c r="AI28" s="129" t="s">
        <v>92</v>
      </c>
      <c r="AJ28" s="129" t="s">
        <v>92</v>
      </c>
      <c r="AK28" s="129" t="s">
        <v>92</v>
      </c>
      <c r="AL28" s="129" t="s">
        <v>92</v>
      </c>
      <c r="AM28" s="129" t="s">
        <v>92</v>
      </c>
      <c r="AN28" s="129" t="s">
        <v>92</v>
      </c>
      <c r="AO28" s="129" t="s">
        <v>92</v>
      </c>
      <c r="AP28" s="129" t="s">
        <v>92</v>
      </c>
      <c r="AQ28" s="129" t="s">
        <v>92</v>
      </c>
      <c r="AR28" s="129" t="s">
        <v>92</v>
      </c>
      <c r="AS28" s="129" t="s">
        <v>92</v>
      </c>
      <c r="AT28" s="129" t="s">
        <v>92</v>
      </c>
      <c r="AU28" s="129" t="s">
        <v>92</v>
      </c>
      <c r="AV28" s="129" t="s">
        <v>92</v>
      </c>
      <c r="AW28" s="129" t="s">
        <v>92</v>
      </c>
      <c r="AX28" s="129" t="s">
        <v>92</v>
      </c>
      <c r="AY28" s="129" t="s">
        <v>92</v>
      </c>
      <c r="AZ28" s="129" t="s">
        <v>92</v>
      </c>
      <c r="BB28" s="129" t="s">
        <v>191</v>
      </c>
    </row>
    <row r="29" spans="1:55" s="129" customFormat="1" ht="13" x14ac:dyDescent="0.15">
      <c r="A29" s="129" t="s">
        <v>190</v>
      </c>
      <c r="B29" s="129" t="s">
        <v>115</v>
      </c>
      <c r="C29" s="129" t="s">
        <v>92</v>
      </c>
      <c r="D29" s="129" t="s">
        <v>92</v>
      </c>
      <c r="E29" s="129" t="s">
        <v>92</v>
      </c>
      <c r="F29" s="129" t="s">
        <v>92</v>
      </c>
      <c r="G29" s="129">
        <f>M29*60</f>
        <v>420</v>
      </c>
      <c r="H29" s="129">
        <v>300</v>
      </c>
      <c r="I29" s="129" t="s">
        <v>92</v>
      </c>
      <c r="J29" s="131">
        <f t="shared" si="4"/>
        <v>0.72499999999999998</v>
      </c>
      <c r="L29" s="129" t="s">
        <v>92</v>
      </c>
      <c r="M29" s="129">
        <v>7</v>
      </c>
      <c r="N29" s="129">
        <v>4.09</v>
      </c>
      <c r="O29" s="129" t="s">
        <v>92</v>
      </c>
      <c r="P29" s="129">
        <v>0.9</v>
      </c>
      <c r="Q29" s="129">
        <v>48.54</v>
      </c>
      <c r="R29" s="129">
        <v>6.82</v>
      </c>
      <c r="S29" s="129">
        <f t="shared" si="5"/>
        <v>5.8900000000000006</v>
      </c>
      <c r="T29" s="129">
        <v>38.75</v>
      </c>
      <c r="U29" s="129">
        <v>20</v>
      </c>
      <c r="V29" s="129">
        <f t="shared" si="0"/>
        <v>100</v>
      </c>
      <c r="W29" s="129">
        <f t="shared" si="1"/>
        <v>0</v>
      </c>
      <c r="X29" s="129">
        <v>23.65</v>
      </c>
      <c r="Y29" s="129">
        <v>63.44</v>
      </c>
      <c r="Z29" s="129">
        <v>12.91</v>
      </c>
      <c r="AA29" s="129" t="s">
        <v>96</v>
      </c>
      <c r="AB29" s="129">
        <f t="shared" si="2"/>
        <v>23.65</v>
      </c>
      <c r="AD29" s="129" t="s">
        <v>92</v>
      </c>
      <c r="AE29" s="129" t="s">
        <v>92</v>
      </c>
      <c r="AF29" s="129" t="s">
        <v>92</v>
      </c>
      <c r="AG29" s="129" t="s">
        <v>92</v>
      </c>
      <c r="AH29" s="129" t="s">
        <v>92</v>
      </c>
      <c r="AI29" s="129" t="s">
        <v>92</v>
      </c>
      <c r="AJ29" s="129" t="s">
        <v>92</v>
      </c>
      <c r="AK29" s="129" t="s">
        <v>92</v>
      </c>
      <c r="AL29" s="129" t="s">
        <v>92</v>
      </c>
      <c r="AM29" s="129" t="s">
        <v>92</v>
      </c>
      <c r="AN29" s="129" t="s">
        <v>92</v>
      </c>
      <c r="AO29" s="129" t="s">
        <v>92</v>
      </c>
      <c r="AP29" s="129" t="s">
        <v>92</v>
      </c>
      <c r="AQ29" s="129" t="s">
        <v>92</v>
      </c>
      <c r="AR29" s="129" t="s">
        <v>92</v>
      </c>
      <c r="AS29" s="129" t="s">
        <v>92</v>
      </c>
      <c r="AT29" s="129" t="s">
        <v>92</v>
      </c>
      <c r="AU29" s="129" t="s">
        <v>92</v>
      </c>
      <c r="AV29" s="129" t="s">
        <v>92</v>
      </c>
      <c r="AW29" s="129" t="s">
        <v>92</v>
      </c>
      <c r="AX29" s="129" t="s">
        <v>92</v>
      </c>
      <c r="AY29" s="129" t="s">
        <v>92</v>
      </c>
      <c r="AZ29" s="129" t="s">
        <v>92</v>
      </c>
      <c r="BB29" s="129" t="s">
        <v>191</v>
      </c>
    </row>
    <row r="30" spans="1:55" s="129" customFormat="1" ht="13" x14ac:dyDescent="0.15">
      <c r="A30" s="129" t="s">
        <v>190</v>
      </c>
      <c r="B30" s="129" t="s">
        <v>115</v>
      </c>
      <c r="C30" s="129" t="s">
        <v>92</v>
      </c>
      <c r="D30" s="129" t="s">
        <v>92</v>
      </c>
      <c r="E30" s="129" t="s">
        <v>92</v>
      </c>
      <c r="F30" s="129" t="s">
        <v>92</v>
      </c>
      <c r="G30" s="129">
        <f>M30*60</f>
        <v>600</v>
      </c>
      <c r="H30" s="129">
        <v>330</v>
      </c>
      <c r="I30" s="129" t="s">
        <v>92</v>
      </c>
      <c r="J30" s="131">
        <f t="shared" si="4"/>
        <v>0.72499999999999998</v>
      </c>
      <c r="L30" s="129" t="s">
        <v>92</v>
      </c>
      <c r="M30" s="129">
        <v>10</v>
      </c>
      <c r="N30" s="129">
        <v>4.09</v>
      </c>
      <c r="O30" s="129" t="s">
        <v>92</v>
      </c>
      <c r="P30" s="129">
        <v>0.9</v>
      </c>
      <c r="Q30" s="129">
        <v>48.54</v>
      </c>
      <c r="R30" s="129">
        <v>6.82</v>
      </c>
      <c r="S30" s="129">
        <f t="shared" si="5"/>
        <v>5.8900000000000006</v>
      </c>
      <c r="T30" s="129">
        <v>38.75</v>
      </c>
      <c r="U30" s="129">
        <v>20</v>
      </c>
      <c r="V30" s="129">
        <f t="shared" si="0"/>
        <v>100</v>
      </c>
      <c r="W30" s="129">
        <f t="shared" si="1"/>
        <v>0</v>
      </c>
      <c r="X30" s="129">
        <v>25.57</v>
      </c>
      <c r="Y30" s="129">
        <v>57.13</v>
      </c>
      <c r="Z30" s="129">
        <v>17.3</v>
      </c>
      <c r="AA30" s="129" t="s">
        <v>96</v>
      </c>
      <c r="AB30" s="129">
        <f t="shared" si="2"/>
        <v>25.57</v>
      </c>
      <c r="AD30" s="129" t="s">
        <v>92</v>
      </c>
      <c r="AE30" s="129" t="s">
        <v>92</v>
      </c>
      <c r="AF30" s="129" t="s">
        <v>92</v>
      </c>
      <c r="AG30" s="129" t="s">
        <v>92</v>
      </c>
      <c r="AH30" s="129" t="s">
        <v>92</v>
      </c>
      <c r="AI30" s="129" t="s">
        <v>92</v>
      </c>
      <c r="AJ30" s="129" t="s">
        <v>92</v>
      </c>
      <c r="AK30" s="129" t="s">
        <v>92</v>
      </c>
      <c r="AL30" s="129" t="s">
        <v>92</v>
      </c>
      <c r="AM30" s="129" t="s">
        <v>92</v>
      </c>
      <c r="AN30" s="129" t="s">
        <v>92</v>
      </c>
      <c r="AO30" s="129" t="s">
        <v>92</v>
      </c>
      <c r="AP30" s="129" t="s">
        <v>92</v>
      </c>
      <c r="AQ30" s="129" t="s">
        <v>92</v>
      </c>
      <c r="AR30" s="129" t="s">
        <v>92</v>
      </c>
      <c r="AS30" s="129" t="s">
        <v>92</v>
      </c>
      <c r="AT30" s="129" t="s">
        <v>92</v>
      </c>
      <c r="AU30" s="129" t="s">
        <v>92</v>
      </c>
      <c r="AV30" s="129" t="s">
        <v>92</v>
      </c>
      <c r="AW30" s="129" t="s">
        <v>92</v>
      </c>
      <c r="AX30" s="129" t="s">
        <v>92</v>
      </c>
      <c r="AY30" s="129" t="s">
        <v>92</v>
      </c>
      <c r="AZ30" s="129" t="s">
        <v>92</v>
      </c>
      <c r="BB30" s="129" t="s">
        <v>191</v>
      </c>
    </row>
    <row r="31" spans="1:55" s="129" customFormat="1" ht="13" x14ac:dyDescent="0.15">
      <c r="A31" s="129" t="s">
        <v>190</v>
      </c>
      <c r="B31" s="129" t="s">
        <v>115</v>
      </c>
      <c r="C31" s="129" t="s">
        <v>92</v>
      </c>
      <c r="D31" s="129" t="s">
        <v>92</v>
      </c>
      <c r="E31" s="129" t="s">
        <v>92</v>
      </c>
      <c r="F31" s="129" t="s">
        <v>92</v>
      </c>
      <c r="G31" s="129">
        <f t="shared" ref="G31:G39" si="6">M31*60</f>
        <v>120</v>
      </c>
      <c r="H31" s="129">
        <v>350</v>
      </c>
      <c r="I31" s="129" t="s">
        <v>92</v>
      </c>
      <c r="J31" s="131">
        <f t="shared" si="4"/>
        <v>0.72499999999999998</v>
      </c>
      <c r="L31" s="129" t="s">
        <v>92</v>
      </c>
      <c r="M31" s="129">
        <v>2</v>
      </c>
      <c r="N31" s="129">
        <v>4.09</v>
      </c>
      <c r="O31" s="129" t="s">
        <v>92</v>
      </c>
      <c r="P31" s="129">
        <v>0.9</v>
      </c>
      <c r="Q31" s="129">
        <v>48.54</v>
      </c>
      <c r="R31" s="129">
        <v>6.82</v>
      </c>
      <c r="S31" s="129">
        <f t="shared" si="5"/>
        <v>5.8900000000000006</v>
      </c>
      <c r="T31" s="129">
        <v>38.75</v>
      </c>
      <c r="U31" s="129">
        <v>20</v>
      </c>
      <c r="V31" s="129">
        <f t="shared" si="0"/>
        <v>100</v>
      </c>
      <c r="W31" s="129">
        <f t="shared" si="1"/>
        <v>0</v>
      </c>
      <c r="X31" s="129">
        <v>4.03</v>
      </c>
      <c r="Y31" s="129">
        <v>90.08</v>
      </c>
      <c r="Z31" s="129">
        <v>5.89</v>
      </c>
      <c r="AA31" s="129" t="s">
        <v>96</v>
      </c>
      <c r="AB31" s="129">
        <f t="shared" si="2"/>
        <v>4.03</v>
      </c>
      <c r="AD31" s="129" t="s">
        <v>92</v>
      </c>
      <c r="AE31" s="129" t="s">
        <v>92</v>
      </c>
      <c r="AF31" s="129" t="s">
        <v>92</v>
      </c>
      <c r="AG31" s="129" t="s">
        <v>92</v>
      </c>
      <c r="AH31" s="129" t="s">
        <v>92</v>
      </c>
      <c r="AI31" s="129" t="s">
        <v>92</v>
      </c>
      <c r="AJ31" s="129" t="s">
        <v>92</v>
      </c>
      <c r="AK31" s="129" t="s">
        <v>92</v>
      </c>
      <c r="AL31" s="129" t="s">
        <v>92</v>
      </c>
      <c r="AM31" s="129" t="s">
        <v>92</v>
      </c>
      <c r="AN31" s="129" t="s">
        <v>92</v>
      </c>
      <c r="AO31" s="129" t="s">
        <v>92</v>
      </c>
      <c r="AP31" s="129" t="s">
        <v>92</v>
      </c>
      <c r="AQ31" s="129" t="s">
        <v>92</v>
      </c>
      <c r="AR31" s="129" t="s">
        <v>92</v>
      </c>
      <c r="AS31" s="129" t="s">
        <v>92</v>
      </c>
      <c r="AT31" s="129" t="s">
        <v>92</v>
      </c>
      <c r="AU31" s="129" t="s">
        <v>92</v>
      </c>
      <c r="AV31" s="129" t="s">
        <v>92</v>
      </c>
      <c r="AW31" s="129" t="s">
        <v>92</v>
      </c>
      <c r="AX31" s="129" t="s">
        <v>92</v>
      </c>
      <c r="AY31" s="129" t="s">
        <v>92</v>
      </c>
      <c r="AZ31" s="129" t="s">
        <v>92</v>
      </c>
      <c r="BB31" s="129" t="s">
        <v>191</v>
      </c>
    </row>
    <row r="32" spans="1:55" s="129" customFormat="1" ht="13" x14ac:dyDescent="0.15">
      <c r="A32" s="129" t="s">
        <v>190</v>
      </c>
      <c r="B32" s="129" t="s">
        <v>115</v>
      </c>
      <c r="C32" s="129" t="s">
        <v>92</v>
      </c>
      <c r="D32" s="129" t="s">
        <v>92</v>
      </c>
      <c r="E32" s="129" t="s">
        <v>92</v>
      </c>
      <c r="F32" s="129" t="s">
        <v>92</v>
      </c>
      <c r="G32" s="129">
        <f t="shared" si="6"/>
        <v>240</v>
      </c>
      <c r="H32" s="129">
        <v>350</v>
      </c>
      <c r="I32" s="129" t="s">
        <v>92</v>
      </c>
      <c r="J32" s="131">
        <f t="shared" si="4"/>
        <v>0.72499999999999998</v>
      </c>
      <c r="L32" s="129" t="s">
        <v>92</v>
      </c>
      <c r="M32" s="129">
        <v>4</v>
      </c>
      <c r="N32" s="129">
        <v>4.09</v>
      </c>
      <c r="O32" s="129" t="s">
        <v>92</v>
      </c>
      <c r="P32" s="129">
        <v>0.9</v>
      </c>
      <c r="Q32" s="129">
        <v>48.54</v>
      </c>
      <c r="R32" s="129">
        <v>6.82</v>
      </c>
      <c r="S32" s="129">
        <f t="shared" si="5"/>
        <v>5.8900000000000006</v>
      </c>
      <c r="T32" s="129">
        <v>38.75</v>
      </c>
      <c r="U32" s="129">
        <v>20</v>
      </c>
      <c r="V32" s="129">
        <f t="shared" si="0"/>
        <v>100</v>
      </c>
      <c r="W32" s="129">
        <f t="shared" si="1"/>
        <v>0</v>
      </c>
      <c r="X32" s="129">
        <v>16.72</v>
      </c>
      <c r="Y32" s="129">
        <v>68.150000000000006</v>
      </c>
      <c r="Z32" s="129">
        <v>15.13</v>
      </c>
      <c r="AA32" s="129" t="s">
        <v>96</v>
      </c>
      <c r="AB32" s="129">
        <f t="shared" si="2"/>
        <v>16.72</v>
      </c>
      <c r="AD32" s="129" t="s">
        <v>92</v>
      </c>
      <c r="AE32" s="129" t="s">
        <v>92</v>
      </c>
      <c r="AF32" s="129" t="s">
        <v>92</v>
      </c>
      <c r="AG32" s="129" t="s">
        <v>92</v>
      </c>
      <c r="AH32" s="129" t="s">
        <v>92</v>
      </c>
      <c r="AI32" s="129" t="s">
        <v>92</v>
      </c>
      <c r="AJ32" s="129" t="s">
        <v>92</v>
      </c>
      <c r="AK32" s="129" t="s">
        <v>92</v>
      </c>
      <c r="AL32" s="129" t="s">
        <v>92</v>
      </c>
      <c r="AM32" s="129" t="s">
        <v>92</v>
      </c>
      <c r="AN32" s="129" t="s">
        <v>92</v>
      </c>
      <c r="AO32" s="129" t="s">
        <v>92</v>
      </c>
      <c r="AP32" s="129" t="s">
        <v>92</v>
      </c>
      <c r="AQ32" s="129" t="s">
        <v>92</v>
      </c>
      <c r="AR32" s="129" t="s">
        <v>92</v>
      </c>
      <c r="AS32" s="129" t="s">
        <v>92</v>
      </c>
      <c r="AT32" s="129" t="s">
        <v>92</v>
      </c>
      <c r="AU32" s="129" t="s">
        <v>92</v>
      </c>
      <c r="AV32" s="129" t="s">
        <v>92</v>
      </c>
      <c r="AW32" s="129" t="s">
        <v>92</v>
      </c>
      <c r="AX32" s="129" t="s">
        <v>92</v>
      </c>
      <c r="AY32" s="129" t="s">
        <v>92</v>
      </c>
      <c r="AZ32" s="129" t="s">
        <v>92</v>
      </c>
      <c r="BB32" s="129" t="s">
        <v>191</v>
      </c>
    </row>
    <row r="33" spans="1:55" s="129" customFormat="1" ht="13" x14ac:dyDescent="0.15">
      <c r="A33" s="129" t="s">
        <v>190</v>
      </c>
      <c r="B33" s="129" t="s">
        <v>115</v>
      </c>
      <c r="C33" s="129" t="s">
        <v>92</v>
      </c>
      <c r="D33" s="129" t="s">
        <v>92</v>
      </c>
      <c r="E33" s="129" t="s">
        <v>92</v>
      </c>
      <c r="F33" s="129" t="s">
        <v>92</v>
      </c>
      <c r="G33" s="129">
        <f t="shared" si="6"/>
        <v>300</v>
      </c>
      <c r="H33" s="129">
        <v>350</v>
      </c>
      <c r="I33" s="129" t="s">
        <v>92</v>
      </c>
      <c r="J33" s="131">
        <f t="shared" si="4"/>
        <v>0.72499999999999998</v>
      </c>
      <c r="L33" s="129" t="s">
        <v>92</v>
      </c>
      <c r="M33" s="129">
        <v>5</v>
      </c>
      <c r="N33" s="129">
        <v>4.09</v>
      </c>
      <c r="O33" s="129" t="s">
        <v>92</v>
      </c>
      <c r="P33" s="129">
        <v>0.9</v>
      </c>
      <c r="Q33" s="129">
        <v>48.54</v>
      </c>
      <c r="R33" s="129">
        <v>6.82</v>
      </c>
      <c r="S33" s="129">
        <f t="shared" si="5"/>
        <v>5.8900000000000006</v>
      </c>
      <c r="T33" s="129">
        <v>38.75</v>
      </c>
      <c r="U33" s="129">
        <v>20</v>
      </c>
      <c r="V33" s="129">
        <f t="shared" si="0"/>
        <v>100</v>
      </c>
      <c r="W33" s="129">
        <f t="shared" si="1"/>
        <v>0</v>
      </c>
      <c r="X33" s="129">
        <v>26.65</v>
      </c>
      <c r="Y33" s="129">
        <v>54.46</v>
      </c>
      <c r="Z33" s="129">
        <v>18.89</v>
      </c>
      <c r="AA33" s="129" t="s">
        <v>96</v>
      </c>
      <c r="AB33" s="129">
        <f t="shared" si="2"/>
        <v>26.65</v>
      </c>
      <c r="AD33" s="129" t="s">
        <v>92</v>
      </c>
      <c r="AE33" s="129" t="s">
        <v>92</v>
      </c>
      <c r="AF33" s="129" t="s">
        <v>92</v>
      </c>
      <c r="AG33" s="129" t="s">
        <v>92</v>
      </c>
      <c r="AH33" s="129" t="s">
        <v>92</v>
      </c>
      <c r="AI33" s="129" t="s">
        <v>92</v>
      </c>
      <c r="AJ33" s="129" t="s">
        <v>92</v>
      </c>
      <c r="AK33" s="129" t="s">
        <v>92</v>
      </c>
      <c r="AL33" s="129" t="s">
        <v>92</v>
      </c>
      <c r="AM33" s="129" t="s">
        <v>92</v>
      </c>
      <c r="AN33" s="129" t="s">
        <v>92</v>
      </c>
      <c r="AO33" s="129" t="s">
        <v>92</v>
      </c>
      <c r="AP33" s="129" t="s">
        <v>92</v>
      </c>
      <c r="AQ33" s="129" t="s">
        <v>92</v>
      </c>
      <c r="AR33" s="129" t="s">
        <v>92</v>
      </c>
      <c r="AS33" s="129" t="s">
        <v>92</v>
      </c>
      <c r="AT33" s="129" t="s">
        <v>92</v>
      </c>
      <c r="AU33" s="129" t="s">
        <v>92</v>
      </c>
      <c r="AV33" s="129" t="s">
        <v>92</v>
      </c>
      <c r="AW33" s="129" t="s">
        <v>92</v>
      </c>
      <c r="AX33" s="129" t="s">
        <v>92</v>
      </c>
      <c r="AY33" s="129" t="s">
        <v>92</v>
      </c>
      <c r="AZ33" s="129" t="s">
        <v>92</v>
      </c>
      <c r="BB33" s="129" t="s">
        <v>191</v>
      </c>
    </row>
    <row r="34" spans="1:55" s="129" customFormat="1" ht="13" x14ac:dyDescent="0.15">
      <c r="A34" s="129" t="s">
        <v>190</v>
      </c>
      <c r="B34" s="129" t="s">
        <v>115</v>
      </c>
      <c r="C34" s="129" t="s">
        <v>92</v>
      </c>
      <c r="D34" s="129" t="s">
        <v>92</v>
      </c>
      <c r="E34" s="129" t="s">
        <v>92</v>
      </c>
      <c r="F34" s="129" t="s">
        <v>92</v>
      </c>
      <c r="G34" s="129">
        <f t="shared" si="6"/>
        <v>420</v>
      </c>
      <c r="H34" s="129">
        <v>350</v>
      </c>
      <c r="I34" s="129" t="s">
        <v>92</v>
      </c>
      <c r="J34" s="131">
        <f t="shared" si="4"/>
        <v>0.72499999999999998</v>
      </c>
      <c r="L34" s="129" t="s">
        <v>92</v>
      </c>
      <c r="M34" s="129">
        <v>7</v>
      </c>
      <c r="N34" s="129">
        <v>4.09</v>
      </c>
      <c r="O34" s="129" t="s">
        <v>92</v>
      </c>
      <c r="P34" s="129">
        <v>0.9</v>
      </c>
      <c r="Q34" s="129">
        <v>48.54</v>
      </c>
      <c r="R34" s="129">
        <v>6.82</v>
      </c>
      <c r="S34" s="129">
        <f t="shared" si="5"/>
        <v>5.8900000000000006</v>
      </c>
      <c r="T34" s="129">
        <v>38.75</v>
      </c>
      <c r="U34" s="129">
        <v>20</v>
      </c>
      <c r="V34" s="129">
        <f t="shared" si="0"/>
        <v>100</v>
      </c>
      <c r="W34" s="129">
        <f t="shared" si="1"/>
        <v>0</v>
      </c>
      <c r="X34" s="129">
        <v>24.54</v>
      </c>
      <c r="Y34" s="129">
        <v>54.76</v>
      </c>
      <c r="Z34" s="129">
        <v>20.7</v>
      </c>
      <c r="AA34" s="129" t="s">
        <v>96</v>
      </c>
      <c r="AB34" s="129">
        <f t="shared" si="2"/>
        <v>24.54</v>
      </c>
      <c r="AD34" s="129" t="s">
        <v>92</v>
      </c>
      <c r="AE34" s="129" t="s">
        <v>92</v>
      </c>
      <c r="AF34" s="129" t="s">
        <v>92</v>
      </c>
      <c r="AG34" s="129" t="s">
        <v>92</v>
      </c>
      <c r="AH34" s="129" t="s">
        <v>92</v>
      </c>
      <c r="AI34" s="129" t="s">
        <v>92</v>
      </c>
      <c r="AJ34" s="129" t="s">
        <v>92</v>
      </c>
      <c r="AK34" s="129" t="s">
        <v>92</v>
      </c>
      <c r="AL34" s="129" t="s">
        <v>92</v>
      </c>
      <c r="AM34" s="129" t="s">
        <v>92</v>
      </c>
      <c r="AN34" s="129" t="s">
        <v>92</v>
      </c>
      <c r="AO34" s="129" t="s">
        <v>92</v>
      </c>
      <c r="AP34" s="129" t="s">
        <v>92</v>
      </c>
      <c r="AQ34" s="129" t="s">
        <v>92</v>
      </c>
      <c r="AR34" s="129" t="s">
        <v>92</v>
      </c>
      <c r="AS34" s="129" t="s">
        <v>92</v>
      </c>
      <c r="AT34" s="129" t="s">
        <v>92</v>
      </c>
      <c r="AU34" s="129" t="s">
        <v>92</v>
      </c>
      <c r="AV34" s="129" t="s">
        <v>92</v>
      </c>
      <c r="AW34" s="129" t="s">
        <v>92</v>
      </c>
      <c r="AX34" s="129" t="s">
        <v>92</v>
      </c>
      <c r="AY34" s="129" t="s">
        <v>92</v>
      </c>
      <c r="AZ34" s="129" t="s">
        <v>92</v>
      </c>
      <c r="BB34" s="129" t="s">
        <v>191</v>
      </c>
    </row>
    <row r="35" spans="1:55" s="129" customFormat="1" ht="13" x14ac:dyDescent="0.15">
      <c r="A35" s="129" t="s">
        <v>190</v>
      </c>
      <c r="B35" s="129" t="s">
        <v>115</v>
      </c>
      <c r="C35" s="129" t="s">
        <v>92</v>
      </c>
      <c r="D35" s="129" t="s">
        <v>92</v>
      </c>
      <c r="E35" s="129" t="s">
        <v>92</v>
      </c>
      <c r="F35" s="129" t="s">
        <v>92</v>
      </c>
      <c r="G35" s="129">
        <f>M35*60</f>
        <v>600</v>
      </c>
      <c r="H35" s="129">
        <v>350</v>
      </c>
      <c r="I35" s="129" t="s">
        <v>92</v>
      </c>
      <c r="J35" s="131">
        <f t="shared" si="4"/>
        <v>0.72499999999999998</v>
      </c>
      <c r="L35" s="129" t="s">
        <v>92</v>
      </c>
      <c r="M35" s="129">
        <v>10</v>
      </c>
      <c r="N35" s="129">
        <v>4.09</v>
      </c>
      <c r="O35" s="129" t="s">
        <v>92</v>
      </c>
      <c r="P35" s="129">
        <v>0.9</v>
      </c>
      <c r="Q35" s="129">
        <v>48.54</v>
      </c>
      <c r="R35" s="129">
        <v>6.82</v>
      </c>
      <c r="S35" s="129">
        <f t="shared" si="5"/>
        <v>5.8900000000000006</v>
      </c>
      <c r="T35" s="129">
        <v>38.75</v>
      </c>
      <c r="U35" s="129">
        <v>20</v>
      </c>
      <c r="V35" s="129">
        <f t="shared" si="0"/>
        <v>100</v>
      </c>
      <c r="W35" s="129">
        <f t="shared" si="1"/>
        <v>0</v>
      </c>
      <c r="X35" s="129">
        <v>25.17</v>
      </c>
      <c r="Y35" s="129">
        <v>53.56</v>
      </c>
      <c r="Z35" s="129">
        <v>21.27</v>
      </c>
      <c r="AA35" s="129" t="s">
        <v>96</v>
      </c>
      <c r="AB35" s="129">
        <f t="shared" si="2"/>
        <v>25.17</v>
      </c>
      <c r="AD35" s="129" t="s">
        <v>92</v>
      </c>
      <c r="AE35" s="129" t="s">
        <v>92</v>
      </c>
      <c r="AF35" s="129" t="s">
        <v>92</v>
      </c>
      <c r="AG35" s="129" t="s">
        <v>92</v>
      </c>
      <c r="AH35" s="129" t="s">
        <v>92</v>
      </c>
      <c r="AI35" s="129" t="s">
        <v>92</v>
      </c>
      <c r="AJ35" s="129" t="s">
        <v>92</v>
      </c>
      <c r="AK35" s="129" t="s">
        <v>92</v>
      </c>
      <c r="AL35" s="129" t="s">
        <v>92</v>
      </c>
      <c r="AM35" s="129" t="s">
        <v>92</v>
      </c>
      <c r="AN35" s="129" t="s">
        <v>92</v>
      </c>
      <c r="AO35" s="129" t="s">
        <v>92</v>
      </c>
      <c r="AP35" s="129" t="s">
        <v>92</v>
      </c>
      <c r="AQ35" s="129" t="s">
        <v>92</v>
      </c>
      <c r="AR35" s="129" t="s">
        <v>92</v>
      </c>
      <c r="AS35" s="129" t="s">
        <v>92</v>
      </c>
      <c r="AT35" s="129" t="s">
        <v>92</v>
      </c>
      <c r="AU35" s="129" t="s">
        <v>92</v>
      </c>
      <c r="AV35" s="129" t="s">
        <v>92</v>
      </c>
      <c r="AW35" s="129" t="s">
        <v>92</v>
      </c>
      <c r="AX35" s="129" t="s">
        <v>92</v>
      </c>
      <c r="AY35" s="129" t="s">
        <v>92</v>
      </c>
      <c r="AZ35" s="129" t="s">
        <v>92</v>
      </c>
      <c r="BB35" s="129" t="s">
        <v>191</v>
      </c>
    </row>
    <row r="36" spans="1:55" s="129" customFormat="1" ht="13" x14ac:dyDescent="0.15">
      <c r="A36" s="129" t="s">
        <v>190</v>
      </c>
      <c r="B36" s="129" t="s">
        <v>115</v>
      </c>
      <c r="C36" s="129" t="s">
        <v>92</v>
      </c>
      <c r="D36" s="129" t="s">
        <v>92</v>
      </c>
      <c r="E36" s="129" t="s">
        <v>92</v>
      </c>
      <c r="F36" s="129" t="s">
        <v>92</v>
      </c>
      <c r="G36" s="129">
        <f t="shared" si="6"/>
        <v>120</v>
      </c>
      <c r="H36" s="129">
        <v>370</v>
      </c>
      <c r="I36" s="129" t="s">
        <v>92</v>
      </c>
      <c r="J36" s="131">
        <f t="shared" si="4"/>
        <v>0.72499999999999998</v>
      </c>
      <c r="L36" s="129" t="s">
        <v>92</v>
      </c>
      <c r="M36" s="129">
        <v>2</v>
      </c>
      <c r="N36" s="129">
        <v>4.09</v>
      </c>
      <c r="O36" s="129" t="s">
        <v>92</v>
      </c>
      <c r="P36" s="129">
        <v>0.9</v>
      </c>
      <c r="Q36" s="129">
        <v>48.54</v>
      </c>
      <c r="R36" s="129">
        <v>6.82</v>
      </c>
      <c r="S36" s="129">
        <f t="shared" si="5"/>
        <v>5.8900000000000006</v>
      </c>
      <c r="T36" s="129">
        <v>38.75</v>
      </c>
      <c r="U36" s="129">
        <v>20</v>
      </c>
      <c r="V36" s="129">
        <f t="shared" si="0"/>
        <v>99.97999999999999</v>
      </c>
      <c r="W36" s="129">
        <f t="shared" si="1"/>
        <v>2.0000000000010232E-2</v>
      </c>
      <c r="X36" s="129">
        <v>8.44</v>
      </c>
      <c r="Y36" s="129">
        <v>85.08</v>
      </c>
      <c r="Z36" s="129">
        <v>6.46</v>
      </c>
      <c r="AA36" s="129" t="s">
        <v>96</v>
      </c>
      <c r="AB36" s="129">
        <f t="shared" si="2"/>
        <v>8.4600000000000097</v>
      </c>
      <c r="AD36" s="129" t="s">
        <v>92</v>
      </c>
      <c r="AE36" s="129" t="s">
        <v>92</v>
      </c>
      <c r="AF36" s="129" t="s">
        <v>92</v>
      </c>
      <c r="AG36" s="129" t="s">
        <v>92</v>
      </c>
      <c r="AH36" s="129" t="s">
        <v>92</v>
      </c>
      <c r="AI36" s="129" t="s">
        <v>92</v>
      </c>
      <c r="AJ36" s="129" t="s">
        <v>92</v>
      </c>
      <c r="AK36" s="129" t="s">
        <v>92</v>
      </c>
      <c r="AL36" s="129" t="s">
        <v>92</v>
      </c>
      <c r="AM36" s="129" t="s">
        <v>92</v>
      </c>
      <c r="AN36" s="129" t="s">
        <v>92</v>
      </c>
      <c r="AO36" s="129" t="s">
        <v>92</v>
      </c>
      <c r="AP36" s="129" t="s">
        <v>92</v>
      </c>
      <c r="AQ36" s="129" t="s">
        <v>92</v>
      </c>
      <c r="AR36" s="129" t="s">
        <v>92</v>
      </c>
      <c r="AS36" s="129" t="s">
        <v>92</v>
      </c>
      <c r="AT36" s="129" t="s">
        <v>92</v>
      </c>
      <c r="AU36" s="129" t="s">
        <v>92</v>
      </c>
      <c r="AV36" s="129" t="s">
        <v>92</v>
      </c>
      <c r="AW36" s="129" t="s">
        <v>92</v>
      </c>
      <c r="AX36" s="129" t="s">
        <v>92</v>
      </c>
      <c r="AY36" s="129" t="s">
        <v>92</v>
      </c>
      <c r="AZ36" s="129" t="s">
        <v>92</v>
      </c>
      <c r="BB36" s="129" t="s">
        <v>191</v>
      </c>
    </row>
    <row r="37" spans="1:55" s="129" customFormat="1" ht="13" x14ac:dyDescent="0.15">
      <c r="A37" s="129" t="s">
        <v>190</v>
      </c>
      <c r="B37" s="129" t="s">
        <v>115</v>
      </c>
      <c r="C37" s="129" t="s">
        <v>92</v>
      </c>
      <c r="D37" s="129" t="s">
        <v>92</v>
      </c>
      <c r="E37" s="129" t="s">
        <v>92</v>
      </c>
      <c r="F37" s="129" t="s">
        <v>92</v>
      </c>
      <c r="G37" s="129">
        <f t="shared" si="6"/>
        <v>240</v>
      </c>
      <c r="H37" s="129">
        <v>370</v>
      </c>
      <c r="I37" s="129" t="s">
        <v>92</v>
      </c>
      <c r="J37" s="131">
        <f t="shared" si="4"/>
        <v>0.72499999999999998</v>
      </c>
      <c r="L37" s="129" t="s">
        <v>92</v>
      </c>
      <c r="M37" s="129">
        <v>4</v>
      </c>
      <c r="N37" s="129">
        <v>4.09</v>
      </c>
      <c r="O37" s="129" t="s">
        <v>92</v>
      </c>
      <c r="P37" s="129">
        <v>0.9</v>
      </c>
      <c r="Q37" s="129">
        <v>48.54</v>
      </c>
      <c r="R37" s="129">
        <v>6.82</v>
      </c>
      <c r="S37" s="129">
        <f t="shared" si="5"/>
        <v>5.8900000000000006</v>
      </c>
      <c r="T37" s="129">
        <v>38.75</v>
      </c>
      <c r="U37" s="129">
        <v>20</v>
      </c>
      <c r="V37" s="129">
        <f t="shared" si="0"/>
        <v>100.02</v>
      </c>
      <c r="W37" s="129">
        <f t="shared" si="1"/>
        <v>-1.9999999999996021E-2</v>
      </c>
      <c r="X37" s="129">
        <v>20.13</v>
      </c>
      <c r="Y37" s="129">
        <v>64.16</v>
      </c>
      <c r="Z37" s="129">
        <v>15.73</v>
      </c>
      <c r="AA37" s="129" t="s">
        <v>96</v>
      </c>
      <c r="AB37" s="129">
        <f t="shared" si="2"/>
        <v>20.110000000000003</v>
      </c>
      <c r="AD37" s="129" t="s">
        <v>92</v>
      </c>
      <c r="AE37" s="129" t="s">
        <v>92</v>
      </c>
      <c r="AF37" s="129" t="s">
        <v>92</v>
      </c>
      <c r="AG37" s="129" t="s">
        <v>92</v>
      </c>
      <c r="AH37" s="129" t="s">
        <v>92</v>
      </c>
      <c r="AI37" s="129" t="s">
        <v>92</v>
      </c>
      <c r="AJ37" s="129" t="s">
        <v>92</v>
      </c>
      <c r="AK37" s="129" t="s">
        <v>92</v>
      </c>
      <c r="AL37" s="129" t="s">
        <v>92</v>
      </c>
      <c r="AM37" s="129" t="s">
        <v>92</v>
      </c>
      <c r="AN37" s="129" t="s">
        <v>92</v>
      </c>
      <c r="AO37" s="129" t="s">
        <v>92</v>
      </c>
      <c r="AP37" s="129" t="s">
        <v>92</v>
      </c>
      <c r="AQ37" s="129" t="s">
        <v>92</v>
      </c>
      <c r="AR37" s="129" t="s">
        <v>92</v>
      </c>
      <c r="AS37" s="129" t="s">
        <v>92</v>
      </c>
      <c r="AT37" s="129" t="s">
        <v>92</v>
      </c>
      <c r="AU37" s="129" t="s">
        <v>92</v>
      </c>
      <c r="AV37" s="129" t="s">
        <v>92</v>
      </c>
      <c r="AW37" s="129" t="s">
        <v>92</v>
      </c>
      <c r="AX37" s="129" t="s">
        <v>92</v>
      </c>
      <c r="AY37" s="129" t="s">
        <v>92</v>
      </c>
      <c r="AZ37" s="129" t="s">
        <v>92</v>
      </c>
      <c r="BB37" s="129" t="s">
        <v>191</v>
      </c>
    </row>
    <row r="38" spans="1:55" s="129" customFormat="1" ht="13" x14ac:dyDescent="0.15">
      <c r="A38" s="129" t="s">
        <v>190</v>
      </c>
      <c r="B38" s="129" t="s">
        <v>115</v>
      </c>
      <c r="C38" s="129" t="s">
        <v>92</v>
      </c>
      <c r="D38" s="129" t="s">
        <v>92</v>
      </c>
      <c r="E38" s="129" t="s">
        <v>92</v>
      </c>
      <c r="F38" s="129" t="s">
        <v>92</v>
      </c>
      <c r="G38" s="129">
        <f t="shared" si="6"/>
        <v>300</v>
      </c>
      <c r="H38" s="129">
        <v>370</v>
      </c>
      <c r="I38" s="129" t="s">
        <v>92</v>
      </c>
      <c r="J38" s="131">
        <f t="shared" si="4"/>
        <v>0.72499999999999998</v>
      </c>
      <c r="L38" s="129" t="s">
        <v>92</v>
      </c>
      <c r="M38" s="129">
        <v>5</v>
      </c>
      <c r="N38" s="129">
        <v>4.09</v>
      </c>
      <c r="O38" s="129" t="s">
        <v>92</v>
      </c>
      <c r="P38" s="129">
        <v>0.9</v>
      </c>
      <c r="Q38" s="129">
        <v>48.54</v>
      </c>
      <c r="R38" s="129">
        <v>6.82</v>
      </c>
      <c r="S38" s="129">
        <f t="shared" si="5"/>
        <v>5.8900000000000006</v>
      </c>
      <c r="T38" s="129">
        <v>38.75</v>
      </c>
      <c r="U38" s="129">
        <v>20</v>
      </c>
      <c r="V38" s="129">
        <f t="shared" si="0"/>
        <v>100.00000000000001</v>
      </c>
      <c r="W38" s="129">
        <f t="shared" si="1"/>
        <v>0</v>
      </c>
      <c r="X38" s="129">
        <v>26.35</v>
      </c>
      <c r="Y38" s="129">
        <v>53.2</v>
      </c>
      <c r="Z38" s="129">
        <v>20.45</v>
      </c>
      <c r="AA38" s="129" t="s">
        <v>96</v>
      </c>
      <c r="AB38" s="129">
        <f t="shared" si="2"/>
        <v>26.35</v>
      </c>
      <c r="AD38" s="129" t="s">
        <v>92</v>
      </c>
      <c r="AE38" s="129" t="s">
        <v>92</v>
      </c>
      <c r="AF38" s="129" t="s">
        <v>92</v>
      </c>
      <c r="AG38" s="129" t="s">
        <v>92</v>
      </c>
      <c r="AH38" s="129" t="s">
        <v>92</v>
      </c>
      <c r="AI38" s="129" t="s">
        <v>92</v>
      </c>
      <c r="AJ38" s="129" t="s">
        <v>92</v>
      </c>
      <c r="AK38" s="129" t="s">
        <v>92</v>
      </c>
      <c r="AL38" s="129" t="s">
        <v>92</v>
      </c>
      <c r="AM38" s="129" t="s">
        <v>92</v>
      </c>
      <c r="AN38" s="129" t="s">
        <v>92</v>
      </c>
      <c r="AO38" s="129" t="s">
        <v>92</v>
      </c>
      <c r="AP38" s="129" t="s">
        <v>92</v>
      </c>
      <c r="AQ38" s="129" t="s">
        <v>92</v>
      </c>
      <c r="AR38" s="129" t="s">
        <v>92</v>
      </c>
      <c r="AS38" s="129" t="s">
        <v>92</v>
      </c>
      <c r="AT38" s="129" t="s">
        <v>92</v>
      </c>
      <c r="AU38" s="129" t="s">
        <v>92</v>
      </c>
      <c r="AV38" s="129" t="s">
        <v>92</v>
      </c>
      <c r="AW38" s="129" t="s">
        <v>92</v>
      </c>
      <c r="AX38" s="129" t="s">
        <v>92</v>
      </c>
      <c r="AY38" s="129" t="s">
        <v>92</v>
      </c>
      <c r="AZ38" s="129" t="s">
        <v>92</v>
      </c>
      <c r="BB38" s="129" t="s">
        <v>191</v>
      </c>
    </row>
    <row r="39" spans="1:55" s="129" customFormat="1" ht="13" x14ac:dyDescent="0.15">
      <c r="A39" s="129" t="s">
        <v>190</v>
      </c>
      <c r="B39" s="129" t="s">
        <v>115</v>
      </c>
      <c r="C39" s="129" t="s">
        <v>92</v>
      </c>
      <c r="D39" s="129" t="s">
        <v>92</v>
      </c>
      <c r="E39" s="129" t="s">
        <v>92</v>
      </c>
      <c r="F39" s="129" t="s">
        <v>92</v>
      </c>
      <c r="G39" s="129">
        <f t="shared" si="6"/>
        <v>420</v>
      </c>
      <c r="H39" s="129">
        <v>370</v>
      </c>
      <c r="I39" s="129" t="s">
        <v>92</v>
      </c>
      <c r="J39" s="131">
        <f t="shared" si="4"/>
        <v>0.72499999999999998</v>
      </c>
      <c r="L39" s="129" t="s">
        <v>92</v>
      </c>
      <c r="M39" s="129">
        <v>7</v>
      </c>
      <c r="N39" s="129">
        <v>4.09</v>
      </c>
      <c r="O39" s="129" t="s">
        <v>92</v>
      </c>
      <c r="P39" s="129">
        <v>0.9</v>
      </c>
      <c r="Q39" s="129">
        <v>48.54</v>
      </c>
      <c r="R39" s="129">
        <v>6.82</v>
      </c>
      <c r="S39" s="129">
        <f t="shared" si="5"/>
        <v>5.8900000000000006</v>
      </c>
      <c r="T39" s="129">
        <v>38.75</v>
      </c>
      <c r="U39" s="129">
        <v>20</v>
      </c>
      <c r="V39" s="129">
        <f t="shared" si="0"/>
        <v>100</v>
      </c>
      <c r="W39" s="129">
        <f t="shared" si="1"/>
        <v>0</v>
      </c>
      <c r="X39" s="129">
        <v>26.84</v>
      </c>
      <c r="Y39" s="129">
        <v>52.4</v>
      </c>
      <c r="Z39" s="129">
        <v>20.76</v>
      </c>
      <c r="AA39" s="129" t="s">
        <v>96</v>
      </c>
      <c r="AB39" s="129">
        <f t="shared" si="2"/>
        <v>26.84</v>
      </c>
      <c r="AD39" s="129" t="s">
        <v>92</v>
      </c>
      <c r="AE39" s="129" t="s">
        <v>92</v>
      </c>
      <c r="AF39" s="129" t="s">
        <v>92</v>
      </c>
      <c r="AG39" s="129" t="s">
        <v>92</v>
      </c>
      <c r="AH39" s="129" t="s">
        <v>92</v>
      </c>
      <c r="AI39" s="129" t="s">
        <v>92</v>
      </c>
      <c r="AJ39" s="129" t="s">
        <v>92</v>
      </c>
      <c r="AK39" s="129" t="s">
        <v>92</v>
      </c>
      <c r="AL39" s="129" t="s">
        <v>92</v>
      </c>
      <c r="AM39" s="129" t="s">
        <v>92</v>
      </c>
      <c r="AN39" s="129" t="s">
        <v>92</v>
      </c>
      <c r="AO39" s="129" t="s">
        <v>92</v>
      </c>
      <c r="AP39" s="129" t="s">
        <v>92</v>
      </c>
      <c r="AQ39" s="129" t="s">
        <v>92</v>
      </c>
      <c r="AR39" s="129" t="s">
        <v>92</v>
      </c>
      <c r="AS39" s="129" t="s">
        <v>92</v>
      </c>
      <c r="AT39" s="129" t="s">
        <v>92</v>
      </c>
      <c r="AU39" s="129" t="s">
        <v>92</v>
      </c>
      <c r="AV39" s="129" t="s">
        <v>92</v>
      </c>
      <c r="AW39" s="129" t="s">
        <v>92</v>
      </c>
      <c r="AX39" s="129" t="s">
        <v>92</v>
      </c>
      <c r="AY39" s="129" t="s">
        <v>92</v>
      </c>
      <c r="AZ39" s="129" t="s">
        <v>92</v>
      </c>
      <c r="BB39" s="129" t="s">
        <v>191</v>
      </c>
    </row>
    <row r="40" spans="1:55" s="129" customFormat="1" ht="13" x14ac:dyDescent="0.15">
      <c r="A40" s="129" t="s">
        <v>190</v>
      </c>
      <c r="B40" s="129" t="s">
        <v>115</v>
      </c>
      <c r="C40" s="129" t="s">
        <v>92</v>
      </c>
      <c r="D40" s="129" t="s">
        <v>92</v>
      </c>
      <c r="E40" s="129" t="s">
        <v>92</v>
      </c>
      <c r="F40" s="129" t="s">
        <v>92</v>
      </c>
      <c r="G40" s="129">
        <f>M40*60</f>
        <v>600</v>
      </c>
      <c r="H40" s="129">
        <v>370</v>
      </c>
      <c r="I40" s="129" t="s">
        <v>92</v>
      </c>
      <c r="J40" s="131">
        <f t="shared" si="4"/>
        <v>0.72499999999999998</v>
      </c>
      <c r="L40" s="129" t="s">
        <v>92</v>
      </c>
      <c r="M40" s="129">
        <v>10</v>
      </c>
      <c r="N40" s="129">
        <v>4.09</v>
      </c>
      <c r="O40" s="129" t="s">
        <v>92</v>
      </c>
      <c r="P40" s="129">
        <v>0.9</v>
      </c>
      <c r="Q40" s="129">
        <v>48.54</v>
      </c>
      <c r="R40" s="129">
        <v>6.82</v>
      </c>
      <c r="S40" s="129">
        <f t="shared" si="5"/>
        <v>5.8900000000000006</v>
      </c>
      <c r="T40" s="129">
        <v>38.75</v>
      </c>
      <c r="U40" s="129">
        <v>20</v>
      </c>
      <c r="V40" s="129">
        <f t="shared" si="0"/>
        <v>100</v>
      </c>
      <c r="W40" s="129">
        <f t="shared" si="1"/>
        <v>0</v>
      </c>
      <c r="X40" s="129">
        <v>24.84</v>
      </c>
      <c r="Y40" s="129">
        <v>53.45</v>
      </c>
      <c r="Z40" s="129">
        <v>21.71</v>
      </c>
      <c r="AA40" s="129" t="s">
        <v>96</v>
      </c>
      <c r="AB40" s="129">
        <f t="shared" si="2"/>
        <v>24.84</v>
      </c>
      <c r="AD40" s="129" t="s">
        <v>92</v>
      </c>
      <c r="AE40" s="129" t="s">
        <v>92</v>
      </c>
      <c r="AF40" s="129" t="s">
        <v>92</v>
      </c>
      <c r="AG40" s="129" t="s">
        <v>92</v>
      </c>
      <c r="AH40" s="129" t="s">
        <v>92</v>
      </c>
      <c r="AI40" s="129" t="s">
        <v>92</v>
      </c>
      <c r="AJ40" s="129" t="s">
        <v>92</v>
      </c>
      <c r="AK40" s="129" t="s">
        <v>92</v>
      </c>
      <c r="AL40" s="129" t="s">
        <v>92</v>
      </c>
      <c r="AM40" s="129" t="s">
        <v>92</v>
      </c>
      <c r="AN40" s="129" t="s">
        <v>92</v>
      </c>
      <c r="AO40" s="129" t="s">
        <v>92</v>
      </c>
      <c r="AP40" s="129" t="s">
        <v>92</v>
      </c>
      <c r="AQ40" s="129" t="s">
        <v>92</v>
      </c>
      <c r="AR40" s="129" t="s">
        <v>92</v>
      </c>
      <c r="AS40" s="129" t="s">
        <v>92</v>
      </c>
      <c r="AT40" s="129" t="s">
        <v>92</v>
      </c>
      <c r="AU40" s="129" t="s">
        <v>92</v>
      </c>
      <c r="AV40" s="129" t="s">
        <v>92</v>
      </c>
      <c r="AW40" s="129" t="s">
        <v>92</v>
      </c>
      <c r="AX40" s="129" t="s">
        <v>92</v>
      </c>
      <c r="AY40" s="129" t="s">
        <v>92</v>
      </c>
      <c r="AZ40" s="129" t="s">
        <v>92</v>
      </c>
      <c r="BB40" s="129" t="s">
        <v>191</v>
      </c>
    </row>
    <row r="41" spans="1:55" s="69" customFormat="1" ht="13" x14ac:dyDescent="0.15">
      <c r="A41" s="69" t="s">
        <v>192</v>
      </c>
      <c r="B41" s="69" t="s">
        <v>115</v>
      </c>
      <c r="C41" s="69" t="s">
        <v>92</v>
      </c>
      <c r="D41" s="69" t="s">
        <v>92</v>
      </c>
      <c r="E41" s="69" t="s">
        <v>93</v>
      </c>
      <c r="F41" s="69">
        <v>2.6669999999999998</v>
      </c>
      <c r="G41" s="69">
        <f>60*60</f>
        <v>3600</v>
      </c>
      <c r="H41" s="69">
        <v>500</v>
      </c>
      <c r="I41" s="69" t="s">
        <v>92</v>
      </c>
      <c r="J41" s="69">
        <v>1.5</v>
      </c>
      <c r="K41" s="69">
        <v>1.67</v>
      </c>
      <c r="L41" s="69" t="s">
        <v>92</v>
      </c>
      <c r="M41" s="69" t="s">
        <v>92</v>
      </c>
      <c r="N41" s="69">
        <v>7.52</v>
      </c>
      <c r="O41" s="69">
        <v>84.76</v>
      </c>
      <c r="P41" s="69">
        <v>0.33</v>
      </c>
      <c r="Q41" s="69">
        <v>47.1</v>
      </c>
      <c r="R41" s="69">
        <v>5.9</v>
      </c>
      <c r="S41" s="69">
        <v>0.04</v>
      </c>
      <c r="T41" s="69">
        <v>46.4</v>
      </c>
      <c r="U41" s="69">
        <v>18.29</v>
      </c>
      <c r="V41" s="69">
        <f t="shared" si="0"/>
        <v>75.7</v>
      </c>
      <c r="W41" s="69">
        <f t="shared" si="1"/>
        <v>24.299999999999997</v>
      </c>
      <c r="X41" s="69">
        <v>33.200000000000003</v>
      </c>
      <c r="Y41" s="69">
        <v>16.7</v>
      </c>
      <c r="Z41" s="69">
        <v>25.8</v>
      </c>
      <c r="AA41" s="69" t="s">
        <v>101</v>
      </c>
      <c r="AB41" s="69">
        <f t="shared" si="2"/>
        <v>57.5</v>
      </c>
      <c r="AD41" s="69">
        <v>0</v>
      </c>
      <c r="AE41" s="69" t="s">
        <v>92</v>
      </c>
      <c r="AF41" s="69" t="s">
        <v>92</v>
      </c>
      <c r="AG41" s="69">
        <v>2.4900000000000002</v>
      </c>
      <c r="AH41" s="69">
        <v>0.83</v>
      </c>
      <c r="AI41" s="69">
        <v>0.56999999999999995</v>
      </c>
      <c r="AJ41" s="69">
        <v>0.67</v>
      </c>
      <c r="AK41" s="69" t="s">
        <v>92</v>
      </c>
      <c r="AL41" s="69" t="s">
        <v>92</v>
      </c>
      <c r="AM41" s="69" t="s">
        <v>92</v>
      </c>
      <c r="AN41" s="69">
        <v>0</v>
      </c>
      <c r="AO41" s="69" t="s">
        <v>92</v>
      </c>
      <c r="AP41" s="69">
        <v>3.79</v>
      </c>
      <c r="AQ41" s="69" t="s">
        <v>92</v>
      </c>
      <c r="AR41" s="69">
        <v>2.09</v>
      </c>
      <c r="AS41" s="69" t="s">
        <v>92</v>
      </c>
      <c r="AT41" s="69" t="s">
        <v>92</v>
      </c>
      <c r="AU41" s="69" t="s">
        <v>92</v>
      </c>
      <c r="AV41" s="69" t="s">
        <v>92</v>
      </c>
      <c r="AW41" s="69" t="s">
        <v>92</v>
      </c>
      <c r="AX41" s="69" t="s">
        <v>92</v>
      </c>
      <c r="AY41" s="69" t="s">
        <v>92</v>
      </c>
      <c r="AZ41" s="69">
        <v>1.69</v>
      </c>
      <c r="BB41" s="69" t="s">
        <v>193</v>
      </c>
      <c r="BC41" s="69" t="s">
        <v>194</v>
      </c>
    </row>
    <row r="42" spans="1:55" s="72" customFormat="1" x14ac:dyDescent="0.2"/>
    <row r="43" spans="1:55" s="72" customFormat="1" x14ac:dyDescent="0.2"/>
    <row r="44" spans="1:55" s="72" customFormat="1" x14ac:dyDescent="0.2"/>
    <row r="45" spans="1:55" s="72" customFormat="1" x14ac:dyDescent="0.2"/>
    <row r="46" spans="1:55" s="72" customFormat="1" x14ac:dyDescent="0.2"/>
    <row r="47" spans="1:55" s="72" customFormat="1" x14ac:dyDescent="0.2"/>
    <row r="48" spans="1:55" s="72" customFormat="1" x14ac:dyDescent="0.2"/>
    <row r="49" s="72" customFormat="1" x14ac:dyDescent="0.2"/>
    <row r="50" s="72" customFormat="1" x14ac:dyDescent="0.2"/>
    <row r="51" s="72" customFormat="1" x14ac:dyDescent="0.2"/>
    <row r="52" s="72" customFormat="1" x14ac:dyDescent="0.2"/>
    <row r="53" s="72" customFormat="1" x14ac:dyDescent="0.2"/>
    <row r="54" s="72" customFormat="1" x14ac:dyDescent="0.2"/>
    <row r="55" s="72" customFormat="1" x14ac:dyDescent="0.2"/>
    <row r="56" s="72" customFormat="1" x14ac:dyDescent="0.2"/>
    <row r="57" s="72" customFormat="1" x14ac:dyDescent="0.2"/>
    <row r="58" s="72" customFormat="1" x14ac:dyDescent="0.2"/>
    <row r="59" s="72" customFormat="1" x14ac:dyDescent="0.2"/>
    <row r="60" s="72" customFormat="1" x14ac:dyDescent="0.2"/>
    <row r="61" s="72" customFormat="1" x14ac:dyDescent="0.2"/>
    <row r="62" s="72" customFormat="1" x14ac:dyDescent="0.2"/>
    <row r="63" s="72" customFormat="1" x14ac:dyDescent="0.2"/>
    <row r="64" s="72" customFormat="1" x14ac:dyDescent="0.2"/>
    <row r="65" s="72" customFormat="1" x14ac:dyDescent="0.2"/>
    <row r="66" s="72" customFormat="1" x14ac:dyDescent="0.2"/>
    <row r="67" s="72" customFormat="1" x14ac:dyDescent="0.2"/>
    <row r="68" s="72" customFormat="1" x14ac:dyDescent="0.2"/>
    <row r="69" s="72" customFormat="1" x14ac:dyDescent="0.2"/>
    <row r="70" s="72" customFormat="1" x14ac:dyDescent="0.2"/>
    <row r="71" s="72" customFormat="1" x14ac:dyDescent="0.2"/>
    <row r="72" s="72" customFormat="1" x14ac:dyDescent="0.2"/>
    <row r="73" s="72" customFormat="1" x14ac:dyDescent="0.2"/>
    <row r="74" s="72" customFormat="1" x14ac:dyDescent="0.2"/>
    <row r="75" s="72" customFormat="1" x14ac:dyDescent="0.2"/>
    <row r="76" s="72" customFormat="1" x14ac:dyDescent="0.2"/>
    <row r="77" s="72" customFormat="1" x14ac:dyDescent="0.2"/>
    <row r="78" s="72" customFormat="1" x14ac:dyDescent="0.2"/>
    <row r="79" s="72" customFormat="1" x14ac:dyDescent="0.2"/>
    <row r="80" s="72" customFormat="1" x14ac:dyDescent="0.2"/>
    <row r="81" s="72" customFormat="1" x14ac:dyDescent="0.2"/>
    <row r="82" s="72" customFormat="1" x14ac:dyDescent="0.2"/>
    <row r="83" s="72" customFormat="1" x14ac:dyDescent="0.2"/>
    <row r="84" s="72" customFormat="1" x14ac:dyDescent="0.2"/>
    <row r="85" s="72" customFormat="1" x14ac:dyDescent="0.2"/>
    <row r="86" s="72" customFormat="1" x14ac:dyDescent="0.2"/>
    <row r="87" s="72" customFormat="1" x14ac:dyDescent="0.2"/>
    <row r="88" s="72" customFormat="1" x14ac:dyDescent="0.2"/>
    <row r="89" s="72" customFormat="1" x14ac:dyDescent="0.2"/>
    <row r="90" s="72" customFormat="1" x14ac:dyDescent="0.2"/>
    <row r="91" s="72" customFormat="1" x14ac:dyDescent="0.2"/>
    <row r="92" s="72" customFormat="1" x14ac:dyDescent="0.2"/>
    <row r="93" s="72" customFormat="1" x14ac:dyDescent="0.2"/>
    <row r="94" s="72" customFormat="1" x14ac:dyDescent="0.2"/>
    <row r="95" s="72" customFormat="1" x14ac:dyDescent="0.2"/>
    <row r="96" s="72" customFormat="1" x14ac:dyDescent="0.2"/>
    <row r="97" s="72" customFormat="1" x14ac:dyDescent="0.2"/>
    <row r="98" s="72" customFormat="1" x14ac:dyDescent="0.2"/>
    <row r="99" s="72" customFormat="1" x14ac:dyDescent="0.2"/>
    <row r="100" s="72" customFormat="1" x14ac:dyDescent="0.2"/>
    <row r="101" s="72" customFormat="1" x14ac:dyDescent="0.2"/>
    <row r="102" s="72" customFormat="1" x14ac:dyDescent="0.2"/>
    <row r="103" s="72" customFormat="1" x14ac:dyDescent="0.2"/>
    <row r="104" s="72" customFormat="1" x14ac:dyDescent="0.2"/>
    <row r="105" s="72" customFormat="1" x14ac:dyDescent="0.2"/>
    <row r="106" s="72" customFormat="1" x14ac:dyDescent="0.2"/>
    <row r="107" s="72" customFormat="1" x14ac:dyDescent="0.2"/>
    <row r="108" s="72" customFormat="1" x14ac:dyDescent="0.2"/>
    <row r="109" s="72" customFormat="1" x14ac:dyDescent="0.2"/>
    <row r="110" s="72" customFormat="1" x14ac:dyDescent="0.2"/>
    <row r="111" s="72" customFormat="1" x14ac:dyDescent="0.2"/>
    <row r="112" s="72" customFormat="1" x14ac:dyDescent="0.2"/>
    <row r="113" s="72" customFormat="1" x14ac:dyDescent="0.2"/>
    <row r="114" s="72" customFormat="1" x14ac:dyDescent="0.2"/>
    <row r="115" s="72" customFormat="1" x14ac:dyDescent="0.2"/>
    <row r="116" s="72" customFormat="1" x14ac:dyDescent="0.2"/>
    <row r="117" s="72" customFormat="1" x14ac:dyDescent="0.2"/>
  </sheetData>
  <mergeCells count="16">
    <mergeCell ref="X2:Z2"/>
    <mergeCell ref="G2:G3"/>
    <mergeCell ref="AE2:AR2"/>
    <mergeCell ref="A1:U1"/>
    <mergeCell ref="X1:AR1"/>
    <mergeCell ref="A2:A3"/>
    <mergeCell ref="B2:B3"/>
    <mergeCell ref="D2:D3"/>
    <mergeCell ref="E2:E3"/>
    <mergeCell ref="H2:H3"/>
    <mergeCell ref="I2:I3"/>
    <mergeCell ref="J2:J3"/>
    <mergeCell ref="L2:L3"/>
    <mergeCell ref="M2:M3"/>
    <mergeCell ref="N2:T2"/>
    <mergeCell ref="K2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4B48-DBD8-4D18-B07C-DA801849437B}">
  <dimension ref="B1:N16"/>
  <sheetViews>
    <sheetView topLeftCell="A9" workbookViewId="0">
      <selection activeCell="C11" sqref="C11"/>
    </sheetView>
  </sheetViews>
  <sheetFormatPr baseColWidth="10" defaultColWidth="8.83203125" defaultRowHeight="15" x14ac:dyDescent="0.2"/>
  <cols>
    <col min="2" max="2" width="11.83203125" bestFit="1" customWidth="1"/>
    <col min="3" max="3" width="12.6640625" bestFit="1" customWidth="1"/>
    <col min="9" max="9" width="8.6640625" customWidth="1"/>
  </cols>
  <sheetData>
    <row r="1" spans="2:14" x14ac:dyDescent="0.2">
      <c r="B1" t="s">
        <v>232</v>
      </c>
      <c r="C1" t="s">
        <v>233</v>
      </c>
      <c r="D1" t="s">
        <v>234</v>
      </c>
    </row>
    <row r="2" spans="2:14" x14ac:dyDescent="0.2">
      <c r="B2" t="s">
        <v>235</v>
      </c>
      <c r="C2" t="s">
        <v>43</v>
      </c>
      <c r="D2" t="s">
        <v>236</v>
      </c>
      <c r="H2" t="s">
        <v>237</v>
      </c>
      <c r="I2" t="s">
        <v>238</v>
      </c>
      <c r="J2" s="52" t="s">
        <v>239</v>
      </c>
      <c r="K2" s="52" t="s">
        <v>240</v>
      </c>
    </row>
    <row r="3" spans="2:14" x14ac:dyDescent="0.2">
      <c r="B3">
        <v>0.75</v>
      </c>
      <c r="C3">
        <v>500</v>
      </c>
      <c r="D3">
        <v>6.23</v>
      </c>
      <c r="H3" s="23">
        <f>(0.17/100)*(0.453*59.2)</f>
        <v>4.5589920000000006E-2</v>
      </c>
      <c r="I3" s="53">
        <f>(1.22/100)*(0.453*16.14)</f>
        <v>8.919932400000001E-2</v>
      </c>
      <c r="J3" s="53">
        <f>(1.3/100)*(0.453*3.27)</f>
        <v>1.9257030000000005E-2</v>
      </c>
      <c r="K3" s="53">
        <f>(1.47/100)*(0.453*21.39)</f>
        <v>0.14243814900000001</v>
      </c>
      <c r="L3" s="23">
        <f>SUM(H3:K3)</f>
        <v>0.29648442300000005</v>
      </c>
    </row>
    <row r="4" spans="2:14" x14ac:dyDescent="0.2">
      <c r="B4">
        <v>0.75</v>
      </c>
      <c r="C4">
        <v>550</v>
      </c>
      <c r="D4">
        <v>5.86</v>
      </c>
    </row>
    <row r="5" spans="2:14" x14ac:dyDescent="0.2">
      <c r="B5">
        <v>0.75</v>
      </c>
      <c r="C5">
        <v>600</v>
      </c>
      <c r="D5">
        <v>7.74</v>
      </c>
    </row>
    <row r="6" spans="2:14" x14ac:dyDescent="0.2">
      <c r="B6">
        <v>0.75</v>
      </c>
      <c r="C6">
        <v>650</v>
      </c>
      <c r="D6">
        <v>8.3000000000000007</v>
      </c>
      <c r="N6">
        <f>1.02*(34/100)</f>
        <v>0.34680000000000005</v>
      </c>
    </row>
    <row r="7" spans="2:14" x14ac:dyDescent="0.2">
      <c r="B7">
        <v>0.75</v>
      </c>
      <c r="C7">
        <v>700</v>
      </c>
      <c r="D7">
        <v>7.68</v>
      </c>
    </row>
    <row r="8" spans="2:14" x14ac:dyDescent="0.2">
      <c r="B8">
        <v>0.9</v>
      </c>
      <c r="C8">
        <v>500</v>
      </c>
      <c r="D8">
        <v>3.79</v>
      </c>
    </row>
    <row r="9" spans="2:14" x14ac:dyDescent="0.2">
      <c r="B9">
        <v>1.5</v>
      </c>
    </row>
    <row r="11" spans="2:14" x14ac:dyDescent="0.2">
      <c r="B11">
        <v>0.75</v>
      </c>
      <c r="C11">
        <v>500</v>
      </c>
      <c r="D11">
        <v>6.23</v>
      </c>
    </row>
    <row r="12" spans="2:14" x14ac:dyDescent="0.2">
      <c r="B12">
        <v>0.75</v>
      </c>
      <c r="C12">
        <v>550</v>
      </c>
      <c r="D12">
        <v>5.86</v>
      </c>
    </row>
    <row r="13" spans="2:14" x14ac:dyDescent="0.2">
      <c r="B13">
        <v>0.75</v>
      </c>
      <c r="C13">
        <v>600</v>
      </c>
      <c r="D13">
        <v>7.74</v>
      </c>
    </row>
    <row r="14" spans="2:14" x14ac:dyDescent="0.2">
      <c r="B14">
        <v>0.75</v>
      </c>
      <c r="C14">
        <v>650</v>
      </c>
      <c r="D14">
        <v>8.3000000000000007</v>
      </c>
    </row>
    <row r="15" spans="2:14" x14ac:dyDescent="0.2">
      <c r="B15">
        <v>0.75</v>
      </c>
      <c r="C15">
        <v>700</v>
      </c>
      <c r="D15">
        <v>7.68</v>
      </c>
    </row>
    <row r="16" spans="2:14" x14ac:dyDescent="0.2">
      <c r="B16">
        <v>1.5</v>
      </c>
      <c r="C16">
        <v>500</v>
      </c>
      <c r="D16">
        <v>3.79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Fluidized Bed</vt:lpstr>
      <vt:lpstr>Tubular Reactor</vt:lpstr>
      <vt:lpstr>Batch Reactor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karla morgan</dc:creator>
  <cp:keywords/>
  <dc:description/>
  <cp:lastModifiedBy>Microsoft Office User</cp:lastModifiedBy>
  <cp:revision/>
  <dcterms:created xsi:type="dcterms:W3CDTF">2020-06-16T16:06:47Z</dcterms:created>
  <dcterms:modified xsi:type="dcterms:W3CDTF">2022-07-25T20:00:58Z</dcterms:modified>
  <cp:category/>
  <cp:contentStatus/>
</cp:coreProperties>
</file>